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vedrecs" sheetId="1" r:id="rId4"/>
  </sheets>
  <definedNames/>
  <calcPr/>
  <extLst>
    <ext uri="GoogleSheetsCustomDataVersion2">
      <go:sheetsCustomData xmlns:go="http://customooxmlschemas.google.com/" r:id="rId5" roundtripDataChecksum="hRhIoBTxz8m0egCjvY55eKcpj3uCoH7wpNR6rDWHdrY="/>
    </ext>
  </extLst>
</workbook>
</file>

<file path=xl/sharedStrings.xml><?xml version="1.0" encoding="utf-8"?>
<sst xmlns="http://schemas.openxmlformats.org/spreadsheetml/2006/main" count="60010" uniqueCount="19833">
  <si>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</si>
  <si>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</si>
  <si>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</si>
  <si>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</si>
  <si>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</si>
  <si>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</si>
  <si>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</si>
  <si>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</si>
  <si>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</si>
  <si>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</si>
  <si>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</si>
  <si>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</si>
  <si>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</si>
  <si>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</si>
  <si>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</si>
  <si>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</si>
  <si>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</si>
  <si>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</si>
  <si>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</si>
  <si>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</si>
  <si>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</si>
  <si>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</si>
  <si>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</si>
  <si>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</si>
  <si>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</si>
  <si>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</si>
  <si>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</si>
  <si>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</si>
  <si>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</si>
  <si>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</si>
  <si>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</si>
  <si>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</si>
  <si>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</si>
  <si>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</si>
  <si>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</si>
  <si>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</si>
  <si>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</si>
  <si>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</si>
  <si>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</si>
  <si>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</si>
  <si>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</si>
  <si>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</si>
  <si>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</si>
  <si>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</si>
  <si>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</si>
  <si>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</si>
  <si>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</si>
  <si>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</si>
  <si>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</si>
  <si>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</si>
  <si>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</si>
  <si>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</si>
  <si>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</si>
  <si>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</si>
  <si>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</si>
  <si>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</si>
  <si>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</si>
  <si>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</si>
  <si>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</si>
  <si>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</si>
  <si>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</si>
  <si>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</si>
  <si>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</si>
  <si>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</si>
  <si>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</si>
  <si>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</si>
  <si>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</si>
  <si>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</si>
  <si>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</si>
  <si>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</si>
  <si>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</si>
  <si>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</si>
  <si>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C</t>
  </si>
  <si>
    <t>Li, ZH; Zheng, L</t>
  </si>
  <si>
    <t/>
  </si>
  <si>
    <t>Xiao, X; Hauer, T; Khan, SAR</t>
  </si>
  <si>
    <t>Li, Zehong; Zheng, Li</t>
  </si>
  <si>
    <t>The Impact of Artificial Intelligence on Accounting</t>
  </si>
  <si>
    <t>PROCEEDINGS OF THE 2018 4TH INTERNATIONAL CONFERENCE ON SOCIAL SCIENCE AND HIGHER EDUCATION (ICSSHE 2018)</t>
  </si>
  <si>
    <t>Advances in Social Science Education and Humanities Research</t>
  </si>
  <si>
    <t>English</t>
  </si>
  <si>
    <t>Proceedings Paper</t>
  </si>
  <si>
    <t>4th International Conference on Social Science and Higher Education (ICSSHE)</t>
  </si>
  <si>
    <t>SEP 28-30, 2018</t>
  </si>
  <si>
    <t>Sanya, PEOPLES R CHINA</t>
  </si>
  <si>
    <t>Hainan Univ,Xiamen Univ Tan Kah Kee Coll,Sanya Univ</t>
  </si>
  <si>
    <t>Artificial intelligence; Accounting profession; impact</t>
  </si>
  <si>
    <t>With the rapid development of economy, science and technology, the era of artificial intelligence has come, which has exerted a great influence on all aspects of life. Whether the situation of accountants facing elimination is widely concerned. This article will be focusing on how to use artificial intelligence to avoid accounting fraud and to generate positive impact on accounting information quality, this article will analyze how artificial intelligence will effect the accounting personnel, but decisions can't be made by machine, so it won't cause a mass unemployment. The end of the article will underline that in the big picture of artificial intelligence, accounting personnel should improve its own seven aspects of abilities and become a comprehensive qualified personnel.</t>
  </si>
  <si>
    <t>[Li, Zehong; Zheng, Li] North China Elect Power Univ, Dept Econ &amp; Management, Baoding 071003, Peoples R China</t>
  </si>
  <si>
    <t>North China Electric Power University</t>
  </si>
  <si>
    <t>Li, ZH (corresponding author), North China Elect Power Univ, Dept Econ &amp; Management, Baoding 071003, Peoples R China.</t>
  </si>
  <si>
    <t>lizehong2003@sohu.com; 1030008516@qq.com</t>
  </si>
  <si>
    <t>ATLANTIS PRESS</t>
  </si>
  <si>
    <t>PARIS</t>
  </si>
  <si>
    <t>29 AVENUE LAVMIERE, PARIS, 75019, FRANCE</t>
  </si>
  <si>
    <t>2352-5398</t>
  </si>
  <si>
    <t>978-94-6252-588-7</t>
  </si>
  <si>
    <t>ADV SOC SCI EDUC HUM</t>
  </si>
  <si>
    <t>Social Sciences, Interdisciplinary</t>
  </si>
  <si>
    <t>Conference Proceedings Citation Index - Social Science &amp; Humanities (CPCI-SSH)</t>
  </si>
  <si>
    <t>Social Sciences - Other Topics</t>
  </si>
  <si>
    <t>BL1TC</t>
  </si>
  <si>
    <t>2025-02-01</t>
  </si>
  <si>
    <t>WOS:000448308500202</t>
  </si>
  <si>
    <t>Serova, E</t>
  </si>
  <si>
    <t>Matos, F; Salavisa, I; Serrao, C</t>
  </si>
  <si>
    <t>Serova, Elena</t>
  </si>
  <si>
    <t>Artificial Intelligence Strategies and Their Impact on Economic Stability: Conceptual Framework</t>
  </si>
  <si>
    <t>PROCEEDINGS OF THE 3RD EUROPEAN CONFERENCE ON THE IMPACT OF ARTIFICIAL INTELLIGENCE AND ROBOTICS (ECIAIR 2021)</t>
  </si>
  <si>
    <t>3rd European Conference on the Impact of Artificial Intelligence and Robotics (ECIAIR)</t>
  </si>
  <si>
    <t>NOV 08-09, 2021</t>
  </si>
  <si>
    <t>Inst Univ Lisboa, ELECTR NETWORK</t>
  </si>
  <si>
    <t>ACI</t>
  </si>
  <si>
    <t>Inst Univ Lisboa</t>
  </si>
  <si>
    <t>artificial intelligence; machine learning; emerging market multinational enterprises; artificial intelligence strategy; artificial intelligence policy; multinational enterprises artificial strategies framework</t>
  </si>
  <si>
    <t>MACHINE LEARNING ALGORITHMS</t>
  </si>
  <si>
    <t>Understanding the exceptional role of intelligent technologies and systems in the new digital economy has given rise to a new technological race - artificial intelligence. In emerging markets, artificial intelligence and intelligent technologies are, in fact, an integral part of cutting-edge management systems. They add to the globalization of business by providing quick access to employees, customers, and partners worldwide, as well as coordinating global interaction between companies at different stages of the value chain. It does not mean that intelligent technologies and systems simply increase the efficiency of a company's operations; they can be considered as a key intangible asset. The AI strategy is defined as a set of coordinated policies that have a clear objective of maximizing the potential benefits and minimizing the potential costs of AI for the economy and society. In the past few years, two dozen countries have launched their national strategies in the field of artificial intelligence. Many countries have already developed their AI strategy at the official level during the last 3 years. The main goal of this paper is the analysis of the emerging market multinational enterprises (EMNEs) AI strategies to support the emergent economy and identify key AI strategies development directions. The research is based on the analysis of large volumes of information, the author's own experience, and literature review that includes the latest findings in this field. Research Methodology includes a systematic approach, comparative analysis, case-study, and modeling. The problem the author considers here is: How can we reduce the impact of risks and uncertainty on the economic stability with the help of AI and how the emerging market multinational enterprises (EMNEs)' AI Strategies have already been successfully using the AI Strategies in the past fifteen years? The findings of the research are based on providing a framework for assessing the role of EMNEs' AI strategy and Machine Learning model for EMNE's strategy selection.</t>
  </si>
  <si>
    <t>[Serova, Elena] Natl Res Univ Higher Sch Econ, St Petersburg, Russia</t>
  </si>
  <si>
    <t>HSE University (National Research University Higher School of Economics)</t>
  </si>
  <si>
    <t>Serova, E (corresponding author), Natl Res Univ Higher Sch Econ, St Petersburg, Russia.</t>
  </si>
  <si>
    <t>serovah@gmail.com</t>
  </si>
  <si>
    <t>Serova, Elena/A-1059-2015</t>
  </si>
  <si>
    <t>ACAD CONFERENCES LTD</t>
  </si>
  <si>
    <t>NR READING</t>
  </si>
  <si>
    <t>CURTIS FARM, KIDMORE END, NR READING, RG4 9AY, ENGLAND</t>
  </si>
  <si>
    <t>978-1-914587-23-8</t>
  </si>
  <si>
    <t>10.34190/EAIR.21.021</t>
  </si>
  <si>
    <t>Computer Science, Artificial Intelligence; Robotics</t>
  </si>
  <si>
    <t>Conference Proceedings Citation Index - Science (CPCI-S)</t>
  </si>
  <si>
    <t>Computer Science; Robotics</t>
  </si>
  <si>
    <t>BT5TB</t>
  </si>
  <si>
    <t>WOS:000838033200023</t>
  </si>
  <si>
    <t>J</t>
  </si>
  <si>
    <t>PRATT, D; SANSALONE, M</t>
  </si>
  <si>
    <t>IMPACT-ECHO SIGNAL INTERPRETATION USING ARTIFICIAL-INTELLIGENCE</t>
  </si>
  <si>
    <t>ACI MATERIALS JOURNAL</t>
  </si>
  <si>
    <t>Article</t>
  </si>
  <si>
    <t>ARTIFICIAL INTELLIGENCE; CONCRETES; IMPACT TESTS; NONDESTRUCTIVE TESTS; SLABS; STRESS WAVES; VOIDS</t>
  </si>
  <si>
    <t>FINITE-ELEMENT; CONCRETE</t>
  </si>
  <si>
    <t>This paper discusses advancements in impact-echo instrumentation and signal processing that have led to the development of an automated field system. The basic principles involved in impact-echo testing and signal analysis are reviewed. An artificial intelligence technique called a neural network, which has been used to automate signal interpretation from plate-like concrete structures, is explained, and examples of its use on concrete slabs containing voids and cracks are shown. Impact-echo instrumentation is discussed, and a new, rapid, impact-echo field system is presented. This field system can be used independently when testing such concrete structures as beams or columns, or in conjunction with the automated signal interpretation software when testing such plate-like structures as bridge decks, parking garage slabs, and walls. The automated field system makes it possible for the impact-echo test method to become a practical, non-destructive tool for condition assessment of concrete structures.</t>
  </si>
  <si>
    <t>PRATT, D (corresponding author), CORNELL UNIV,ITHACA,NY 14853, USA.</t>
  </si>
  <si>
    <t>AMER CONCRETE INST</t>
  </si>
  <si>
    <t>FARMINGTON HILLS</t>
  </si>
  <si>
    <t>38800 INTERNATIONAL WAY, COUNTRY CLUB DRIVE, PO BOX 9094, FARMINGTON HILLS, MI 48333-9094</t>
  </si>
  <si>
    <t>0889-325X</t>
  </si>
  <si>
    <t>ACI MATER J</t>
  </si>
  <si>
    <t>ACI Mater. J.</t>
  </si>
  <si>
    <t>MAR-APR</t>
  </si>
  <si>
    <t>Construction &amp; Building Technology; Materials Science, Multidisciplinary</t>
  </si>
  <si>
    <t>Science Citation Index Expanded (SCI-EXPANDED)</t>
  </si>
  <si>
    <t>Construction &amp; Building Technology; Materials Science</t>
  </si>
  <si>
    <t>HM990</t>
  </si>
  <si>
    <t>WOS:A1992HM99000008</t>
  </si>
  <si>
    <t>Bartelle, LB</t>
  </si>
  <si>
    <t>Bartelle, Liane Broilo</t>
  </si>
  <si>
    <t>THE POSSIBLE IMPACTS OF GENERATIVE ARTIFICIAL INTELLIGENCE IN EDUCATION</t>
  </si>
  <si>
    <t>CADERNOS EDUCACAO TECNOLOGIA E SOCIEDADE</t>
  </si>
  <si>
    <t>Portuguese</t>
  </si>
  <si>
    <t>artificial intelligence; generative artificial intelligence; education; digital era</t>
  </si>
  <si>
    <t>In order to discuss the possible impacts of IAG on Education, this work provides a brief approach to Artificial Intelligence (AI) and Generative Artificial Intelligence (GAI), analyzing their functionalities, as well as an investigation into Education in the Digital Era. So that it is possible to draw a panorama of Education with the appropriation of the GAI and then identify benefits and aspects that could be harmful in this context. Therefore, with the help of exploratory qualitative research, authors such as Gabriel (2013), Russell and Norvig (2013), Fava (2016), Kaufman (2022), Santaella (2023), among others, collaborate to construct the problem.</t>
  </si>
  <si>
    <t>[Bartelle, Liane Broilo] UNINTER, Ctr Univ Int, Curitiba, PR, Brazil</t>
  </si>
  <si>
    <t>Bartelle, LB (corresponding author), UNINTER, Ctr Univ Int, Curitiba, PR, Brazil.</t>
  </si>
  <si>
    <t>lianemkt@gmail.com</t>
  </si>
  <si>
    <t>Broilo Bartelle, Liane/GLU-1834-2022</t>
  </si>
  <si>
    <t>INST FED EDUCATION, SCIENCE &amp; TECHNOLOGY OF GOIAS, CAMPUS INHUMAS</t>
  </si>
  <si>
    <t>INHUMAS</t>
  </si>
  <si>
    <t>COLL AVE, SN, VALLEY GOIABEIRAS, ATHENA LIB, INHUMAS, GOIAS 75400-000, BRAZIL</t>
  </si>
  <si>
    <t>2316-9907</t>
  </si>
  <si>
    <t>CAD EDUC TECNOL SOC</t>
  </si>
  <si>
    <t>Cad. Educ. Tecnol. Soc.</t>
  </si>
  <si>
    <t>10.14571/brajets.v17.n2.683-695</t>
  </si>
  <si>
    <t>Education &amp; Educational Research</t>
  </si>
  <si>
    <t>Emerging Sources Citation Index (ESCI)</t>
  </si>
  <si>
    <t>D4S4V</t>
  </si>
  <si>
    <t>gold</t>
  </si>
  <si>
    <t>WOS:001296097600013</t>
  </si>
  <si>
    <t>Agrawal, A; Mchale, J; Oettl, A</t>
  </si>
  <si>
    <t>Agrawal, Ajay; Mchale, John; Oettl, Alexander</t>
  </si>
  <si>
    <t>Superhuman science: How artificial intelligence may impact innovation</t>
  </si>
  <si>
    <t>JOURNAL OF EVOLUTIONARY ECONOMICS</t>
  </si>
  <si>
    <t>Artificial intelligence; Innovation; R&amp;D prioritization</t>
  </si>
  <si>
    <t>OPTIMAL SEARCH; TECHNOLOGY; GROWTH; MODELS; TASKS</t>
  </si>
  <si>
    <t>New product innovation in fields like drug discovery and material science can be characterized as combinatorial search over a vast range of possibilities. Modeling innovation as a costly multi-stage search process, we explore how improvements in artificial intelligence (AI) could affect the productivity of the discovery pipeline in allowing improved prioritization of innovations that flow through that pipeline. We show how AI-aided prediction can increase the expected value of innovation and can increase or decrease the demand for downstream testing, depending on the type of innovation, and examine how AI can reduce costs associated with well-defined bottlenecks in the discovery pipeline.</t>
  </si>
  <si>
    <t>[Agrawal, Ajay] Univ Toronto, Toronto, ON, Canada; [Agrawal, Ajay; Oettl, Alexander] Natl Bur Econ Res NBER, Cambridge, MA 02138 USA; [Mchale, John] Univ Galway, JE Caines Sch Business &amp; Econ, Pharmacol &amp; Therapeut, Galway, Ireland; [Oettl, Alexander] Georgia Inst Technol, Scheller Coll Business, 800 West Peachtree ST NW, Atlanta, GA 30308 USA</t>
  </si>
  <si>
    <t>University of Toronto; Ollscoil na Gaillimhe-University of Galway; University System of Georgia; Georgia Institute of Technology</t>
  </si>
  <si>
    <t>Oettl, A (corresponding author), Natl Bur Econ Res NBER, Cambridge, MA 02138 USA.;Oettl, A (corresponding author), Georgia Inst Technol, Scheller Coll Business, 800 West Peachtree ST NW, Atlanta, GA 30308 USA.</t>
  </si>
  <si>
    <t>OETTL@gatech.edu</t>
  </si>
  <si>
    <t>Oettl, Alex/AFN-9082-2022</t>
  </si>
  <si>
    <t>Oettl, Alexander/0000-0001-8908-4674</t>
  </si>
  <si>
    <t>We thank participants in the NBER conference on the Economics of Artificial Intelligence held in Toronto in September 2019, and the Brooking Center on Regulation and Markets Artificial Intelligence Authors Conference held online in May 2021, for their feed; Brooking Center on Regulation [17/SPR/5329]; Center on Regulation and Markets at Brookings and Science Foundation Ireland; Science Foundation Ireland (SFI) [17/SPR/5329] Funding Source: Science Foundation Ireland (SFI)</t>
  </si>
  <si>
    <t>We thank participants in the NBER conference on the Economics of Artificial Intelligence held in Toronto in September 2019, and the Brooking Center on Regulation and Markets Artificial Intelligence Authors Conference held online in May 2021, for their feed; Brooking Center on Regulation; Center on Regulation and Markets at Brookings and Science Foundation Ireland; Science Foundation Ireland (SFI)(Science Foundation Ireland (SFI))</t>
  </si>
  <si>
    <t>We thank participants in the NBER conference on the Economics of Artificial Intelligence held in Toronto in September 2019, and the Brooking Center on Regulation and Markets Artificial Intelligence Authors Conference held online in May 2021, for their feedback. In particular, we thank our discussants Timothy Bresnahan (NBER) and David Audretsch (Brookings) for their valuable suggestions for improving the paper. We also thank the editors and two anonymous referees for their helpful advice. Of course, responsibility for all remaining deficiencies is our own. Finally, we thank the Center on Regulation and Markets at Brookings and Science Foundation Ireland (Grant Number 17/SPR/5329) for financial support.</t>
  </si>
  <si>
    <t>SPRINGER</t>
  </si>
  <si>
    <t>NEW YORK</t>
  </si>
  <si>
    <t>ONE NEW YORK PLAZA, SUITE 4600, NEW YORK, NY, UNITED STATES</t>
  </si>
  <si>
    <t>0936-9937</t>
  </si>
  <si>
    <t>1432-1386</t>
  </si>
  <si>
    <t>J EVOL ECON</t>
  </si>
  <si>
    <t>J. Evol. Econ.</t>
  </si>
  <si>
    <t>NOV</t>
  </si>
  <si>
    <t>10.1007/s00191-023-00845-3</t>
  </si>
  <si>
    <t>NOV 2023</t>
  </si>
  <si>
    <t>Economics</t>
  </si>
  <si>
    <t>Social Science Citation Index (SSCI)</t>
  </si>
  <si>
    <t>Business &amp; Economics</t>
  </si>
  <si>
    <t>AH5Q8</t>
  </si>
  <si>
    <t>WOS:001106601900001</t>
  </si>
  <si>
    <t>Shi, YL</t>
  </si>
  <si>
    <t>Xu, Z; Choo, KKR; Dehghantanha, A; Parizi, R; Hammoudeh, M</t>
  </si>
  <si>
    <t>Shi, Yanling</t>
  </si>
  <si>
    <t>The Impact of Artificial Intelligence on the Accounting Industry</t>
  </si>
  <si>
    <t>CYBER SECURITY INTELLIGENCE AND ANALYTICS</t>
  </si>
  <si>
    <t>Advances in Intelligent Systems and Computing</t>
  </si>
  <si>
    <t>International Conference on Cyber Security Intelligence and Analytics (CSIA)</t>
  </si>
  <si>
    <t>FEB 21-22, 2019</t>
  </si>
  <si>
    <t>Shenyang, PEOPLES R CHINA</t>
  </si>
  <si>
    <t>Artificial intelligence; Accounting industry; Influence; Countermeasure</t>
  </si>
  <si>
    <t>AI</t>
  </si>
  <si>
    <t>With the development of artificial intelligence technology, artificial intelligence has entered the accounting field more and more deeply, which plays an important role in improving business efficiency, reducing work errors, preventing and controlling enterprise risks, improving enterprise competitiveness, and improving human resource efficiency. Artificial intelligence technology is like a double-edged sword. While promoting the development of accounting work, it will also cause accountants to face the crisis of unemployment in the workplace. Based on the concept of artificial intelligence technology and its application in the accounting industry, this paper discusses the impact of artificial intelligence on the accounting industry, and puts forward the challenges of the artificial intelligence technology accounting industry. It should take the lead in completing the skills upgrade; realize the transformation of the comprehensive management accounting role. Develop strategies such as designers and supervisors of artificial intelligence accounting systems.</t>
  </si>
  <si>
    <t>[Shi, Yanling] ShanDong Univ Arts, Dept Finance, Jinan, Shandong, Peoples R China</t>
  </si>
  <si>
    <t>Shandong University of Arts</t>
  </si>
  <si>
    <t>Shi, YL (corresponding author), ShanDong Univ Arts, Dept Finance, Jinan, Shandong, Peoples R China.</t>
  </si>
  <si>
    <t>shiyanling@sdca.edu.cn</t>
  </si>
  <si>
    <t>SPRINGER INTERNATIONAL PUBLISHING AG</t>
  </si>
  <si>
    <t>CHAM</t>
  </si>
  <si>
    <t>GEWERBESTRASSE 11, CHAM, CH-6330, SWITZERLAND</t>
  </si>
  <si>
    <t>2194-5357</t>
  </si>
  <si>
    <t>2194-5365</t>
  </si>
  <si>
    <t>978-3-030-15235-2; 978-3-030-15234-5</t>
  </si>
  <si>
    <t>ADV INTELL SYST</t>
  </si>
  <si>
    <t>10.1007/978-3-030-15235-2_129</t>
  </si>
  <si>
    <t>Computer Science, Artificial Intelligence; Computer Science, Theory &amp; Methods</t>
  </si>
  <si>
    <t>Computer Science</t>
  </si>
  <si>
    <t>BO0EU</t>
  </si>
  <si>
    <t>WOS:000490430400129</t>
  </si>
  <si>
    <t>Li, LY</t>
  </si>
  <si>
    <t>IEEE</t>
  </si>
  <si>
    <t>Li, Leyi</t>
  </si>
  <si>
    <t>Research on the Impact of Artificial Intelligence and Internationalization on Sustainable Development of Enterprises</t>
  </si>
  <si>
    <t>2024 7TH INTERNATIONAL CONFERENCE ON ARTIFICIAL INTELLIGENCE AND BIG DATA, ICAIBD 2024</t>
  </si>
  <si>
    <t>International Conference on Artificial Intelligence and Big Data</t>
  </si>
  <si>
    <t>7th International Conference on Artificial Intelligence and Big Data (ICAIBD)</t>
  </si>
  <si>
    <t>MAY 24-27, 2024</t>
  </si>
  <si>
    <t>Chengdu, PEOPLES R CHINA</t>
  </si>
  <si>
    <t>IEEE,Sichuan Province Comp Federat</t>
  </si>
  <si>
    <t>International Procurement; Digitization; Artificial Intelligence Technology; Sustainable Development</t>
  </si>
  <si>
    <t>The rapid development of information technologies such as the Internet of Things, big data, and artificial intelligence provides good opportunities for digital transformation of enterprises, especially the use of artificial intelligence plays an important role in improving enterprise performance; At the same time, the country also vigorously advocates opening up to the outside world and encourages enterprises to go out and bring in. Based on this, this article is based on the data of A-share listed companies in Shanghai and Shenzhen from 2009 to 2016, and uses Python technology to construct artificial intelligence measurement indicators. It studies the impact of internationalization and digitization on the green innovation performance and operational performance of enterprises, and explores the impact of artificial intelligence on enterprise performance from both theoretical and empirical perspectives. Research has found that the use of artificial intelligence and international procurement significantly improve the green innovation performance of enterprises, promote their sustainable development, and at the same time, international procurement also improves the operational performance of enterprises. Further heterogeneity testing of the article also found that compared to state-owned enterprises, artificial intelligence technology has a greater positive impact on the sustainable development performance of non-state-owned enterprises.</t>
  </si>
  <si>
    <t>[Li, Leyi] Henan Univ, Sch Business, Kaifeng, Henan, Peoples R China</t>
  </si>
  <si>
    <t>Henan University</t>
  </si>
  <si>
    <t>Li, LY (corresponding author), Henan Univ, Sch Business, Kaifeng, Henan, Peoples R China.</t>
  </si>
  <si>
    <t>2274855142@qq.com</t>
  </si>
  <si>
    <t>Li, Leyi/JEP-2338-2023</t>
  </si>
  <si>
    <t>345 E 47TH ST, NEW YORK, NY 10017 USA</t>
  </si>
  <si>
    <t>2769-3546</t>
  </si>
  <si>
    <t>979-8-3503-8511-3; 979-8-3503-8510-6</t>
  </si>
  <si>
    <t>Artif Intel Big Data</t>
  </si>
  <si>
    <t>10.1109/ICAIBD62003.2024.10604496</t>
  </si>
  <si>
    <t>Computer Science, Artificial Intelligence; Computer Science, Interdisciplinary Applications</t>
  </si>
  <si>
    <t>BX4MH</t>
  </si>
  <si>
    <t>WOS:001291266000088</t>
  </si>
  <si>
    <t>Korteling, JE; Van de Boer-Visschedijk, GC; Blankendaal, RAM; Boonekamp, RC; Eikelboom, AR</t>
  </si>
  <si>
    <t>Korteling, J. E. (Hans); Van de Boer-Visschedijk, G. C.; Blankendaal, R. A. M.; Boonekamp, R. C.; Eikelboom, A. R.</t>
  </si>
  <si>
    <t>Human- versus Artificial Intelligence</t>
  </si>
  <si>
    <t>FRONTIERS IN ARTIFICIAL INTELLIGENCE</t>
  </si>
  <si>
    <t>human intelligence; artificial intelligence; artificial general intelligence; human-level artificial intelligence; cognitive complexity; narrow artificial intelligence; human-AI collaboration; cognitive bias</t>
  </si>
  <si>
    <t>LINE SEGMENTS; BIAS; PRINCIPLES; CRITIQUE; DESIGN; ORIGIN; SELF</t>
  </si>
  <si>
    <t>AI is one of the most debated subjects of today and there seems little common understanding concerning the differences and similarities of human intelligence and artificial intelligence. Discussions on many relevant topics, such as trustworthiness, explainability, and ethics are characterized by implicit anthropocentric and anthropomorphistic conceptions and, for instance, the pursuit of human-like intelligence as the golden standard for Artificial Intelligence. In order to provide more agreement and to substantiate possible future research objectives, this paper presents three notions on the similarities and differences between human- and artificial intelligence: 1) the fundamental constraints of human (and artificial) intelligence, 2) human intelligence as one of many possible forms of general intelligence, and 3) the high potential impact of multiple (integrated) forms of narrow-hybrid AI applications. For the time being, AI systems will have fundamentally different cognitive qualities and abilities than biological systems. For this reason, a most prominent issue is how we can use (and collaborate with) these systems as effectively as possible? For what tasks and under what conditions, decisions are safe to leave to AI and when is human judgment required? How can we capitalize on the specific strengths of human- and artificial intelligence? How to deploy AI systems effectively to complement and compensate for the inherent constraints of human cognition (and vice versa)? Should we pursue the development of AI partners with human (-level) intelligence or should we focus more at supplementing human limitations? In order to answer these questions, humans working with AI systems in the workplace or in policy making have to develop an adequate mental model of the underlying `psychological' mechanisms of AI. So, in order to obtain well-functioning human-AI systems, Intelligence Awareness in humans should be addressed more vigorously. For this purpose a first framework for educational content is proposed.</t>
  </si>
  <si>
    <t>[Korteling, J. E. (Hans); Van de Boer-Visschedijk, G. C.; Blankendaal, R. A. M.; Boonekamp, R. C.; Eikelboom, A. R.] TNO Human Factors, Soesterberg, Netherlands</t>
  </si>
  <si>
    <t>Netherlands Organization Applied Science Research</t>
  </si>
  <si>
    <t>Korteling, JE (corresponding author), TNO Human Factors, Soesterberg, Netherlands.</t>
  </si>
  <si>
    <t>hans.korteling@tno.nl</t>
  </si>
  <si>
    <t>Duque, Jorge/0000-0003-4939-6176</t>
  </si>
  <si>
    <t>Dutch Ministry of Defense - Netherlands Organization for Applied Scientific Research (TNO) [V1719]</t>
  </si>
  <si>
    <t>Dutch Ministry of Defense - Netherlands Organization for Applied Scientific Research (TNO)</t>
  </si>
  <si>
    <t>The authors want to thank J. van Diggelen, L.J.H.M. Kester for their useful inputs for this manuscript. The present paper was a deliverable of 1) the BIHUNT program (Behavioral Impact of NIC Teaming, V1719) funded by the Dutch Ministry of Defense and of the Wise Policy Making program funded by the Netherlands Organization for Applied Scientific Research (TNO).</t>
  </si>
  <si>
    <t>FRONTIERS MEDIA SA</t>
  </si>
  <si>
    <t>LAUSANNE</t>
  </si>
  <si>
    <t>AVENUE DU TRIBUNAL FEDERAL 34, LAUSANNE, CH-1015, SWITZERLAND</t>
  </si>
  <si>
    <t>2624-8212</t>
  </si>
  <si>
    <t>FRONT ARTIF INTELL</t>
  </si>
  <si>
    <t>Front. Artif. Intell.</t>
  </si>
  <si>
    <t>10.3389/frai.2021.622364</t>
  </si>
  <si>
    <t>Computer Science, Artificial Intelligence; Computer Science, Information Systems</t>
  </si>
  <si>
    <t>YT9WW</t>
  </si>
  <si>
    <t>Green Published, gold</t>
  </si>
  <si>
    <t>WOS:000751704800034</t>
  </si>
  <si>
    <t>McGregor, S</t>
  </si>
  <si>
    <t>McGregor, Sean</t>
  </si>
  <si>
    <t>A Scaled Multiyear Responsible Artificial Intelligence Impact Assessment</t>
  </si>
  <si>
    <t>COMPUTER</t>
  </si>
  <si>
    <t>Artificial intelligence; Social factors</t>
  </si>
  <si>
    <t>The IBM Watson AI XPRIZE was a US$5 million competition calling for teams to improve the world for good with artificial intelligence. Over the course of four years, more than 150 teams were evaluated for their impacts and responsible engineering for social change.</t>
  </si>
  <si>
    <t>[McGregor, Sean] XPRIZE Fdn, Culver City, CA 90230 USA; [McGregor, Sean] Responsible Collaborat, Orange, CA 92694 USA</t>
  </si>
  <si>
    <t>McGregor, S (corresponding author), XPRIZE Fdn, Culver City, CA 90230 USA.;McGregor, S (corresponding author), Responsible Collaborat, Orange, CA 92694 USA.</t>
  </si>
  <si>
    <t>computer23@seanbmcgregor.com</t>
  </si>
  <si>
    <t>McGregor, Sean/0000-0001-5803-4981</t>
  </si>
  <si>
    <t>IEEE COMPUTER SOC</t>
  </si>
  <si>
    <t>LOS ALAMITOS</t>
  </si>
  <si>
    <t>10662 LOS VAQUEROS CIRCLE, PO BOX 3014, LOS ALAMITOS, CA 90720-1314 USA</t>
  </si>
  <si>
    <t>0018-9162</t>
  </si>
  <si>
    <t>1558-0814</t>
  </si>
  <si>
    <t>Computer</t>
  </si>
  <si>
    <t>AUG</t>
  </si>
  <si>
    <t>10.1109/MC.2022.3231551</t>
  </si>
  <si>
    <t>Computer Science, Hardware &amp; Architecture; Computer Science, Software Engineering</t>
  </si>
  <si>
    <t>Q1HA3</t>
  </si>
  <si>
    <t>hybrid</t>
  </si>
  <si>
    <t>WOS:001055084500005</t>
  </si>
  <si>
    <t>Zhang, C; Zhu, WD; Dai, J; Wu, Y; Chen, XL</t>
  </si>
  <si>
    <t>Zhang, Chao; Zhu, Weidong; Dai, Jun; Wu, Yong; Chen, Xulong</t>
  </si>
  <si>
    <t>Ethical impact of artificial intelligence in managerial accounting</t>
  </si>
  <si>
    <t>INTERNATIONAL JOURNAL OF ACCOUNTING INFORMATION SYSTEMS</t>
  </si>
  <si>
    <t>Artificial intelligence AI; Managerial accounting; Ethical impact; Ethics</t>
  </si>
  <si>
    <t>BUSINESS INTELLIGENCE; OPPORTUNITIES; ANALYTICS; SYSTEMS; AUDIT</t>
  </si>
  <si>
    <t>Recent advances in technology have accelerated digitalization and intelligence in modern busi-ness. Particularly, the increasing use of Artificial Intelligence (AI) in managerial accounting is expected to accurately measure corporate performance, provide intelligent analyses, and predict the future of a company. However, along with the benefits, ethical concerns of using AI also arise, such as deprofessionalization, data breach, and isolation among accountants. This paper explores the ethical impact of AI in managerial accounting at both pre-and post-adoption stages. Based on 47 interviews conducted with companies, an AI system vendor, and regulators, we found that data security, privacy, and misuse; accountability; accessibility; benefits and challenges; and transparency and trust of AI are among the most common ethical risks in the development and use of AI in managerial accounting. Unique ethical impacts on four types of stakeholders: developers, managers in charge of AI adoption, managerial accountants, and regulators, were also discovered.</t>
  </si>
  <si>
    <t>[Zhang, Chao; Wu, Yong] Hefei Univ Technol, Sch Management, 193 Tunxi Rd, Hefei 230009, Anhui, Peoples R China; [Zhu, Weidong] Hefei Univ Technol, Sch Econ, 193 Tunxi Rd, Hefei 230009, Anhui, Peoples R China; [Dai, Jun] Southwestern Univ Finance &amp; Econ, Sch Accounting, 555 Liutai Ave, Chengdu 611130, Sichuan, Peoples R China; [Chen, Xulong] Anhui Cnbisoft Software Technol Co Ltd, 2nd Floor,Bldg 12,Internet Ind Pk,Garden Ave, Hefei 230009, Anhui, Peoples R China</t>
  </si>
  <si>
    <t>Hefei University of Technology; Hefei University of Technology; Southwestern University of Finance &amp; Economics - China</t>
  </si>
  <si>
    <t>Wu, Y (corresponding author), Hefei Univ Technol, Sch Management, 193 Tunxi Rd, Hefei 230009, Anhui, Peoples R China.;Dai, J (corresponding author), Southwestern Univ Finance &amp; Econ, Sch Accounting, 555 Liutai Ave, Chengdu 611130, Sichuan, Peoples R China.</t>
  </si>
  <si>
    <t>judai@mtu.edu; wuyong@hfut.edu.cn</t>
  </si>
  <si>
    <t>Chen, xulong/LNR-3540-2024</t>
  </si>
  <si>
    <t>Dai, Jun/0000-0003-0814-348X</t>
  </si>
  <si>
    <t>ELSEVIER</t>
  </si>
  <si>
    <t>AMSTERDAM</t>
  </si>
  <si>
    <t>RADARWEG 29, 1043 NX AMSTERDAM, NETHERLANDS</t>
  </si>
  <si>
    <t>1467-0895</t>
  </si>
  <si>
    <t>1873-4723</t>
  </si>
  <si>
    <t>INT J ACCOUNT INF SY</t>
  </si>
  <si>
    <t>Int. J. Account. Inf. Syst.</t>
  </si>
  <si>
    <t>JUN</t>
  </si>
  <si>
    <t>10.1016/j.accinf.2023.100619</t>
  </si>
  <si>
    <t>MAR 2023</t>
  </si>
  <si>
    <t>Business; Business, Finance; Management</t>
  </si>
  <si>
    <t>A2SU3</t>
  </si>
  <si>
    <t>WOS:000953690600001</t>
  </si>
  <si>
    <t>Mannuru, NR; Shahriar, S; Teel, ZA; Wang, T; Lund, BD; Tijani, S; Pohboon, CO; Agbaji, D; Alhassan, J; Galley, J; Kousari, R; Ogbadu-Oladapo, L; Saurav, SK; Srivastava, A; Tummuru, SP; Uppala, S; Vaidya, P</t>
  </si>
  <si>
    <t>Mannuru, Nishith Reddy; Shahriar, Sakib; Teel, Zoe A.; Wang, Ting; Lund, Brady D.; Tijani, Solomon; Pohboon, Chalermchai Oak; Agbaji, Daniel; Alhassan, Joy; Galley, Jaklyn; Kousari, Raana; Ogbadu-Oladapo, Lydia; Saurav, Shubham Kumar; Srivastava, Aishwarya; Tummuru, Sai Priya; Uppala, Sravya; Vaidya, Praveenkumar</t>
  </si>
  <si>
    <t>Artificial intelligence in developing countries: The impact of generative artificial intelligence (AI) technologies for development</t>
  </si>
  <si>
    <t>INFORMATION DEVELOPMENT</t>
  </si>
  <si>
    <t>Article; Early Access</t>
  </si>
  <si>
    <t>generative AI; artificial intelligence; fourth industrial revolution; developing countries; technological change</t>
  </si>
  <si>
    <t>HEALTH-CARE; INDUSTRIAL-REVOLUTION; INNOVATION; POLICY</t>
  </si>
  <si>
    <t>This paper explores the potential impact of Generative Artificial Intelligence (Generative AI) on developing countries, considering both positive and negative effects across various domains of information, culture, and industry. Generative Artificial Intelligence refers to artificial intelligence (AI) systems that generate content, such as text, audio, or video, aiming to produce novel and creative outputs based on training data. Compared to conversational artificial intelligence, generative artificial intelligence systems have the unique capability of not only providing replies but also generating the content of those responses. Recent advancements in Artificial Intelligence during the Fourth Industrial Revolution, exemplified by tools like ChatGPT, have gained popularity and reshaped content production and creation. However, the benefits of generative artificial intelligence are not equally accessible to all, especially in developing countries, where limited access to cutting-edge technologies and inadequate infrastructure pose challenges. This paper seeks to understand the potential impact of generative AI technologies on developing countries, considering economic growth, access to technology, and the potential paradigm shift in education, healthcare, and the environment. The findings emphasize the importance of providing the necessary support and infrastructure to ensure that generative AI contributes to inclusive development rather than deepening existing inequalities. The study highlights the significance of integrating Generative AI into the context of the Fourth Industrial Revolution in developing countries, where technological change is a crucial determinant of progress and equitable growth.</t>
  </si>
  <si>
    <t>[Mannuru, Nishith Reddy; Teel, Zoe A.; Lund, Brady D.; Pohboon, Chalermchai Oak; Agbaji, Daniel; Ogbadu-Oladapo, Lydia; Tummuru, Sai Priya; Uppala, Sravya] Univ North Texas, Dept Informat Sci, Denton, TX 76205 USA; [Shahriar, Sakib] Univ Guelph, Sch Comp Sci, Guelph, ON, Canada; [Wang, Ting; Galley, Jaklyn] Emporia State Univ, Sch Lib &amp; Informat Management, Emporia, KS USA; [Tijani, Solomon] Nigerian Inst Social &amp; Econ Res, Ibadan, Nigeria; [Kousari, Raana] Iran Univ Med Sci, Sch Hlth Management &amp; Informat Sci, Dept Med Lib &amp; Informat Sci, Tehran, Iran; [Saurav, Shubham Kumar] Indian Stat Inst, Documentat Res &amp; Training Ctr, Bangalore, India; [Srivastava, Aishwarya] Seth MR Jaipuria Sch, Rajajipuram Campus, Lucknow, India; [Vaidya, Praveenkumar] CHRIST Univ Pune Lavasa India, Pune, Maharashtra, India</t>
  </si>
  <si>
    <t>University of North Texas System; University of North Texas Denton; University of Guelph; Iran University of Medical Sciences; Indian Statistical Institute; Indian Statistical Institute Bangalore</t>
  </si>
  <si>
    <t>Lund, BD (corresponding author), Univ North Texas, Dept Informat Sci, Denton, TX 76205 USA.</t>
  </si>
  <si>
    <t>Brady.Lund@unt.edu</t>
  </si>
  <si>
    <t>kousari, raana/AAF-1520-2021; Teel, Zoe/KFS-1378-2024; Vaidya, Praveen/HOH-1733-2023; Shahriar, Sakib/HNS-7528-2023; Wang, Ting/ABG-3298-2022; Mannuru, Nishith Reddy/GRJ-1450-2022; Lund, Brady/GLV-4793-2022; Saurav, Shubham/LVR-0355-2024; Agbaji, Daniel/GYU-3641-2022; Agbaji, Daniel/Y-3950-2018</t>
  </si>
  <si>
    <t>Tijani, Solomon/0000-0001-8535-8527; Agbaji, Daniel/0000-0001-6904-1829; Vaidya, Praveenkumar/0000-0002-5678-5682; Lund, Brady/0000-0002-4819-8162; Saurav, Shubham Kumar/0009-0006-2003-0014; Ogbadu-Oladapo, Lydia/0000-0003-2973-9805</t>
  </si>
  <si>
    <t>SAGE PUBLICATIONS LTD</t>
  </si>
  <si>
    <t>LONDON</t>
  </si>
  <si>
    <t>1 OLIVERS YARD, 55 CITY ROAD, LONDON EC1Y 1SP, ENGLAND</t>
  </si>
  <si>
    <t>0266-6669</t>
  </si>
  <si>
    <t>1741-6469</t>
  </si>
  <si>
    <t>INFORM DEV</t>
  </si>
  <si>
    <t>Inf. Dev.</t>
  </si>
  <si>
    <t>2023 SEP 14</t>
  </si>
  <si>
    <t>10.1177/02666669231200628</t>
  </si>
  <si>
    <t>SEP 2023</t>
  </si>
  <si>
    <t>Information Science &amp; Library Science</t>
  </si>
  <si>
    <t>R8BL1</t>
  </si>
  <si>
    <t>WOS:001066552100001</t>
  </si>
  <si>
    <t>Sample, C; Shelton, C; McAndrew, I; Justice, C</t>
  </si>
  <si>
    <t>Griffiths, P; Kabir, MN</t>
  </si>
  <si>
    <t>Sample, Char; Shelton, Cragin; McAndrew, Ian; Justice, Connie</t>
  </si>
  <si>
    <t>The Impact of Artificial Intelligence on University Cyber Security Programs</t>
  </si>
  <si>
    <t>PROCEEDINGS OF THE EUROPEAN CONFERENCE ON THE IMPACT OF ARTIFICIAL INTELLIGENCE AND ROBOTICS (ECIAIR 2019)</t>
  </si>
  <si>
    <t>European Conference on the Impact of Artificial Intelligence and Robotics (ECIAIR)</t>
  </si>
  <si>
    <t>OCT 31-NOV 01, 2019</t>
  </si>
  <si>
    <t>EM Normandie Business Sch, Oxford, ENGLAND</t>
  </si>
  <si>
    <t>EM Normandie Business Sch</t>
  </si>
  <si>
    <t>Artificial Intelligence; cyber security education; security requirements</t>
  </si>
  <si>
    <t>Artificial intelligence (AI) is expected to transform the future of cyber security in many ways and higher education is no exception. Current course content taught in many subjects and especially some of the standard course offerings will become dated or irrelevant as AI-powered machines assume tasks for which the current group of students are being trained. The process of phasing out the old and introducing the new courses will be disruptive for students, educators and institutions even as fielding of AI-capable cyber security systems will be disruptive in industry and government environments. Universities that fail to adapt will find their cyber security offerings irrelevant, as their graduates become unemployable. AI-induced changes in the practice of cyber security and the related employment market will influence cyber security course content, the manner in which the classes are taught, as well as goals and learning objectives. Additionally, schools will need to change faculty requirements, while administrators will need to envision new directions and plan the migration to new programs. The impact of these AI-driven changes will create an inflection point for university cyber security program instructors, chairs, and deans. The researchers for this paper each bring various perspectives to the discussion through a pilot exploratory study. These views incorporated reflect the concerns of cyber security program leadership, the educators, the students and the researchers.</t>
  </si>
  <si>
    <t>[Sample, Char] ICF Inc, Columbia, MD 21046 USA; Indiana Univ Purdue, Indianapolis, IN USA; Capitol Technol Univ, Laurel, MD USA</t>
  </si>
  <si>
    <t>Indiana University System; Indiana University Indianapolis; Capitol Technology University</t>
  </si>
  <si>
    <t>Sample, C (corresponding author), ICF Inc, Columbia, MD 21046 USA.</t>
  </si>
  <si>
    <t>charsample50@gmail.com; drcragin@icloud.com; irmcandrew@captechu.edu; connie.justice@gmail.com</t>
  </si>
  <si>
    <t>978-1-912764-44-0</t>
  </si>
  <si>
    <t>10.34190/ECIAIR.19.010</t>
  </si>
  <si>
    <t>BP1JZ</t>
  </si>
  <si>
    <t>WOS:000539633500055</t>
  </si>
  <si>
    <t>Ferreira, P; Teixeira, JG; Teixeira, LF</t>
  </si>
  <si>
    <t>Novoa, H; Dragoicea, M; Kuhl, N</t>
  </si>
  <si>
    <t>Ferreira, Pedro; Teixeira, Jorge Grenha; Teixeira, Luis F.</t>
  </si>
  <si>
    <t>Understanding the Impact of Artificial Intelligence on Services</t>
  </si>
  <si>
    <t>EXPLORING SERVICE SCIENCE (IESS 2020)</t>
  </si>
  <si>
    <t>Lecture Notes in Business Information Processing</t>
  </si>
  <si>
    <t>10th International Conference on Exploring Service Science (IESS)</t>
  </si>
  <si>
    <t>FEB 05-07, 2020</t>
  </si>
  <si>
    <t>Univ Porto, Fac Engn, Porto, PORTUGAL</t>
  </si>
  <si>
    <t>Univ Porto, Fac Engn</t>
  </si>
  <si>
    <t>Service science; Artificial Intelligence; Grounded Theory</t>
  </si>
  <si>
    <t>JOBS</t>
  </si>
  <si>
    <t>Services are the backbone of modern economies and are increasingly supported by technology. Meanwhile, there is an accelerated growth of new technologies that are able to learn from themselves, providing more and more relevant results, i.e. Artificial Intelligence (AI). While there have been significant advances on the capabilities of AI, the impacts of this technology on service provision are still unknown. Conceptual research claims that AI offers a way to augment human capabilities or position it as a threat to human jobs. The objective of this study is to better understand the impact of AI on service, namely by understanding current trends in AI, and how they are, and will, impact service provision. To achieve this, a qualitative study, following Grounded Theory methodology was performed, with ten Artificial Intelligence experts selected from industry and academia.</t>
  </si>
  <si>
    <t>[Ferreira, Pedro; Teixeira, Jorge Grenha; Teixeira, Luis F.] Univ Porto, Fac Engn, Porto, Portugal; [Teixeira, Jorge Grenha; Teixeira, Luis F.] INESC TEC, Porto, Portugal</t>
  </si>
  <si>
    <t>Universidade do Porto; INESC TEC</t>
  </si>
  <si>
    <t>Teixeira, JG (corresponding author), Univ Porto, Fac Engn, Porto, Portugal.;Teixeira, JG (corresponding author), INESC TEC, Porto, Portugal.</t>
  </si>
  <si>
    <t>jteixeira@fe.up.pt</t>
  </si>
  <si>
    <t>Grenha Teixeira, Jorge/B-8661-2014; Teixeira, Luis/E-1319-2011</t>
  </si>
  <si>
    <t>Grenha Teixeira, Jorge/0000-0003-3729-6987; Teixeira, Luis/0000-0002-4050-7880</t>
  </si>
  <si>
    <t>1865-1348</t>
  </si>
  <si>
    <t>1865-1356</t>
  </si>
  <si>
    <t>978-3-030-38724-2; 978-3-030-38723-5</t>
  </si>
  <si>
    <t>LECT NOTES BUS INF P</t>
  </si>
  <si>
    <t>10.1007/978-3-030-38724-2_15</t>
  </si>
  <si>
    <t>Business; Computer Science, Cybernetics; Computer Science, Information Systems; Computer Science, Interdisciplinary Applications; Management</t>
  </si>
  <si>
    <t>Conference Proceedings Citation Index - Science (CPCI-S); Conference Proceedings Citation Index - Social Science &amp; Humanities (CPCI-SSH)</t>
  </si>
  <si>
    <t>Business &amp; Economics; Computer Science</t>
  </si>
  <si>
    <t>BR5EJ</t>
  </si>
  <si>
    <t>WOS:000654630700015</t>
  </si>
  <si>
    <t>Duduka, J; Reis, A; Pereira, R; Pires, E; Sousa, J; Pinto, T</t>
  </si>
  <si>
    <t>Reis, A; Barroso, J; Martins, P; Jimoyiannis, A; Huang, RYM; Henriques, R</t>
  </si>
  <si>
    <t>Duduka, Jacint; Reis, Arsenio; Pereira, Rodrigo; Pires, Eduardo; Sousa, Jose; Pinto, Tiago</t>
  </si>
  <si>
    <t>The Impact of Artificial Intelligence on Chatbot Design</t>
  </si>
  <si>
    <t>TECHNOLOGY AND INNOVATION IN LEARNING, TEACHING AND EDUCATION, TECH-EDU 2022</t>
  </si>
  <si>
    <t>Communications in Computer and Information Science</t>
  </si>
  <si>
    <t>3rd International Conference on Technology and Innovation in Learning, Teaching and Education (TECH-EDU)</t>
  </si>
  <si>
    <t>AUG 31-SEP 02, 2022</t>
  </si>
  <si>
    <t>NOVA IMS, Lisbon, PORTUGAL</t>
  </si>
  <si>
    <t>NOVA IMS</t>
  </si>
  <si>
    <t>Artificial intelligence; Chatbots; Conversational agents; Natural language processing</t>
  </si>
  <si>
    <t>Artificial intelligence is transforming the way chatbots are created and used. The recent boom of artificial intelligence development is creating a whole new generation of intelligent approaches that enable a more efficient and effective design of chatbots. On the other hand, the increasing need and interest from the industry in artificial intelligence based solutions, is guaranteeing the necessary investment and applicational know-how that is pushing such solutions to a new dimension. Some relevant examples are e-commerce, health or education, which is the main focus of this work. This paper studies and analyses the impact that artificial intelligence models and solutions is having on the design and development of chatbots, when compared to the previously used approaches. Some of the most relevant current and future challenges in this domain are highlighted, which include language learning, sentiment interpretation, integration with other services, or data security and privacy issues.</t>
  </si>
  <si>
    <t>[Duduka, Jacint; Reis, Arsenio; Pereira, Rodrigo; Pires, Eduardo; Sousa, Jose; Pinto, Tiago] Univ Tras Os Montes &amp; Alto Douro, Vila Real, Portugal; [Duduka, Jacint] Univ Alberta, Edmonton, AB, Canada; [Reis, Arsenio; Pires, Eduardo; Sousa, Jose; Pinto, Tiago] INESC TEC, Vila Real, Portugal</t>
  </si>
  <si>
    <t>University of Tras-os-Montes &amp; Alto Douro; University of Alberta; INESC TEC</t>
  </si>
  <si>
    <t>Duduka, J; Pinto, T (corresponding author), Univ Tras Os Montes &amp; Alto Douro, Vila Real, Portugal.;Pinto, T (corresponding author), INESC TEC, Vila Real, Portugal.</t>
  </si>
  <si>
    <t>al75403@alunos.utad.pt; al68798@alunos.utad.pt; ars@utad.pt; epires@utad.pt; jmsousa@utad.pt; tiagopinto@utad.pt</t>
  </si>
  <si>
    <t>; Pinto, Tiago/T-2245-2018; Monteiro dos Reis, Arsenio/G-2952-2017; Solteiro Pires, Eduardo/M-8833-2013</t>
  </si>
  <si>
    <t>Duduka, Jacint/0000-0003-4480-2403; Pinto, Tiago/0000-0001-8248-080X; PEREIRA, RODRIGO CARDOSO/0000-0002-6623-8084; Monteiro dos Reis, Arsenio/0000-0002-9818-7090; Solteiro Pires, Eduardo/0000-0003-3224-4926</t>
  </si>
  <si>
    <t>European Regional Development Fund (ERDF) [POCI-01-0247-FEDER-047512]</t>
  </si>
  <si>
    <t>European Regional Development Fund (ERDF)(European Union (EU))</t>
  </si>
  <si>
    <t>This work was supported by the RD Project Continental Factory of Future, (CONTINENTAL FoF)/POCI-01-0247-FEDER-047512, financed by the European Regional Development Fund (ERDF), through the Program Programa Operacional Competitividade e Internacionalizacao (POCI)/PORTUGAL 2020, under the management of aicep Portugal Global -Trade Investment Agency.</t>
  </si>
  <si>
    <t>1865-0929</t>
  </si>
  <si>
    <t>1865-0937</t>
  </si>
  <si>
    <t>978-3-031-22917-6; 978-3-031-22918-3</t>
  </si>
  <si>
    <t>COMM COM INF SC</t>
  </si>
  <si>
    <t>10.1007/978-3-031-22918-3_39</t>
  </si>
  <si>
    <t>Computer Science, Interdisciplinary Applications; Education &amp; Educational Research; Education, Scientific Disciplines</t>
  </si>
  <si>
    <t>Computer Science; Education &amp; Educational Research</t>
  </si>
  <si>
    <t>BV0RJ</t>
  </si>
  <si>
    <t>WOS:000976791200039</t>
  </si>
  <si>
    <t>Polunina, O</t>
  </si>
  <si>
    <t>Polunina, Olga</t>
  </si>
  <si>
    <t>Is Artificial Intelligence Disruptive?</t>
  </si>
  <si>
    <t>artificial intelligence; Fourth Industrial Revolution; information and psychological security; ICT; malicious use of artificial intelligence</t>
  </si>
  <si>
    <t>The paper aims to analyze the risks and hazards of information and psychological security within the framework of the development of artificial intelligence as one of the possible causes of controlled chaos in the modern world. Even today, the social and political basis of many managerial methods are being changed from the point of view of their architecture because of information and communication technologies. In general global information data bases, intellectual analytical systems and information technologies force specialists to deal with absolutely new kinds of decision making and prognostics either in social or political management. The genesis of the main areas of problem management and prognostics is connected as a rule with strict time limits and available media solutions. The paper also considers the problem of the nonstructural nature of modern data and the way that creates an additional challenge for the functioning of various systems. Data hygiene and a new philosophy of data structure are important elements of future advances and far-sighted strategies for most organisations. Big possibilities create big problems. One of them is inequality, but not in the economic sense, but in terms of inequality in the access to information data, to control information data. It actually means that the advantages of the digital revolution, the Fourth Industrial revolution and artificial intelligence development are going to concentrate in the hands of an extremely small percentage of the population. This is dangerous for social and political stability. Under such conditions, the main way to maintain some balance is mutual development, co-operation and dialogue at least in the scientific sphere.</t>
  </si>
  <si>
    <t>[Polunina, Olga] RSSU, Moscow, Russia</t>
  </si>
  <si>
    <t>Russian State Social University (RSSU)</t>
  </si>
  <si>
    <t>Polunina, O (corresponding author), RSSU, Moscow, Russia.</t>
  </si>
  <si>
    <t>olga-polunina@inbox.ru</t>
  </si>
  <si>
    <t>Polunina, Olga/ABH-9875-2020</t>
  </si>
  <si>
    <t>10.34190/ECIAIR.19.100</t>
  </si>
  <si>
    <t>WOS:000539633500030</t>
  </si>
  <si>
    <t>Giraud, L; Zaher, A; Hernandez, S; Akram, A</t>
  </si>
  <si>
    <t>Giraud, Laurent; Zaher, Ali; Hernandez, Selena; Akram, Al Ariss</t>
  </si>
  <si>
    <t>The impacts of artificial intelligence on managerial skills</t>
  </si>
  <si>
    <t>JOURNAL OF DECISION SYSTEMS</t>
  </si>
  <si>
    <t>Artificial intelligence; impact; managers; skills; artificial intelligence-human resource management interface</t>
  </si>
  <si>
    <t>HUMAN-RESOURCE MANAGEMENT; DIGITAL TRANSFORMATION; DECISION-MAKING; BIG DATA; FUTURE; AI; AUTOMATION; CHALLENGES; DESIGN; WORK</t>
  </si>
  <si>
    <t>Artificial Intelligence (AI) in organisations may change ways of working and disrupt occupations, including managerial ones. Yet, the literature lacks information about how managerial skills will be affected by the implementation of AI within organisations. To investigate this topic, a thematic content analysis was performed on data collected from qualitative and semi-structured interviews with 40 AI experts. These first results were then confirmed through descriptive statistics performed on data collected from 103 other AI experts who also ranked the managerial skills to be developed in order of priority. Our final results show that most managerial skills are likely to be augmented by AI, while only a few of them may be replaced (information gathering and simple decision-making) or remain unaffected (leadership and imagination). Our study updates existing technical and non-technical taxonomies of managerial skills needed to keep pace with AI. It also contributes to the development of the AI-Human Resource Management interface.</t>
  </si>
  <si>
    <t>[Giraud, Laurent] Savoie Mont Blanc Univ, IREGE, IAE, 4 Chem Bellevue, F-74944 Annecy, France; [Zaher, Ali] Jean Moulin Lyon 3 Univ, IAE Lyon Sch Management, Magellan Res Ctr, Lyon, France; [Hernandez, Selena; Akram, Al Ariss] TBS Educ, Toulouse, France</t>
  </si>
  <si>
    <t>Universite Savoie Mont Blanc; Universite Jean Moulin Lyon 3</t>
  </si>
  <si>
    <t>Giraud, L (corresponding author), Savoie Mont Blanc Univ, IREGE, IAE, 4 Chem Bellevue, F-74944 Annecy, France.</t>
  </si>
  <si>
    <t>laurent.giraud@univ-smb.fr</t>
  </si>
  <si>
    <t>Zaher, Ali/HSG-6732-2023</t>
  </si>
  <si>
    <t>Zaher, Ali/0000-0002-9992-948X; GIRAUD, Laurent/0000-0003-3703-9075</t>
  </si>
  <si>
    <t>Airbus Leadership University</t>
  </si>
  <si>
    <t>This work was supported by the Airbus Leadership University.</t>
  </si>
  <si>
    <t>TAYLOR &amp; FRANCIS LTD</t>
  </si>
  <si>
    <t>ABINGDON</t>
  </si>
  <si>
    <t>2-4 PARK SQUARE, MILTON PARK, ABINGDON OR14 4RN, OXON, ENGLAND</t>
  </si>
  <si>
    <t>1246-0125</t>
  </si>
  <si>
    <t>2116-7052</t>
  </si>
  <si>
    <t>J DECIS SYST</t>
  </si>
  <si>
    <t>J. Decis. Syst.</t>
  </si>
  <si>
    <t>JUL 26</t>
  </si>
  <si>
    <t>SI</t>
  </si>
  <si>
    <t>10.1080/12460125.2022.2069537</t>
  </si>
  <si>
    <t>JUN 2022</t>
  </si>
  <si>
    <t>Operations Research &amp; Management Science</t>
  </si>
  <si>
    <t>W5SP8</t>
  </si>
  <si>
    <t>WOS:000811167800001</t>
  </si>
  <si>
    <t>Nie, CF; Lu, ZX; Feng, Y</t>
  </si>
  <si>
    <t>Nie, Changfei; Lu, Zhixiang; Feng, Yuan</t>
  </si>
  <si>
    <t>The smarter the cleaner: Evaluating the impact of artificial intelligence on haze pollution</t>
  </si>
  <si>
    <t>URBAN CLIMATE</t>
  </si>
  <si>
    <t>Artificial intelligence; Artificial intelligence firms; Haze pollution; China</t>
  </si>
  <si>
    <t>This paper innovatively evaluates the level of artificial intelligence (AI) by counting AI firms and employs a two-way fixed-effects model to analyze the impact of AI on haze pollution (HP), using panel data of 264 Chinese cities from 2006 and 2021. It is found that AI is an effective means to reduce urban HP, and that for every 1 % increase in the number of urban AI firms, PM 2.5 is reduced by about 2.22 %. Regarding mechanisms, AI mainly reduces urban HP through two ways: stimulating technology innovation and promoting industrial structure upgrading. Heterogeneity tests show that the haze reduction effect of AI varies due to urban HP level, urban location and urban characteristics, and is more pronounced in cities with high HP, as well as in western cities, northern cities, cities of high administrative levels, and resource-based cities. Our findings provide new insights for policy makers to better utilize AI technology to reduce HP.</t>
  </si>
  <si>
    <t>[Nie, Changfei; Lu, Zhixiang] Nanchang Univ, Sch Econ &amp; Management, Nanchang, Peoples R China; [Feng, Yuan] Jiangxi Normal Univ, Coll City Construct, Nanchang, Peoples R China</t>
  </si>
  <si>
    <t>Nanchang University; Jiangxi Normal University</t>
  </si>
  <si>
    <t>Feng, Y (corresponding author), Jiangxi Normal Univ, Coll City Construct, Nanchang, Peoples R China.</t>
  </si>
  <si>
    <t>luzhixiang@ncdx.wecom.work; 15623529927@163.com</t>
  </si>
  <si>
    <t>Nie, Changfei/KIC-4891-2024</t>
  </si>
  <si>
    <t>Nie, Changfei/0000-0003-0958-2142</t>
  </si>
  <si>
    <t>National Social Science Youth Fund of China [22CJL007]; Jiangxi Social Science Foundation Youth Project [24YJ21]; National College Students' Innovation and Entrepreneurship Training Program Theoretical Analysis and Empirical Examination of the Emergence of Green New Productivity Fostered by Artificial Intelligence Technology</t>
  </si>
  <si>
    <t>National Social Science Youth Fund of China; Jiangxi Social Science Foundation Youth Project; National College Students' Innovation and Entrepreneurship Training Program Theoretical Analysis and Empirical Examination of the Emergence of Green New Productivity Fostered by Artificial Intelligence Technology</t>
  </si>
  <si>
    <t>The National Social Science Youth Fund of China (22CJL007) ; The Jiangxi Social Science Foundation Youth Project (24YJ21) ; The National College Students' Innovation and Entrepreneurship Training Program Theoretical Analysis and Empirical Examination of the Emergence of Green New Productivity Fostered by Artificial Intelligence Technology.</t>
  </si>
  <si>
    <t>2212-0955</t>
  </si>
  <si>
    <t>URBAN CLIM</t>
  </si>
  <si>
    <t>Urban CLim.</t>
  </si>
  <si>
    <t>10.1016/j.uclim.2024.102202</t>
  </si>
  <si>
    <t>NOV 2024</t>
  </si>
  <si>
    <t>Environmental Sciences; Meteorology &amp; Atmospheric Sciences</t>
  </si>
  <si>
    <t>Environmental Sciences &amp; Ecology; Meteorology &amp; Atmospheric Sciences</t>
  </si>
  <si>
    <t>M2H3E</t>
  </si>
  <si>
    <t>WOS:001355795200001</t>
  </si>
  <si>
    <t>Paes, VM; Silveira, FF; Akkari, ACS</t>
  </si>
  <si>
    <t>Iano, Y; Saotome, O; Vasquez, GLK; Pezzuto, CC; Arthur, R; DeOliveira, GG</t>
  </si>
  <si>
    <t>Paes, Vanessa Marques; Silveira, Franciane Freitas; Santos Akkari, Alessandra Cristina</t>
  </si>
  <si>
    <t>Social Impacts of Artificial Intelligence and Mitigation Recommendations: An Exploratory Study</t>
  </si>
  <si>
    <t>PROCEEDINGS OF THE 7TH BRAZILIAN TECHNOLOGY SYMPOSIUM (BTSYM 21): EMERGING TRENDS IN HUMAN SMART AND SUSTAINABLE FUTURE OF CITIES, VOL 1</t>
  </si>
  <si>
    <t>Smart Innovation Systems and Technologies</t>
  </si>
  <si>
    <t>7th Brazilian Technology Symposium (BTSym) - Emerging Trends and Challenges in Technology</t>
  </si>
  <si>
    <t>NOV, 2021</t>
  </si>
  <si>
    <t>PUC Campinas Univ, ELECTR NETWORK</t>
  </si>
  <si>
    <t>KES Int,UNAPUNO Univ</t>
  </si>
  <si>
    <t>PUC Campinas Univ</t>
  </si>
  <si>
    <t>Industry 4.0; Digital technologies; Artificial intelligence; Social impacts</t>
  </si>
  <si>
    <t>With all the changes and adaptations of the industrial sector to migrate to a more technological and connected environment, society also needs to adapt to a new format of work and lifestyle. Therefore, the challenge of evaluating the social impact related to Artificial Intelligence (AI) becomes evident, since the speed of this transformation leads society to rethink the man-machine interaction, as well as the impacts related to the new forms of work that emerge every day. From this perspective, this study aimed to develop a systematic review of the literature and evaluate qualitatively the main social impacts linked to the use of artificial intelligence, as well as the main mitigation actions, using as database the Web Of Science and Scopus. Nine social impacts and twelve mitigation actions were mapped. Among the impacts, bias and discrimination growth due to the use of AI (26%) stand out, followed by the possibility of autonomous systems hurting humans (16%), and then the impact related to the violation of data, privacy, and freedom (15%). It was evident that the recommendation considered to be the most comprehensive refers to increasing the breadth and depth of public debate regarding the risks of AI application. In second place is the recommendation to create laws, principles, and regulations for the use of AI. The results of this study point to the protection of life and human ethics, which are topics that need to be widely investigated for the dissemination of knowledge, and to enable the sustainable development of AI.</t>
  </si>
  <si>
    <t>[Paes, Vanessa Marques; Silveira, Franciane Freitas; Santos Akkari, Alessandra Cristina] Fed Univ ABC UFABC, Sao Bernardo Do Campo, Brazil</t>
  </si>
  <si>
    <t>Paes, VM (corresponding author), Fed Univ ABC UFABC, Sao Bernardo Do Campo, Brazil.</t>
  </si>
  <si>
    <t>vanessa.paes@ufabc.edu.br; franciane.silveira@ufabc.edu.br; alessandra.akkari@ufabc.edu.br</t>
  </si>
  <si>
    <t>SILVEIRA, FRANCIANE/N-6663-2019; Akkari, Alessandra/ABD-8003-2020; Silveira, Franciane/O-2380-2014</t>
  </si>
  <si>
    <t>Silveira, Franciane/0000-0002-8015-8144; Santos Akkari, Alessandra Cristina/0000-0002-5376-7972; Marques Paes, Vanessa/0000-0002-3811-827X</t>
  </si>
  <si>
    <t>2190-3018</t>
  </si>
  <si>
    <t>2190-3026</t>
  </si>
  <si>
    <t>978-3-031-04435-9; 978-3-031-04434-2</t>
  </si>
  <si>
    <t>SMART INNOV SYST TEC</t>
  </si>
  <si>
    <t>10.1007/978-3-031-04435-9_54</t>
  </si>
  <si>
    <t>Computer Science, Artificial Intelligence; Computer Science, Interdisciplinary Applications; Computer Science, Theory &amp; Methods</t>
  </si>
  <si>
    <t>BU1VI</t>
  </si>
  <si>
    <t>WOS:000882854700054</t>
  </si>
  <si>
    <t>Reis, J; Santo, PE; Melao, N</t>
  </si>
  <si>
    <t>Reis, Joao; Santo, Paula Espirito; Melao, Nuno</t>
  </si>
  <si>
    <t>Impacts of Artificial Intelligence on Public Administration: A Systematic Literature Review</t>
  </si>
  <si>
    <t>2019 14TH IBERIAN CONFERENCE ON INFORMATION SYSTEMS AND TECHNOLOGIES (CISTI)</t>
  </si>
  <si>
    <t>Iberian Conference on Information Systems and Technologies</t>
  </si>
  <si>
    <t>14th Iberian Conference on Information Systems and Technologies (CISTI)</t>
  </si>
  <si>
    <t>JUN 19-22, 2019</t>
  </si>
  <si>
    <t>Coimbra, PORTUGAL</t>
  </si>
  <si>
    <t>artificial intelligence; systematic literature review; impacts; public administration</t>
  </si>
  <si>
    <t>AI; DEVICES; ROBOTS; ERA</t>
  </si>
  <si>
    <t>The advent of machines power-driven by Artificial Intelligence (AI) have strongly influenced the world in the 21st century. The future of AI is promising and is offering a wide range of opportunities for scholars and academics. Although the theme has received a considerable attention over the last years, much has been speculated and little is known about its impacts on the Public Administration. Thus, the purpose of this article is to make the result of those impacts less ambiguous. To this end, we have conducted a systematic review to provide a comprehensive analysis on the latest impacts of AI on the Public Administration. Our intent is to narrow the field of study, while AI is being continuously strengthened with new empirical evidences.</t>
  </si>
  <si>
    <t>[Reis, Joao; Santo, Paula Espirito] Univ Lisbon, Inst Social &amp; Polit Sci ISCSP, Lisbon, Portugal; [Reis, Joao] Univ Lisbon, GOVCOPP, Lisbon, Portugal; [Santo, Paula Espirito] Univ Lisbon, CAPP, Lisbon, Portugal; [Melao, Nuno] Polytech Inst Viseu, Sch Technol &amp; Management Viseu, Dept Management, Viseu, Portugal; [Melao, Nuno] Polytech Inst Viseu, Sch Technol &amp; Management Viseu, CI&amp;DETS, Viseu, Portugal</t>
  </si>
  <si>
    <t>Universidade de Lisboa; Universidade de Lisboa; Universidade de Lisboa; Instituto Politecnico de Viseu; Instituto Politecnico de Viseu</t>
  </si>
  <si>
    <t>Reis, J (corresponding author), Univ Lisbon, Inst Social &amp; Polit Sci ISCSP, Lisbon, Portugal.;Reis, J (corresponding author), Univ Lisbon, GOVCOPP, Lisbon, Portugal.</t>
  </si>
  <si>
    <t>jcgr@campus.ul.pt; paulaes@iscsp.ulisboa.pt; nmelao@estgv.ipv.pt</t>
  </si>
  <si>
    <t>Santo, Paula/F-1815-2010; Melao, Nuno/F-6613-2018; Reis, Joao Carlos Goncalves dos/L-6686-2017</t>
  </si>
  <si>
    <t>Melao, Nuno/0000-0002-1359-3437; Reis, Joao Carlos Goncalves dos/0000-0002-8504-0065</t>
  </si>
  <si>
    <t>national funds through FCT - Fundacao para a Ciencia e Tecnologia I.P. [UID/Multi/04016/2016]; Institute Politecnico de Viseu; CIDETS</t>
  </si>
  <si>
    <t>national funds through FCT - Fundacao para a Ciencia e Tecnologia I.P.(Fundacao para a Ciencia e a Tecnologia (FCT)); Institute Politecnico de Viseu; CIDETS</t>
  </si>
  <si>
    <t>This work is financed by national funds through FCT - Fundacao para a Ciencia e Tecnologia I.P., under the project UID/Multi/04016/2016. Furthermore, we would like to thank the Institute Politecnico de Viseu and CI&amp;DETS for their support.</t>
  </si>
  <si>
    <t>2166-0727</t>
  </si>
  <si>
    <t>978-9-8998-4349-3</t>
  </si>
  <si>
    <t>IBER CONF INF SYST</t>
  </si>
  <si>
    <t>10.23919/cisti.2019.8760893</t>
  </si>
  <si>
    <t>Computer Science, Information Systems</t>
  </si>
  <si>
    <t>BO0LZ</t>
  </si>
  <si>
    <t>Green Submitted</t>
  </si>
  <si>
    <t>WOS:000492038200302</t>
  </si>
  <si>
    <t>Virgilio, GPM; Hoyos, FS; Ratzemberg, CBB</t>
  </si>
  <si>
    <t>Virgilio, Gianluca Piero Maria; Hoyos, Fausto Saavedra; Ratzemberg, Carol Beatriz Bao</t>
  </si>
  <si>
    <t>The impact of artificial intelligence on unemployment: a review</t>
  </si>
  <si>
    <t>INTERNATIONAL JOURNAL OF SOCIAL ECONOMICS</t>
  </si>
  <si>
    <t>Artificial intelligence; Replacement; Soft skills; Unemployment</t>
  </si>
  <si>
    <t>ROBOTS; PRODUCTIVITY; CHALLENGES; EMPLOYMENT; FUTURE; GROWTH; JOBS</t>
  </si>
  <si>
    <t>Purpose - The aim of this paper is to summarise the state-of-the-art debate on impact of artificial intelligence on unemployment and reporting up-to-date academic findings. Design/methodology/approach - The paper is designed as a review of the labour vs capital conundrum, the differences between industrial automation and artificial intelligence, threat to employment, the difficulty of substituting, role of soft skills and whether technology leads to the deskilling of human workers or favors increasing human capabilities. Findings - Some authors praise the bright future developments of artificial intelligence while others warn about mass unemployment. Therefore, it is paramount to present an up-to-date overview of the problem, compare and contrast its features with what happened in past innovation waves and contribute to academic discussion about the pros/cons of current trends. Originality/value - The main value of this paper is presenting a balanced view of 100+ different studies, the vast majority from the last five years. Reading this paper will allow to quickly grasp the main issues around the thorny topic of artificial intelligence and unemployment. Peer review - The peer review history for this article is available at: https://publons.com/publon/10.1108/IJSE-05-2023-0338</t>
  </si>
  <si>
    <t>[Virgilio, Gianluca Piero Maria] Univ Catolica Sedes Sapientiae, Nueva Cajamarca, Peru; [Hoyos, Fausto Saavedra; Ratzemberg, Carol Beatriz Bao] Univ Nacl San Martin, Rioja, Peru</t>
  </si>
  <si>
    <t>Universidad Catolica Sedes Sapientiae</t>
  </si>
  <si>
    <t>Virgilio, GPM (corresponding author), Univ Catolica Sedes Sapientiae, Nueva Cajamarca, Peru.</t>
  </si>
  <si>
    <t>consultgv@gmail.com</t>
  </si>
  <si>
    <t>Virgilio, Gianluca/JAC-7934-2023; Virgilio, Gianluca Piero Maria/U-6682-2018</t>
  </si>
  <si>
    <t>Virgilio, Gianluca Piero Maria/0000-0002-1616-0557; Saavedra Hoyos, Fausto/0000-0002-8073-5909; BAO RATZEMBERG, CAROL BEATRIZ/0000-0003-4205-7446</t>
  </si>
  <si>
    <t>EMERALD GROUP PUBLISHING LTD</t>
  </si>
  <si>
    <t>Leeds</t>
  </si>
  <si>
    <t>Floor 5, Northspring 21-23 Wellington Street, Leeds, W YORKSHIRE, ENGLAND</t>
  </si>
  <si>
    <t>0306-8293</t>
  </si>
  <si>
    <t>1758-6712</t>
  </si>
  <si>
    <t>INT J SOC ECON</t>
  </si>
  <si>
    <t>Int. J. Soc. Econ.</t>
  </si>
  <si>
    <t>NOV 1</t>
  </si>
  <si>
    <t>10.1108/IJSE-05-2023-0338</t>
  </si>
  <si>
    <t>APR 2024</t>
  </si>
  <si>
    <t>K7S1B</t>
  </si>
  <si>
    <t>WOS:001201243100001</t>
  </si>
  <si>
    <t>Yan, GL</t>
  </si>
  <si>
    <t>Yan, Guilong</t>
  </si>
  <si>
    <t>The impact of Artificial Intelligence on hybrid warfare</t>
  </si>
  <si>
    <t>SMALL WARS AND INSURGENCIES</t>
  </si>
  <si>
    <t>Artificial Intelligence; hybrid warfare; technology and war; character of war</t>
  </si>
  <si>
    <t>Through a brief survey of the typical definitions of hybrid warfare (HW), this article illustrates the five salient features of HW: synergy, ambiguity, asymmetry, innovative disruption and battle over psychology; then based on a HW model proposed by Erik Reichborn-Kjennerud and Patrick Cullen, the article discusses the impact of Artificial Intelligence on the five instruments of power - military, political, economic, civil and informational (MPECI), and analyses the changes and continuities of HW in the age of Artificial Intelligence.</t>
  </si>
  <si>
    <t>[Yan, Guilong] PLA Strateg Support Force Informat Engn Univ, Foreign Mil Studies Ctr, 2 Guangwen Rd, Luoyang 471033, Henan, Peoples R China</t>
  </si>
  <si>
    <t>PLA Information Engineering University</t>
  </si>
  <si>
    <t>Yan, GL (corresponding author), PLA Strateg Support Force Informat Engn Univ, Foreign Mil Studies Ctr, 2 Guangwen Rd, Luoyang 471033, Henan, Peoples R China.</t>
  </si>
  <si>
    <t>cddcygl@163.com</t>
  </si>
  <si>
    <t>Chevening Fellowships; UK government's global awards scheme - Foreign and Commonwealth Office (FCO)</t>
  </si>
  <si>
    <t>This work was supported by Chevening Fellowships, the UK government's global awards scheme, funded by the Foreign and Commonwealth Office (FCO) and partner organisations.</t>
  </si>
  <si>
    <t>ROUTLEDGE JOURNALS, TAYLOR &amp; FRANCIS LTD</t>
  </si>
  <si>
    <t>2-4 PARK SQUARE, MILTON PARK, ABINGDON OX14 4RN, OXON, ENGLAND</t>
  </si>
  <si>
    <t>0959-2318</t>
  </si>
  <si>
    <t>1743-9558</t>
  </si>
  <si>
    <t>SMALL WAR INSUR</t>
  </si>
  <si>
    <t>Small War Insur.</t>
  </si>
  <si>
    <t>MAY 18</t>
  </si>
  <si>
    <t>10.1080/09592318.2019.1682908</t>
  </si>
  <si>
    <t>JAN 2020</t>
  </si>
  <si>
    <t>International Relations</t>
  </si>
  <si>
    <t>ME2FV</t>
  </si>
  <si>
    <t>WOS:000506112900001</t>
  </si>
  <si>
    <t>Irbite, A; Strode, A</t>
  </si>
  <si>
    <t>Lubkina, V; Laganovska, K; Kaupuzs, A; Strode, A; Vindaca, O</t>
  </si>
  <si>
    <t>Irbite, Andra; Strode, Aina</t>
  </si>
  <si>
    <t>ARTIFICIAL INTELLIGENCE VS DESIGNER: THE IMPACT OF ARTIFICIAL INTELLIGENCE ON DESIGN PRACTICE</t>
  </si>
  <si>
    <t>SOCIETY, INTEGRATION, EDUCATION 2021, VOL IV: LIFELONG LEARNING, PUBLIC HEALTH AND SPORT, ART AND DESIGN, DESIGN EDUCATION</t>
  </si>
  <si>
    <t>Sabiedriba Integracija Izglitiba-Society Integration Education</t>
  </si>
  <si>
    <t>International Scientific Conference on Society, Integration, Education</t>
  </si>
  <si>
    <t>MAY 28-29, 2021</t>
  </si>
  <si>
    <t>Rezekne Acad Technologies, Rezekne, LATVIA</t>
  </si>
  <si>
    <t>Rezekne Acad Technologies, Fac Educ Languages &amp; Design,Klaipeda Univ,Rigas Stradina Univ,Politechnika Bialostocka,Inst Pedag Naes Ukraine,European Union, European Reg Dev Fund,Natl Dev Plan</t>
  </si>
  <si>
    <t>Rezekne Acad Technologies</t>
  </si>
  <si>
    <t>artificial intelligence; designer; future; case study</t>
  </si>
  <si>
    <t>Technological advances, including the use of possibilities offered by artificial intelligence (AI), have become an area of strategic importance and a key driver of economic development. AI today has been integrated into a variety of economies, the design industry is no exception: AI is being increasingly applied in the development of design products and services. However, as technological breakthroughs rapidly shift the borders between the work tasks performed by humans and those performed by machines and algorithms, global labor markets are undergoing major transformations. This raises the question: how are these changes affecting and will continue to affect designers' work in the future? What skill sets will be needed for designers to begin or continue working in the industry? The article aims to perform a meta-analysis, summarizing the research on the impact of AI on the designer's professional activity and test the capabilities and results of AI-based design solutions. Research methods - theoretical - research and analysis of literature and Internet resources; empirical - case study to analyze possibilities and results of AI-based design solutions.</t>
  </si>
  <si>
    <t>[Irbite, Andra] Univ Latvia, Riga, Latvia; [Strode, Aina] Rezekne Acad Technol, Rezekne, Latvia</t>
  </si>
  <si>
    <t>University of Latvia; Rezekne Academy of Technologies</t>
  </si>
  <si>
    <t>Irbite, A (corresponding author), Univ Latvia, Riga, Latvia.</t>
  </si>
  <si>
    <t>Irbite, Andra/AAS-6229-2021</t>
  </si>
  <si>
    <t>REZEKNE HIGHER EDUC INST-REZEKNES AUGSTSKOLA</t>
  </si>
  <si>
    <t>REZEKNE</t>
  </si>
  <si>
    <t>LIBERATION ALLEY 90, REZEKNE, SL-4600, LATVIA</t>
  </si>
  <si>
    <t>1691-5887</t>
  </si>
  <si>
    <t>SABIED INTEGR IZGL</t>
  </si>
  <si>
    <t>10.17770/sie2021vol4.6310</t>
  </si>
  <si>
    <t>Art; Education &amp; Educational Research; Public, Environmental &amp; Occupational Health</t>
  </si>
  <si>
    <t>BT4PF</t>
  </si>
  <si>
    <t>Bronze</t>
  </si>
  <si>
    <t>WOS:000833412300045</t>
  </si>
  <si>
    <t>Galán, GC; Portero, FS</t>
  </si>
  <si>
    <t>Galan, G. Caparros; Portero, F. Sendra</t>
  </si>
  <si>
    <t>Medical students' perceptions of the impact of artificial intelligence in radiology</t>
  </si>
  <si>
    <t>RADIOLOGIA</t>
  </si>
  <si>
    <t>Spanish</t>
  </si>
  <si>
    <t>Artificial intelligence; Radiology; Specialty; Medical students; Survey</t>
  </si>
  <si>
    <t>DIAGNOSTIC-RADIOLOGY; CHOICE</t>
  </si>
  <si>
    <t>Objectives: To analyze medical students' perceptions of the impact of artificial intelligence in radiology. Material and methods: A structured questionnaire comprising 28 items organized into six sections was distributed to students of medicine in Spain in December 2019. Results: A total of 341 students responded. Of these, 27 (7.9%) included radiology among their three main choices for specialization, and 51.9% considered that they clearly understood what artificial intelligence is. The overall rate of correct answers to the objective true-or-false questions about artificial intelligence was 70.7%. Whereas 75.9% expressed their disagreement with the hypothesis that artificial intelligence would replace radiologists, only 41.9% disagreed with the hypothesis that the demand for radiologists would decrease in the future. Only 36.7% expressed concerns about the role of artificial intelligence related to choosing radiology as a specialty. A greater proportion of students in the early years of medical school agreed with statements that radiologists accept artificial-intelligence-related technological changes and work with the industry to apply them as well as with statements about the need to include basic training about artificial intelligence in the medical school curriculum. Conclusions: The students surveyed are aware of the impact of artificial intelligence in daily life, but not of the current debate about its potential applications in radiology. In general, they think that artificial intelligence will revolutionize radiology without having an alarming effect on the employability of radiologists. The students surveyed think that it is necessary to provide basic training about artificial intelligence in undergraduate medical school programs. (c) 2021 SERAM. Published by Elsevier Espana, S.L.U. All rights reserved.</t>
  </si>
  <si>
    <t>[Galan, G. Caparros; Portero, F. Sendra] Dept Radiol &amp; Med Fis, Fac Med, Malaga, Spain</t>
  </si>
  <si>
    <t>Portero, FS (corresponding author), Dept Radiol &amp; Med Fis, Fac Med, Malaga, Spain.</t>
  </si>
  <si>
    <t>sendra@uma.es</t>
  </si>
  <si>
    <t>Sendra-Portero, Francisco/AAM-3468-2021</t>
  </si>
  <si>
    <t>Sendra-Portero, Francisco/0000-0001-9535-9806</t>
  </si>
  <si>
    <t>ELSEVIER ESPANA</t>
  </si>
  <si>
    <t>MADRID</t>
  </si>
  <si>
    <t>CALLE DE ZURBANO, 76-4TH FLR LEFT, MADRID, 28010, SPAIN</t>
  </si>
  <si>
    <t>0033-8338</t>
  </si>
  <si>
    <t>1578-178X</t>
  </si>
  <si>
    <t>RADIOLOGIA-MADRID</t>
  </si>
  <si>
    <t>Radiologia</t>
  </si>
  <si>
    <t>NOV-DEC</t>
  </si>
  <si>
    <t>10.1016/j.rx.2021.03.006</t>
  </si>
  <si>
    <t>Radiology, Nuclear Medicine &amp; Medical Imaging</t>
  </si>
  <si>
    <t>A8OC9</t>
  </si>
  <si>
    <t>WOS:000957646300004</t>
  </si>
  <si>
    <t>Bodea, CN; Mitea, C; Stanciu, O</t>
  </si>
  <si>
    <t>Dima, AM</t>
  </si>
  <si>
    <t>Bodea, Constanta-Nicoleta; Mitea, Cosmin; Stanciu, Oana</t>
  </si>
  <si>
    <t>Artificial Intelligence Adoption in Project Management: Main Drivers, Barriers and Estimated Impact</t>
  </si>
  <si>
    <t>INNOVATIVE MODELS TO REVIVE THE GLOBAL ECONOMY</t>
  </si>
  <si>
    <t>International Conference on Economics and Social Sciences</t>
  </si>
  <si>
    <t>3rd International Conference on Economics and Social Sciences</t>
  </si>
  <si>
    <t>OCT 15-16, 2020</t>
  </si>
  <si>
    <t>ELECTR NETWORK</t>
  </si>
  <si>
    <t>Bucharest Univ Econ Studies</t>
  </si>
  <si>
    <t>Artificial intelligence; Project Management; Adoption drivers; Adoption barriers; Adoption impact</t>
  </si>
  <si>
    <t>TECHNOLOGY ACCEPTANCE MODEL</t>
  </si>
  <si>
    <t>Artificial intelligence (AI) is reshaping the business world, being considered one of the most relevant disrupting factors in our days, due to its major impact on the workplace conditions. Several academic and practical studies were undertaken in order to identify the main drivers, barriers and impact adoption of AI technologies in business. But the adoption of AI in management, in general and, more specific, in project management (PM) processes is still not yet well covered by the actual research. The paper aims to identify the characteristics of Artificial Intelligence adoption in project management, based on the theoretical frameworks related to the technology adoption. The authors also present findings of a global survey conducted by IPMA and PwC Romania during March August 2020. By comparing the main findings of the global survey with the conclusions derived from the analysis of the theoretical frameworks, the authors discuss about the relevance of using the technology adoption frameworks in order to analyse the adoption of disruptive technologies.</t>
  </si>
  <si>
    <t>[Bodea, Constanta-Nicoleta] Bucharest Univ Econ Studies, Bucharest, Romania; [Mitea, Cosmin; Stanciu, Oana] PricewaterhouseCoopers Romania, Bucharest, Romania</t>
  </si>
  <si>
    <t>Bucharest University of Economic Studies</t>
  </si>
  <si>
    <t>Bodea, CN (corresponding author), Bucharest Univ Econ Studies, Bucharest, Romania.</t>
  </si>
  <si>
    <t>bodea@ase.ro; cosmin.mitea@pwc.com; oana.stanciu@pwc.com</t>
  </si>
  <si>
    <t>Bodea, Constanta Nicoleta/GXV-2034-2022</t>
  </si>
  <si>
    <t>Bodea, Constanta Nicoleta/0000-0001-5542-8133</t>
  </si>
  <si>
    <t>International Project Management Association (IPMA); PricewaterhouseCoopers Romania (PwC); Project Management Romania Association (PMR)</t>
  </si>
  <si>
    <t>The contributions of the following organizations to the development and financial support of this research is noted with thanks: International Project Management Association (IPMA), PricewaterhouseCoopers Romania (PwC) and Project Management Romania Association (PMR). We also thank those who filled in the survey.</t>
  </si>
  <si>
    <t>SCIENDO</t>
  </si>
  <si>
    <t>WARSAW</t>
  </si>
  <si>
    <t>BOGUMILA ZUGA 32a STR, WARSAW, WARSAW, POLAND</t>
  </si>
  <si>
    <t>2704-6524</t>
  </si>
  <si>
    <t>978-83-958150-7-2</t>
  </si>
  <si>
    <t>I CONF ECON S SC</t>
  </si>
  <si>
    <t>10.2478/9788366675162-075</t>
  </si>
  <si>
    <t>Business; Business, Finance; Development Studies; Economics</t>
  </si>
  <si>
    <t>Business &amp; Economics; Development Studies</t>
  </si>
  <si>
    <t>BS7LQ</t>
  </si>
  <si>
    <t>WOS:000763773400074</t>
  </si>
  <si>
    <t>Zager, K; Decman, N; Rep, A</t>
  </si>
  <si>
    <t>Simic, ML; Crnkovic, B</t>
  </si>
  <si>
    <t>Zager, Katarina; Decman, Nikolina; Rep, Ana</t>
  </si>
  <si>
    <t>THE IMPACT OF ARTIFICIAL INTELLIGENCE ON THE ACCOUNTING PROCESS</t>
  </si>
  <si>
    <t>9TH INTERNATIONAL SCIENTIFIC SYMPOSIUM REGION ENTREPRENEURSHIP DEVELOPMENT (RED 2020)</t>
  </si>
  <si>
    <t>Medunarodni Znanstveni Simpozij Gospodarstvo Istocne Hrvatske-Jucer Danas Sutra</t>
  </si>
  <si>
    <t>9th International Scientific Symposium on Region Entrepreneurship Development (RED)</t>
  </si>
  <si>
    <t>JUN, 2020</t>
  </si>
  <si>
    <t>Osijek, CROATIA</t>
  </si>
  <si>
    <t>J J Strossmayer Univ Osijek,Fac Econ Osijek,Croatian Acad Arts &amp; Sci, Inst Sci &amp; Art Res Work,Univ Maribor, Fac Econ &amp; Business,Univ Tuzla, Fac Econ,Republ Croatia, Minist Sci &amp; Educ,Studio HS</t>
  </si>
  <si>
    <t>Artificial Intelligence; Accounting Process; Accounting Profession; New Trends</t>
  </si>
  <si>
    <t>EXPERT-SYSTEMS</t>
  </si>
  <si>
    <t>The impact of information technology on the company's business is unquestionable. The idea of implementing new digital tools is increasingly present as a response to the rapidly growing development of globalization, harmonization, and the ever-present need for rationalization of time and financial resources. In the next few years, artificial intelligence will affect our society, business operations as well as the individual lives of all of us. The idea of applying artificial intelligence in accounting and auditing evolved three decades ago. From that period, many changes have been made. Research and theory, as well as practice, confirm that there is a space for implementing artificial intelligence in the accounting process. There are still lots of open questions regarding the application of artificial intelligence in business, the issue of regulatory framework development, different legal and ethical issues in the context of accountability for the resulting errors. Paper aims to explore how artificial intelligence affects the accounting process as well as how the changes that the accounting profession will face soon affect the work of accountants, how accountants accept them, and how did they adapt to changes. The paper uses secondary data and provides an overview of existing research on the application of artificial intelligence in accounting. The main goal is to present how artificial intelligence can be used to increase the business efficiency of accountants and consequently deliver more value to the company. However, increasing accountants' efficiency would not be based on staff reductions, but rather on increasing their day-to-day, operational efficiency. Finally, research findings helped us validate the thesis that the robotization of the accounting process can replace simple, repetitive accounting operations while the most important role of the accountants remained the same, being the most important advisor to the management in making business decisions and managing a business.</t>
  </si>
  <si>
    <t>[Zager, Katarina; Decman, Nikolina; Rep, Ana] Univ Zagreb, Fac Econ &amp; Business, Zagreb, Croatia</t>
  </si>
  <si>
    <t>University of Zagreb</t>
  </si>
  <si>
    <t>Zager, K (corresponding author), Univ Zagreb, Fac Econ &amp; Business, Zagreb, Croatia.</t>
  </si>
  <si>
    <t>kzager@efzg.hr; ndecman@efzg.hr; arep@efzg.hr</t>
  </si>
  <si>
    <t>Žager, Katarina/H-7955-2018; Dečman, Nikolina/P-9200-2019; Rep, Ana/H-7980-2018</t>
  </si>
  <si>
    <t>JOSIP JURAJ STROSSMAYER UNIV OSIJEK</t>
  </si>
  <si>
    <t>OSIJEK</t>
  </si>
  <si>
    <t>UNIV APPLIED SCIENCES, FAC ECONOMIC OSIJEK, HOCHSCHULE PFORZHEIM, TRG SV, TROJSTVA 3, OSIJEK, 31000, CROATIA</t>
  </si>
  <si>
    <t>1848-9559</t>
  </si>
  <si>
    <t>MEDUNAR ZNAN SIMP GO</t>
  </si>
  <si>
    <t>Business; Economics; Hospitality, Leisure, Sport &amp; Tourism</t>
  </si>
  <si>
    <t>Business &amp; Economics; Social Sciences - Other Topics</t>
  </si>
  <si>
    <t>BS5EP</t>
  </si>
  <si>
    <t>WOS:000728402200105</t>
  </si>
  <si>
    <t>Tafur, ATV; Molina, REF</t>
  </si>
  <si>
    <t>Tafur, Adriana Tereza Valencia; Molina, Roberto Enrique Figueroa</t>
  </si>
  <si>
    <t>Impact of Artificial Intelligence on education</t>
  </si>
  <si>
    <t>EDUCATIO SIGLO XXI</t>
  </si>
  <si>
    <t>Artificial intelligence; learning; education</t>
  </si>
  <si>
    <t>This article aims to examine the scientific production on the impact on education of technologies related to Artificial Intelligence (AI), between the years 2013 and 2023, to parameterize existing data and provide relevant information to researchers on: scientific publications, the influence they have had, and the frequency with which they have been referenced. This study adopts a descriptive research design and a non-experimental approach in the form of a systematic investigation. The sample consisted of 939 documents. When performing the bibliometric analysis, the co-occurrence of the descriptors allowed the selection of 50 words, generating 6 co-occurrence clusters. Although a total of 2,649 authors were identified in the network of co-authors, only authors who had been cited at least twice were selected. Following this refinement, 63 authors were shortlisted. Finally, we focused our analysis on 15 authors as they were the ones concentrating the largest set of connected elements in the author co-citation network.Following the analysis of the documents, it is concluded that the use of AI in education constitutes an unparalleled opportunity for both education and its stake-holders to adjust to current technological trends. In this context, teachers, students, and families need to update themselves to respond to the challenges posed by available AI tools when it comes to potentiating teaching and learning processes.</t>
  </si>
  <si>
    <t>[Tafur, Adriana Tereza Valencia; Molina, Roberto Enrique Figueroa] Univ Atlantico, Barranquilla, Colombia</t>
  </si>
  <si>
    <t>Tafur, ATV (corresponding author), Univ Atlantico, Barranquilla, Colombia.</t>
  </si>
  <si>
    <t>atvalencia@mail.uniatlantico.edu.co; robertofigueroa@mail.uniatlantico.edu.co</t>
  </si>
  <si>
    <t>UNIV MURCIA</t>
  </si>
  <si>
    <t>Murcia</t>
  </si>
  <si>
    <t>Edificio Pleiades Campus de Espinardo, Murcia, 30071, SPAIN</t>
  </si>
  <si>
    <t>1699-2105</t>
  </si>
  <si>
    <t>1989-466X</t>
  </si>
  <si>
    <t>EDUC SIGLO XXI</t>
  </si>
  <si>
    <t>NOV-FEB</t>
  </si>
  <si>
    <t>10.6018/educatio.555681</t>
  </si>
  <si>
    <t>X5OL0</t>
  </si>
  <si>
    <t>WOS:001098940400011</t>
  </si>
  <si>
    <t>Fotea, S; Fotea, I; Tundrea, E</t>
  </si>
  <si>
    <t>Chova, LG; Martinez, AL; Torres, IC</t>
  </si>
  <si>
    <t>Fotea, S.; Fotea, I; Tundrea, E.</t>
  </si>
  <si>
    <t>ARTIFICIAL INTELLIGENCE IN EDUCATION - ROMANIAN STUDENTS' ATTITUDES TOWARD ARTIFICIAL INTELLIGENCE AND ITS IMPACT ON THEIR CAREER DEVELOPMENT</t>
  </si>
  <si>
    <t>12TH INTERNATIONAL CONFERENCE OF EDUCATION, RESEARCH AND INNOVATION (ICERI2019)</t>
  </si>
  <si>
    <t>ICERI Proceedings</t>
  </si>
  <si>
    <t>12th Annual International Conference of Education, Research and Innovation (ICERI)</t>
  </si>
  <si>
    <t>NOV 11-13, 2019</t>
  </si>
  <si>
    <t>Seville, SPAIN</t>
  </si>
  <si>
    <t>Artificial Intelligence (AI); generation Z; education; career optimism; job security</t>
  </si>
  <si>
    <t>EXPLANATORY STYLE; FUTURE; FORM</t>
  </si>
  <si>
    <t>The generation of students that are currently being educated in university programs is a generation who has used the Internet since an early age and is very comfortable with the use of technology and social media, having therefore a level of practical knowledge (learning by doing) in the field of technology that surpasses that of previous generations. As Artificial Intelligence is increasingly becoming an integral part of jobs in numerous work fields it is necessary to investigate whether this level of learned by doing technological awareness is considered sufficient by the current student generations in order to make them job-ready. Also, it is important to explore how can the educational process help students master the Artificial Intelligence knowledge without making them experts in this technology but enough to help them leverage the opportunities that emerge from this revolution. Our research on a sample of 288 Romanian young people indicates that the perceived level of knowledge regarding Artificial Intelligence is rather low towards medium, the respondents indicating that they are by no means experts in this technology, with an overwhelming majority of the sample never taking a class in Artificial Intelligence. Nevertheless, the results of the study reveal an increased level of confidence in the power of Artificial Intelligence to help respondents achieve the career of their dreams, with the predominant source of information regarding Artificial Intelligence, fueling this confidence, being social media and the Internet. Interestingly enough, although Artificial Intelligence is perceived in very positive terms in their daily personal private interactions with it, our respondents display little trust in having Artificial Intelligence (further AI) in an educational setting, specifically having AI teaching in front of a class of students. Although our Romanian respondents display little concern regarding the possible ramifications of Artificial Intelligence in general, they do consider its impact on private life and data to be a negative consequence.</t>
  </si>
  <si>
    <t>[Fotea, S.; Fotea, I; Tundrea, E.] Emanuel Univ Oradea, Oradea, Romania</t>
  </si>
  <si>
    <t>Emanuel University</t>
  </si>
  <si>
    <t>Fotea, S (corresponding author), Emanuel Univ Oradea, Oradea, Romania.</t>
  </si>
  <si>
    <t>Fotea, Silvia/JQX-1988-2023</t>
  </si>
  <si>
    <t>IATED-INT ASSOC TECHNOLOGY EDUCATION &amp; DEVELOPMENT</t>
  </si>
  <si>
    <t>VALENICA</t>
  </si>
  <si>
    <t>LAURI VOLPI 6, VALENICA, BURJASSOT 46100, SPAIN</t>
  </si>
  <si>
    <t>2340-1095</t>
  </si>
  <si>
    <t>978-84-09-14755-7</t>
  </si>
  <si>
    <t>ICERI PROC</t>
  </si>
  <si>
    <t>BO8YP</t>
  </si>
  <si>
    <t>WOS:000530212405046</t>
  </si>
  <si>
    <t>Hannan, MA; Al-Shetwi, AQ; Ker, PJ; Begum, RA; Mansor, M; Rahman, SA; Dong, ZY; Tiong, SK; Mahlia, TMI; Muttaqi, KM</t>
  </si>
  <si>
    <t>Hannan, M. A.; Al-Shetwi, Ali Q.; Ker, Pin Jern; Begum, R. A.; Mansor, M.; Rahman, S. A.; Dong, Z. Y.; Tiong, S. K.; Mahlia, T. M. Indra; Muttaqi, K. M.</t>
  </si>
  <si>
    <t>Impact of renewable energy utilization and artificial intelligence in achieving sustainable development goals</t>
  </si>
  <si>
    <t>ENERGY REPORTS</t>
  </si>
  <si>
    <t>Renewable energy; Energy utilization; Impact analysis; Elicited expert; Artificial intelligence; Sustainable development goals</t>
  </si>
  <si>
    <t>MUNICIPAL SOLID-WASTE; ENVIRONMENTAL-IMPACT; CO2 EMISSIONS; POWER-SECTOR; WIND ENERGY; FEASIBILITY ANALYSIS; CLIMATE-CHANGE; AIR-POLLUTION; SOLAR-ENERGY; RURAL-AREAS</t>
  </si>
  <si>
    <t>Many countries around the world are planning to reach 100% renewable energy use by 2050. In this context and due to the recent sharp increase in RE utilization in the global energy mix along with its progressive impact on the world energy sector, the evaluation and investigation of its effect on achieving sustainable development goals are not covered sufficiently. Moreover, an assessment of the emerging role of artificial intelligence for renewable energy utilization toward achieving SDGs is conducted. A total of 17 SDGs were divided into three groups, namely, environment, society, and economy, as per the three key pillars of sustainable development. Renewable energy has a positive impact toward achieving 75 targets across all sustainable development goals by using an expert elicitation method-based consensus. However, it may negatively affect the accomplishment of the 27 targets. In addition, artificial intelligence can help renewable energy enable the attainment of 42 out of 169 targets. However, with the current exponential growth of renewable energy share and artificial intelligence development and addressing certain present limitations, this impact may cover additional targets in the future. Nevertheless, recent research foci overlook essential aspects. The exponential growth of renewable energy share and rapid evolution of artificial intelligence need to be accompanied through the requisite regulatory insight and technology regulation to cover additional targets in the future. (C) 2021 The Authors. Published by Elsevier Ltd.</t>
  </si>
  <si>
    <t>[Hannan, M. A.; Ker, Pin Jern; Mansor, M.; Rahman, S. A.] Univ Tenaga Nas, Dept Elect Power Engn, COE, Kajang 43000, Malaysia; [Al-Shetwi, Ali Q.] Fahad Bin Sultan Univ, Elect Engn Dept, Tabuk 71454, Saudi Arabia; [Al-Shetwi, Ali Q.] Fahad Bin Sultan Univ, Dept Renewable Energy Engn, Tabuk 71454, Saudi Arabia; [Ker, Pin Jern; Tiong, S. K.] Univ Tenaga Nas, Inst Sustainable Energy, Kajang 43000, Malaysia; [Begum, R. A.] Univ Kebangsaan Malaysia, Inst Climate Change, Bangi 43600, Malaysia; [Dong, Z. Y.] UNSW, Sch Elect Engn &amp; Telecommun, Kensington, NSW 2033, Australia; [Mahlia, T. M. Indra] Univ Technol Sydney, Sch Informat Syst &amp; Modelling, Ultimo, NSW 2007, Australia; [Muttaqi, K. M.] Univ Wollongong, Sch Elect Comp &amp; Telecommun Engn, Wollongong, NSW 2522, Australia</t>
  </si>
  <si>
    <t>Universiti Tenaga Nasional; Fahad Bin Sultan University; Fahad Bin Sultan University; Universiti Tenaga Nasional; Universiti Kebangsaan Malaysia; University of New South Wales Sydney; University of Technology Sydney; University of Wollongong</t>
  </si>
  <si>
    <t>Hannan, MA (corresponding author), Univ Tenaga Nas, Dept Elect Power Engn, COE, Kajang 43000, Malaysia.;Al-Shetwi, AQ (corresponding author), Fahad Bin Sultan Univ, Elect Engn Dept, Tabuk 71454, Saudi Arabia.</t>
  </si>
  <si>
    <t>hannan@uniten.edu.my; aalshetwi@fbsu.edu.sa</t>
  </si>
  <si>
    <t>Tiong, Sieh Kiong/GLR-1734-2022; Hannan, M/O-8579-2019; yang, dong zhao/AFP-5094-2022; Begum, Rawshan/C-9837-2012; Abd Rahman, Muhamad Safwan/ABK-6240-2022; Mansor, Muhamad/AAE-3406-2022; Ker, Pin Jern/R-3483-2019; Muttaqi, Kashem/J-8040-2012; Mahlia, T M Indra/L-3731-2019; Al-Shetwi, Ali Q./G-8887-2019</t>
  </si>
  <si>
    <t>Mahlia, T M Indra/0000-0002-6985-929X; Tiong, Sieh Kiong/0000-0002-4447-262X; Hannan, M A/0000-0001-8367-4112; Abd Rahman, Muhamad Safwan/0000-0003-4765-6376; MANSOR, MUHAMAD/0000-0001-9843-1316; Al-Shetwi, Ali Q./0000-0002-6581-9629</t>
  </si>
  <si>
    <t>LRGS project from the Ministry of Higher Education, Malaysia under Universiti Tenaga Nasional, Malaysia [20190101LRGS]; UNITEN Bold Refresh Publication Fund 2021 [J5100D4103]</t>
  </si>
  <si>
    <t>LRGS project from the Ministry of Higher Education, Malaysia under Universiti Tenaga Nasional, Malaysia; UNITEN Bold Refresh Publication Fund 2021</t>
  </si>
  <si>
    <t>This work was supported by the LRGS project (Grant No. 20190101LRGS) from the Ministry of Higher Education, Malaysia under Universiti Tenaga Nasional, Malaysia and in part by the UNITEN Bold Refresh Publication Fund 2021, under Project J5100D4103.</t>
  </si>
  <si>
    <t>2352-4847</t>
  </si>
  <si>
    <t>ENERGY REP</t>
  </si>
  <si>
    <t>Energy Rep.</t>
  </si>
  <si>
    <t>10.1016/j.egyr.2021.08.172</t>
  </si>
  <si>
    <t>SEP 2021</t>
  </si>
  <si>
    <t>Energy &amp; Fuels</t>
  </si>
  <si>
    <t>Science Citation Index Expanded (SCI-EXPANDED); Social Science Citation Index (SSCI)</t>
  </si>
  <si>
    <t>UY7YF</t>
  </si>
  <si>
    <t>gold, Green Published, Green Submitted</t>
  </si>
  <si>
    <t>WOS:000701734000007</t>
  </si>
  <si>
    <t>Li, L</t>
  </si>
  <si>
    <t>Li, Lu</t>
  </si>
  <si>
    <t>The Impact of Artificial Intelligence Painting on Contemporary Art From Disco Diffusion's Painting Creation Experiment</t>
  </si>
  <si>
    <t>2022 INTERNATIONAL CONFERENCE ON FRONTIERS OF ARTIFICIAL INTELLIGENCE AND MACHINE LEARNING, FAIML</t>
  </si>
  <si>
    <t>International Conference on Frontiers of Artificial Intelligence and Machine Learning (FAIML)</t>
  </si>
  <si>
    <t>JUL 19-21, 2022</t>
  </si>
  <si>
    <t>IASED,Malaysia Univ Sci &amp; Technol,Peking Univ,SE Univ,UNSYS Digital, Int Journal Robot &amp; Mechatron,MDPI, Machine Learning &amp; Knowledge Extract</t>
  </si>
  <si>
    <t>disco diffusion; artificial intelligence painting; contemporary art</t>
  </si>
  <si>
    <t>Disco diffusion is an open-source AI painting creation project born in 2021. It is composed of more than 2600 lines of multi code ipynb files. In most cases, it relies on the Google colab. Compared with other AI art creation projects, its unconditional openness and stronger expansibility have aroused the interest of art and computer enthusiasts. This has also triggered a discussion about the impact of artificial intelligence on artists and contemporary art. Through nearly three months, nearly 1000 hours of operation and the creation of more than 1200 images, the author of this paper tries to analyze the characteristics, advantages and disadvantages of the art creation of artificial intelligence represented by disco diffusion from many aspects, and thus combines with several other software such as dall E. 2 and wombo, etc. analyze the impact and influence of artificial intelligence art creation on artists and contemporary art at present.</t>
  </si>
  <si>
    <t>[Li, Lu] Nanjing Normal Univ, 1 Wenyuan Rd, Nanjing, Jiangsu, Peoples R China</t>
  </si>
  <si>
    <t>Nanjing Normal University</t>
  </si>
  <si>
    <t>Li, L (corresponding author), Nanjing Normal Univ, 1 Wenyuan Rd, Nanjing, Jiangsu, Peoples R China.</t>
  </si>
  <si>
    <t>2999346@qq.com</t>
  </si>
  <si>
    <t>10662 LOS VAQUEROS CIRCLE, PO BOX 3014, LOS ALAMITOS, CA 90720-1264 USA</t>
  </si>
  <si>
    <t>978-1-6654-7364-4</t>
  </si>
  <si>
    <t>10.1109/FAIML57028.2022.00020</t>
  </si>
  <si>
    <t>BX8TR</t>
  </si>
  <si>
    <t>WOS:001338040500010</t>
  </si>
  <si>
    <t>Boboc, C; Ghita, S; Vasile, V; Ghizdavu, A</t>
  </si>
  <si>
    <t>Chivu, L; IoanFranc, V; Georgescu, G; Andrei, JV</t>
  </si>
  <si>
    <t>Boboc, Cristina; Ghita, Simona; Vasile, Valentina; Ghizdavu, Anda</t>
  </si>
  <si>
    <t>The impact of artificial intelligence on the labor market</t>
  </si>
  <si>
    <t>HARNESSING TANGIBLE AND INTANGIBLE ASSETS IN THE CONTEXT OF EUROPEAN INTEGRATION AND GLOBALIZATION: CHALLENGES AHEAD, VOLS I-II</t>
  </si>
  <si>
    <t>6th International Conference on Economic Scientific Research - Theoretical, Empirical and Practical Approaches (ESPERA)</t>
  </si>
  <si>
    <t>OCT 10-11, 2019</t>
  </si>
  <si>
    <t>Bucharest, ROMANIA</t>
  </si>
  <si>
    <t>Artificial intelligence; cluster analysis; industry; labor market; automation process</t>
  </si>
  <si>
    <t>The automation process as well as the artificial intelligence evolves at an amazing speed. The impact of automation on the regional and local labor market depends greatly on the characteristics of the local economy. In this context, the objectives of this paper are: the classification of EU countries by using the cluster analysis according to the development of artificial intelligence in each country; the visualization of the activity sectors with the highest influence on the stability of the labor market; the assessment of the impact of artificial intelligence on the employment rate. With the automation of certain routine jobs, new jobs will emerge in the marketplace that will lead to the stability of the labor market over time. In order to protect the labor market from the shocks caused by automation, and to provide citizens with the necessary conditions to reintegrate into the labor market, specific policies are needed, especially in some activity sectors identified in this paper.</t>
  </si>
  <si>
    <t>[Boboc, Cristina; Ghita, Simona; Ghizdavu, Anda] Bucharest Univ Econ Studies, Dept Stat &amp; Econometr, Bucharest, Romania; [Boboc, Cristina; Ghita, Simona; Vasile, Valentina] Romanian Acad, Inst Natl Econ, Bucharest, Romania</t>
  </si>
  <si>
    <t>Bucharest University of Economic Studies; Romanian Academy</t>
  </si>
  <si>
    <t>Boboc, C (corresponding author), Bucharest Univ Econ Studies, Dept Stat &amp; Econometr, Bucharest, Romania.;Boboc, C (corresponding author), Romanian Acad, Inst Natl Econ, Bucharest, Romania.</t>
  </si>
  <si>
    <t>cristina.boboc@csie.ase.ro; simona.ghita@csie.ase.ro; valentinavasile2009@gmail.com; ghizdavu12@gmail.com</t>
  </si>
  <si>
    <t>Ghita, Simona/HFZ-8034-2022; Vasile, Valentina/M-7795-2013</t>
  </si>
  <si>
    <t>Vasile, Valentina/0000-0002-2368-1377</t>
  </si>
  <si>
    <t>PETER LANG GMBH</t>
  </si>
  <si>
    <t>BERLIN</t>
  </si>
  <si>
    <t>INTL VERLAG WISSENSCH, SCHLUTERSTRASSE 42, 10707 BERLIN, GERMANY</t>
  </si>
  <si>
    <t>978-3-653-06574-9; 978-3-631-67332-4</t>
  </si>
  <si>
    <t>Area Studies; Green &amp; Sustainable Science &amp; Technology; Economics; International Relations</t>
  </si>
  <si>
    <t>Area Studies; Science &amp; Technology - Other Topics; Business &amp; Economics; International Relations</t>
  </si>
  <si>
    <t>BS6LB</t>
  </si>
  <si>
    <t>WOS:000749374800013</t>
  </si>
  <si>
    <t>Kshetri, N</t>
  </si>
  <si>
    <t>Kshetri, Nir</t>
  </si>
  <si>
    <t>The Environmental Impact of Artificial Intelligence</t>
  </si>
  <si>
    <t>IT PROFESSIONAL</t>
  </si>
  <si>
    <t>Training; Costs; Energy efficiency; Artificial intelligence; Water resources</t>
  </si>
  <si>
    <t>This article examines the significant energy and water resources required for the training and utilization of artificial intelligence (AI) systems, which consequently result in substantial social costs. Additionally, it explores AI's contributions to enhancing energy efficiency.</t>
  </si>
  <si>
    <t>[Kshetri, Nir] Univ N Carolina, Bryan Sch Business &amp; Econ, Greensboro, NC 27412 USA</t>
  </si>
  <si>
    <t>University of North Carolina; University of North Carolina Greensboro</t>
  </si>
  <si>
    <t>Kshetri, N (corresponding author), Univ N Carolina, Bryan Sch Business &amp; Econ, Greensboro, NC 27412 USA.</t>
  </si>
  <si>
    <t>nbkshetr@uncg.edu</t>
  </si>
  <si>
    <t>1520-9202</t>
  </si>
  <si>
    <t>1941-045X</t>
  </si>
  <si>
    <t>IT PROF</t>
  </si>
  <si>
    <t>IT Prof.</t>
  </si>
  <si>
    <t>MAY-JUN</t>
  </si>
  <si>
    <t>10.1109/MITP.2024.3399471</t>
  </si>
  <si>
    <t>Computer Science, Information Systems; Computer Science, Software Engineering; Telecommunications</t>
  </si>
  <si>
    <t>Computer Science; Telecommunications</t>
  </si>
  <si>
    <t>WX6Y8</t>
  </si>
  <si>
    <t>WOS:001258222000012</t>
  </si>
  <si>
    <t>Yang, GY; Ji, GJ; Tan, KH</t>
  </si>
  <si>
    <t>Yang, Guangyong; Ji, Guojun; Tan, Kim Hua</t>
  </si>
  <si>
    <t>Impact of artificial intelligence adoption on online returns policies</t>
  </si>
  <si>
    <t>ANNALS OF OPERATIONS RESEARCH</t>
  </si>
  <si>
    <t>Artificial intelligence; Returns policies; Offline showroom; Fit; Exchange</t>
  </si>
  <si>
    <t>CONSUMER RETURNS; INFORMATION; BRICKS; STRATEGIES; CLICKS</t>
  </si>
  <si>
    <t>The shift to e-commerce has led to an astonishing increase in online sales for retailers. However, the number of returns made on online purchases is also increasing and have a profound impact on retailers' operations and profit. Hence, retailers need to balance between minimizing and allowing product returns. This study examines an offline showroom versus an artificial intelligence (AI) online virtual-reality webroom and how the settings affect customers' purchase and retailers' return decisions. A case study is used to illustrate the AI application. Our results show that adopting artificial intelligence helps sellers to make better returns policies, maximize reselling returns, and reduce the risks of leftovers and shortages. Our findings unlock the potential of artificial intelligence applications in retail operations and should interest practitioners and researchers in online retailing, especially those concerned with online returns policies and the consumer personalized service experience.</t>
  </si>
  <si>
    <t>[Yang, Guangyong; Ji, Guojun] Xiamen Univ, Sch Management, Xiamen 361005, Fujian, Peoples R China; [Tan, Kim Hua] Univ Nottingham, Sch Business, Jubilee Campus, Nottingham, England</t>
  </si>
  <si>
    <t>Xiamen University; University of Nottingham</t>
  </si>
  <si>
    <t>Tan, KH (corresponding author), Univ Nottingham, Sch Business, Jubilee Campus, Nottingham, England.</t>
  </si>
  <si>
    <t>gyyang@xmu.edu.cn; jiking@xmu.edu.cn; kim.tan@nottingham.ac.uk</t>
  </si>
  <si>
    <t>Tan, Kim/E-7735-2010</t>
  </si>
  <si>
    <t>Natural Science Foundation of China [71872158, 71871197, 71571151]</t>
  </si>
  <si>
    <t>Natural Science Foundation of China(National Natural Science Foundation of China (NSFC))</t>
  </si>
  <si>
    <t>The authors thank the editors and two referees for their helpful suggestions and comments during the review process. This research is supported by the Natural Science Foundation of China (Grant Numbers 71872158, 71871197 and 71571151).</t>
  </si>
  <si>
    <t>DORDRECHT</t>
  </si>
  <si>
    <t>VAN GODEWIJCKSTRAAT 30, 3311 GZ DORDRECHT, NETHERLANDS</t>
  </si>
  <si>
    <t>0254-5330</t>
  </si>
  <si>
    <t>1572-9338</t>
  </si>
  <si>
    <t>ANN OPER RES</t>
  </si>
  <si>
    <t>Ann. Oper. Res.</t>
  </si>
  <si>
    <t>JAN</t>
  </si>
  <si>
    <t>1-2</t>
  </si>
  <si>
    <t>10.1007/s10479-020-03602-y</t>
  </si>
  <si>
    <t>APR 2020</t>
  </si>
  <si>
    <t>YA0AU</t>
  </si>
  <si>
    <t>WOS:000557516000001</t>
  </si>
  <si>
    <t>Vasilache, PC; Troaca, VA; Pargaru, I; Vatase, F</t>
  </si>
  <si>
    <t>Vasilache, Petrut Cristian; Troaca, Victor Adrian; Pargaru, Ion; Vatase, Florin</t>
  </si>
  <si>
    <t>The Impact of Artificial Intelligence in the Educational Field</t>
  </si>
  <si>
    <t>EUROPEAN JOURNAL OF SUSTAINABLE DEVELOPMENT</t>
  </si>
  <si>
    <t>artificial intelligence; development; technology; education</t>
  </si>
  <si>
    <t>Recently, the concept of Artificial Intelligence has caused concern not only in the scientific community but also in the media sphere, primarily due to the lack of a universally agreed-upon definition. There is a lack of consensus among people regarding a comprehensive definition of intelligence, and even more so regarding artificial intelligence. Given these circumstances, the growing prevalence of the notion of Intelligence Artificial intelligence has advanced to the extent that it is now a vital element in nearly every sector of today's contemporary economy, exerting a substantial influence on our personal, societal, and political spheres. The foundation of this idea is based on the premise that human intelligence can be precisely described, allowing for the creation of a machine capable of simulating it. This gives rise to philosophical debates concerning the nature of consciousness and the moral implications of developing synthetic entities possessing human-like cognitive abilities. Artificial intelligence presents a myriad of challenges related to comprehension, responsibility, and confidence.</t>
  </si>
  <si>
    <t>[Pargaru, Ion] Univ Politehn Bucuresti, Bucharest, Romania; [Vatase, Florin] Wallachia Univ, Targoviste, Romania</t>
  </si>
  <si>
    <t>National University of Science &amp; Technology POLITEHNICA Bucharest</t>
  </si>
  <si>
    <t>Pargaru, I (corresponding author), Univ Politehn Bucuresti, Bucharest, Romania.</t>
  </si>
  <si>
    <t>EUROPEAN CENTER SUSTAINABLE DEVELOPMENT</t>
  </si>
  <si>
    <t>ROME</t>
  </si>
  <si>
    <t>VIA DEI FIORI 34, ROME, 00172, ITALY</t>
  </si>
  <si>
    <t>2239-5938</t>
  </si>
  <si>
    <t>2239-6101</t>
  </si>
  <si>
    <t>EUR J SUSTAIN DEV</t>
  </si>
  <si>
    <t>Eur. J. Sustain. Dev.</t>
  </si>
  <si>
    <t>10.14207/ejsd.2024.v13n3p253</t>
  </si>
  <si>
    <t>Environmental Sciences</t>
  </si>
  <si>
    <t>Environmental Sciences &amp; Ecology</t>
  </si>
  <si>
    <t>J1M2D</t>
  </si>
  <si>
    <t>WOS:001334773800018</t>
  </si>
  <si>
    <t>Bechara, A; Vides, M; Mendoza, F; Caballero, J; Navas, J</t>
  </si>
  <si>
    <t>Bechara, Abraham; Vides, Maria; Mendoza, Felix; Caballero, Joe; Navas, Jesus</t>
  </si>
  <si>
    <t>Artificial Intelligence and its impact on due process</t>
  </si>
  <si>
    <t>JURIDICAS CUC</t>
  </si>
  <si>
    <t>Legal systems; administration of justice; compara- tive law; constitutional law; artificial intelligence</t>
  </si>
  <si>
    <t>Due process is a rule of fundamental law and a positive provision to preserve legal certainty. Furthermore, it is seen as a jurisdictional institution that configures procedural guarantees within a judicial action. However, its relationship with artificial intelligence has a special meaning in modern constitutional states. This article will analyze the hermeneutical-procedural impact on the administration of justice and the relationship and connection between due process and artificial intelligence. This was conducted using analytical and descriptive methodology. As preliminary conclusions, it is established that a new legal practical reason is associated with the necessary and non-contingent relationship between law and AI. Four points will be specifically answered: (i). Due process and its structure as a fundamental procedural norm in jurisprudence systems. (ii). What is artificial intelligence applied to law: Theoretical and conceptual perspectives (iii). Judges and the administration of justice mediated by AI: new meta-normative systems and their judicial hermeneutics. and (iv). Algorithmic jurisprudence: The artificial judicial decision and its procedural impact on the administration of justice.</t>
  </si>
  <si>
    <t>[Bechara, Abraham; Vides, Maria; Mendoza, Felix; Caballero, Joe; Navas, Jesus] UNICECAR, Fac Derecho &amp; Ciencias Polit, Sincelejo, Colombia; [Navas, Jesus] UNICECAR, Sincelejo, Colombia</t>
  </si>
  <si>
    <t>Bechara, A (corresponding author), UNICECAR, Fac Derecho &amp; Ciencias Polit, Sincelejo, Colombia.</t>
  </si>
  <si>
    <t>abraham.becharall@cecar.edu.co; maria.vides@cecar.edu.co; felix.mendoza@cecar.ed; joe.caballeroh@cecar.edu.co; jesus.navas@cecar.edu.co</t>
  </si>
  <si>
    <t>UNIV COSTA</t>
  </si>
  <si>
    <t>BARRANQUILLA</t>
  </si>
  <si>
    <t>Calle 55 N 58-66, BARRANQUILLA, 00000, COLOMBIA</t>
  </si>
  <si>
    <t>1692-3030</t>
  </si>
  <si>
    <t>2389-7716</t>
  </si>
  <si>
    <t>JURID CUC</t>
  </si>
  <si>
    <t>Jurid. CUC</t>
  </si>
  <si>
    <t>JAN-DEC</t>
  </si>
  <si>
    <t>10.17981/juridcuc.20.1.2024.20</t>
  </si>
  <si>
    <t>Law</t>
  </si>
  <si>
    <t>Government &amp; Law</t>
  </si>
  <si>
    <t>S5Z9O</t>
  </si>
  <si>
    <t>WOS:001399011900001</t>
  </si>
  <si>
    <t>Holzinger, A; Goebel, R; Fong, R; Moon, T; Müller, KR; Samek, W</t>
  </si>
  <si>
    <t>Holzinger, A; Goebel, R; Fong, R; Moon, T; Muller, KR; Samek, W</t>
  </si>
  <si>
    <t>Holzinger, Andreas; Goebel, Randy; Fong, Ruth; Moon, Taesup; Mueller, Klaus-Robert; Samek, Wojciech</t>
  </si>
  <si>
    <t>xxAI - Beyond Explainable Artificial Intelligence</t>
  </si>
  <si>
    <t>XXAI - BEYOND EXPLAINABLE AI: International Workshop, Held in Conjunction with ICML 2020, July 18, 2020, Vienna, Austria, Revised and Extended Papers</t>
  </si>
  <si>
    <t>Lecture Notes in Artificial Intelligence</t>
  </si>
  <si>
    <t>International Workshop on Beyond Explainable Artificial Intelligence (xxAI)</t>
  </si>
  <si>
    <t>JUL 18, 2020</t>
  </si>
  <si>
    <t>Vienna, AUSTRIA</t>
  </si>
  <si>
    <t>Fraunhofer Heinrich Hertz Inst</t>
  </si>
  <si>
    <t>Artificial intelligence; Explainable AI; Machine learning; Explainability</t>
  </si>
  <si>
    <t>NEURAL-NETWORKS; DEEP</t>
  </si>
  <si>
    <t>The success of statistical machine learning from big data, especially of deep learning, has made artificial intelligence (AI) very popular. Unfortunately, especially with the most successful methods, the results are very difficult to comprehend by human experts. The application of AI in areas that impact human life (e.g., agriculture, climate, forestry, health, etc.) has therefore led to an demand for trust, which can be fostered if the methods can be interpreted and thus explained to humans. The research field of explainable artificial intelligence (XAI) provides the necessary foundations and methods. Historically, XAI has focused on the development of methods to explain the decisions and internal mechanisms of complex AI systems, with much initial research concentrating on explaining how convolutional neural networks produce image classification predictions by producing visualizations which highlight what input patterns are most influential in activating hidden units, or are most responsible for a model's decision. In this volume, we summarize research that outlines and takes next steps towards a broader vision for explainable AI in moving beyond explaining classifiers via such methods, to include explaining other kinds of models (e.g., unsupervised and reinforcement learning models) via a diverse array of XAI techniques (e.g., question-and-answering systems, structured explanations). In addition, we also intend to move beyond simply providing model explanations to directly improving the transparency, efficiency and generalization ability of models. We hope this volume presents not only exciting research developments in explainable AI but also a guide for what next areas to focus on within this fascinating and highly relevant research field as we enter the second decade of the deep learning revolution. This volume is an outcome of the ICML 2020 workshop on XXAI: Extending Explainable AI Beyond Deep Models and Classifiers.</t>
  </si>
  <si>
    <t>[Holzinger, Andreas] Univ Nat Resources &amp; Life Sci, Human Ctr Lab, Vienna, Austria; [Holzinger, Andreas] Med Univ Graz, Graz, Austria; [Holzinger, Andreas; Goebel, Randy] XAI Lab, Alberta Machine Intelligence Inst, Edmonton, AB, Canada; [Fong, Ruth] Princeton Univ, Princeton, NJ USA; [Moon, Taesup] Seoul Natl Univ, Seoul, South Korea; [Mueller, Klaus-Robert] Korea Univ, Dept Artificial Intelligence, Seoul, South Korea; [Mueller, Klaus-Robert] Max Planck Inst Informat, Saarbrucken, Germany; [Mueller, Klaus-Robert] Tech Univ Berlin, Machine Learning Grp, Berlin, Germany; [Samek, Wojciech] Fraunhofer Heinrich Hertz Inst, Dept Artificial Intelligence, Berlin, Germany; [Mueller, Klaus-Robert; Samek, Wojciech] BIFOLD Berlin Inst Foundat Data &amp; Learning, Berlin, Germany</t>
  </si>
  <si>
    <t>BOKU University; Medical University of Graz; Princeton University; Seoul National University (SNU); Korea University; Max Planck Society; Technical University of Berlin; Fraunhofer Gesellschaft</t>
  </si>
  <si>
    <t>Holzinger, A (corresponding author), Univ Nat Resources &amp; Life Sci, Human Ctr Lab, Vienna, Austria.;Holzinger, A (corresponding author), Med Univ Graz, Graz, Austria.;Holzinger, A (corresponding author), XAI Lab, Alberta Machine Intelligence Inst, Edmonton, AB, Canada.</t>
  </si>
  <si>
    <t>andreas.holzinger@human-centered.ai</t>
  </si>
  <si>
    <t>Samek, Wojciech/AAZ-2165-2021; Mueller, Klaus-Robert/C-3196-2013; Samek, Wojciech/AAZ-2156-2021; HOLZINGER, Andreas/E-9530-2010</t>
  </si>
  <si>
    <t>Samek, Wojciech/0000-0002-6283-3265; Duque, Jorge/0000-0003-4939-6176; HOLZINGER, Andreas/0000-0002-6786-5194; Mueller, Klaus-Robert/0000-0002-3861-7685</t>
  </si>
  <si>
    <t>Austrian Science Fund (FWF) [P-32554]; German Ministry for Education and Research (BMBF) [01IS18025A, 01IS18037A]; European Union [965221]</t>
  </si>
  <si>
    <t>Austrian Science Fund (FWF)(Austrian Science Fund (FWF)); German Ministry for Education and Research (BMBF)(Federal Ministry of Education &amp; Research (BMBF)); European Union(European Union (EU))</t>
  </si>
  <si>
    <t>The authors declare that there are no conflict of interests. This work does not raise any ethical issues. Parts of this work have been funded by the Austrian Science Fund (FWF), Project: P-32554, explainable AI, by the German Ministry for Education and Research (BMBF) through BIFOLD (refs. 01IS18025A and 01IS18037A), and by the European Union's Horizon 2020 programme (grant no. 965221), Project iToBoS.</t>
  </si>
  <si>
    <t>2945-9133</t>
  </si>
  <si>
    <t>1611-3349</t>
  </si>
  <si>
    <t>978-3-031-04082-5; 978-3-031-04083-2</t>
  </si>
  <si>
    <t>LECT NOTES ARTIF INT</t>
  </si>
  <si>
    <t>10.1007/978-3-031-04083-2_1</t>
  </si>
  <si>
    <t>BV5GT</t>
  </si>
  <si>
    <t>WOS:001048254300001</t>
  </si>
  <si>
    <t>Humble, N; Mozelius, P</t>
  </si>
  <si>
    <t>Humble, Niklas; Mozelius, Peter</t>
  </si>
  <si>
    <t>Artificial Intelligence in Education: a Promise, a Threat or a Hype?</t>
  </si>
  <si>
    <t>Artificial intelligence in education; AIED; AI; Teacher perspective; Education</t>
  </si>
  <si>
    <t>TUTORING SYSTEMS</t>
  </si>
  <si>
    <t>The idea of creating intelligent machines and artificial intelligence (AI) have been around for centuries, and can be traced back to at least to the 14th century. Artificial Intelligence in Education (AIED) is a much younger discipline, but during the last 25 years there have been achievements in a number of fields which have made impact on education. Critical voices have been raised against the over-optimism in contemporary AI research. Less has been written about the high expectation of AIED and its potential impact on education. The aim of this study was to analyse and discuss AIED from the teacher perspective. This study was carried out as a SWOT-analysis, with data gathered from a literature study. Main keywords in the literature search were: artificial intelligence, artificial intelligence in education, AIED, teacher perspective, education and teacher. Themes and patterns in the four main categories where further processed as a deductive-inductive thematic analysis. Findings indicates that there are both promises and threats for the teacher in the contemporary AIED. In several aspects the field seems to be in a state of hype but as other hype areas there is a potential for maturing and with concrete applications in daily teaching and learning activities. Recommendations is to learn from traditional AI and to open up for an informative and nuanced discussion concerning the role of AI in education. Otherwise there is a risk for artificial education instead of artificial intelligence in education.</t>
  </si>
  <si>
    <t>[Humble, Niklas; Mozelius, Peter] Mid Sweden Univ, Ostersund, Sweden</t>
  </si>
  <si>
    <t>Mid-Sweden University</t>
  </si>
  <si>
    <t>Humble, N (corresponding author), Mid Sweden Univ, Ostersund, Sweden.</t>
  </si>
  <si>
    <t>niklas.humble@miun.se; peter.mozelius@miun.se</t>
  </si>
  <si>
    <t>Humble, Niklas/JMC-4656-2023; Mozelius, Peter/JMP-8986-2023</t>
  </si>
  <si>
    <t>10.34190/ECIAIR.19.005</t>
  </si>
  <si>
    <t>WOS:000539633500017</t>
  </si>
  <si>
    <t>-Ortiz, JJH; -Aviles, JMP; Herrera-Valdivieso, MV; -Moran, DXM</t>
  </si>
  <si>
    <t>-Ortiz, Jessica Jasmin Herrera; -Aviles, Jessica Maria Pena; Herrera-Valdivieso, Maria Veronica; -Moran, Douglas Xavier Moreno</t>
  </si>
  <si>
    <t>Artificial intelligence and its impact on communication: journey and perspectives</t>
  </si>
  <si>
    <t>TELOS-REVISTA DE ESTUDIOS INTERDISCIPLINARIOS EN CIENCIAS SOCIALES</t>
  </si>
  <si>
    <t>artificial intelligence; communication; chatbot; historical overview; theoretical perspective</t>
  </si>
  <si>
    <t>AUTOMATION</t>
  </si>
  <si>
    <t>Artificial intelligence has had an important impact on the socialization processes of today's society, particularly in what has to do with communication, its pathways, and functions. The objective of this article is to interpret the impact of artificial intelligence on communication, its journey, and its perspectives today. To do this, we start from the certainty that AI has transformed the way social interaction occurs, significantly improving communication between people from different cultures and thus promoting collaboration and human understanding. Methodologically, the article is based on theoretical and descriptive research tools, with a documentary design, which allows for interpreting the categories that the authors deal with when studying this topic. That is a hermeneutical analysis of the particular way in which artificial intelligence impacts communication and, indirectly, aspects of daily life. For interpretation, a series of theoretical matrices are generated that collect reflections on the topic, based on the categories that have been constructed by the experts whose intellectual products were located and analyzed. Among the findings shown in this research are the impacts inherent to the development of communication tools such as chatbots and virtual assistants that can interact with users in an almost human way, providing instant responses and solutions to common problems. Likewise, it has been found that in the field of communication, this phenomenon poses challenges and perspectives inherent to its functions and utilities in the workplace, the work of the media, and the praxis of pedagogy. Keywords: artificial intelligence, communication, chatbot, historical overview, theoretical perspective.</t>
  </si>
  <si>
    <t>[-Ortiz, Jessica Jasmin Herrera; Herrera-Valdivieso, Maria Veronica] Univ Guayaquil, Fac Comunicac Social, Guayaquil, Ecuador; [-Aviles, Jessica Maria Pena; Herrera-Valdivieso, Maria Veronica] Univ Seville, Seville, Spain; Univ Cadiz, Direcc Mkt Digital &amp; Social, Cadiz, Spain; [-Moran, Douglas Xavier Moreno] Univ Estatal Milagro, Milagro, Ecuador</t>
  </si>
  <si>
    <t>Universidad de Guayaquil; University of Sevilla; Universidad de Cadiz; Universidad Estatal de Milagro</t>
  </si>
  <si>
    <t>-Ortiz, JJH (corresponding author), Univ Guayaquil, Fac Comunicac Social, Guayaquil, Ecuador.</t>
  </si>
  <si>
    <t>jessica.herrerao@ug.edu.ec; jessica.penaa@ug.edu.ec; maria.herrerava@ug.edu.ec; dmorenom@unemi.edu.ec</t>
  </si>
  <si>
    <t>UNIV DR RAFAEL BELLOSO CHACIN</t>
  </si>
  <si>
    <t>MARACAIBO</t>
  </si>
  <si>
    <t>AVE LA GOAJIRA Y CIRCUNVALACION 2, BLOQUE G, PISO 2, MARACAIBO, ZULIA 4005, VENEZUELA</t>
  </si>
  <si>
    <t>2343-5763</t>
  </si>
  <si>
    <t>1317-0570</t>
  </si>
  <si>
    <t>TELOS-VEN</t>
  </si>
  <si>
    <t>TELOS</t>
  </si>
  <si>
    <t>JAN-APR</t>
  </si>
  <si>
    <t>10.36390/telos261.18</t>
  </si>
  <si>
    <t>IH4U3</t>
  </si>
  <si>
    <t>WOS:001165431600005</t>
  </si>
  <si>
    <t>Bond, A; Cilliers, D; Retief, F; Alberts, R; Roos, C; Moolman, J</t>
  </si>
  <si>
    <t>Bond, Alan; Cilliers, Dirk; Retief, Francois; Alberts, Reece; Roos, Claudine; Moolman, Jurie</t>
  </si>
  <si>
    <t>Using an Artificial intelligence chatbot to critically review the scientific literature on the use of Artificial intelligence in Environmental impact assessment</t>
  </si>
  <si>
    <t>IMPACT ASSESSMENT AND PROJECT APPRAISAL</t>
  </si>
  <si>
    <t>Artificial Intelligence (AI); Environmental Impact Assessment (EIA); future challenges; ethics; issues</t>
  </si>
  <si>
    <t>There is considerable uncertainty about the role that Artificial Intelligence (AI) might play in Environmental Impact Assessment (EIA), including into research. AI large language model (LLM) chatbots have the potential to increase the efficiency of EIA research, but their outputs can create concerns. This paper investigates the potential time savings achievable using LLM chatbots to undertake a critical review of literature focussing on the use of AI in EIA. Using a combination of ChatGPT and Elicit, literature was reviewed to identify 12 key issues associated with the use of AI in EIA and this paper was prepared in three and a half days from initial conception. A protocol is developed to assist researchers in fact checking evidence delivered through Elicit (or other machine learning tools) which serves as a novel outcome of this research. Using comments from three peer reviewers allowed some more objective reflection on the credibility of the LLM chatbot-derived output, on the appropriateness of the time savings, and on the future research needed on the application of LLM chatbots in this context.</t>
  </si>
  <si>
    <t>[Bond, Alan] Univ East Anglia, Sch Environm Sci, Norwich, England; [Bond, Alan; Cilliers, Dirk; Retief, Francois; Alberts, Reece; Roos, Claudine; Moolman, Jurie] North West Univ, Unit Environm Sci &amp; Management, Potchefstroom, South Africa; [Bond, Alan] North West Univ, Res Unit Environm Sci &amp; Management, Potchefstroom, South Africa</t>
  </si>
  <si>
    <t>University of East Anglia; North West University - South Africa; North West University - South Africa</t>
  </si>
  <si>
    <t>Bond, A (corresponding author), Univ East Anglia, Sch Environm Sci, Norwich, England.;Bond, A (corresponding author), North West Univ, Res Unit Environm Sci &amp; Management, Potchefstroom, South Africa.</t>
  </si>
  <si>
    <t>alan.bond@uea.ac.uk</t>
  </si>
  <si>
    <t>Roos, Claudine/ACN-7639-2022; Moolman, Jurie/KYP-4645-2024</t>
  </si>
  <si>
    <t>Cilliers, Dirk/0000-0001-9777-0463; Roos, Claudine/0000-0002-6290-6129; Moolman, Hans Jurie/0000-0003-4848-5871; Bond, Alan/0000-0002-3809-5805</t>
  </si>
  <si>
    <t>1461-5517</t>
  </si>
  <si>
    <t>1471-5465</t>
  </si>
  <si>
    <t>IMPACT ASSESS PROJ A</t>
  </si>
  <si>
    <t>Impact Assess. Proj. Apprais.</t>
  </si>
  <si>
    <t>MAR 3</t>
  </si>
  <si>
    <t>10.1080/14615517.2024.2320591</t>
  </si>
  <si>
    <t>FEB 2024</t>
  </si>
  <si>
    <t>Environmental Studies</t>
  </si>
  <si>
    <t>WG7G4</t>
  </si>
  <si>
    <t>hybrid, Green Accepted</t>
  </si>
  <si>
    <t>WOS:001179066600001</t>
  </si>
  <si>
    <t>Zheng, CJ; Johnson, TV; Garg, A; Boland, MV</t>
  </si>
  <si>
    <t>Zheng, Chengjie; Johnson, Thomas V.; Garg, Aakriti; Boland, Michael V.</t>
  </si>
  <si>
    <t>Artificial intelligence in glaucoma</t>
  </si>
  <si>
    <t>CURRENT OPINION IN OPHTHALMOLOGY</t>
  </si>
  <si>
    <t>Review</t>
  </si>
  <si>
    <t>artificial intelligence; glaucoma; machine learning</t>
  </si>
  <si>
    <t>MACHINE LEARNING CLASSIFIERS; INDEPENDENT COMPONENT ANALYSIS; SCANNING LASER OPHTHALMOSCOPY; RELEVANCE VECTOR MACHINE; VISUAL-FIELD DATA; NEURAL-NETWORKS; AUTOMATED PERIMETRY; PREPERIMETRIC GLAUCOMA; IDENTIFY GLAUCOMA; PROGRESSION</t>
  </si>
  <si>
    <t>Purpose of review The use of computers has become increasingly relevant to medical decision-making, and artificial intelligence methods have recently demonstrated significant advances in medicine. We therefore provide an overview of current artificial intelligence methods and their applications, to help the practicing ophthalmologist understand their potential impact on glaucoma care. Recent findings Techniques used in artificial intelligence can successfully analyze and categorize data from visual fields, optic nerve structure [e.g., optical coherence tomography (OCT) and fundus photography], ocular biomechanical properties, and a combination thereof to identify disease severity, determine disease progression, and/or recommend referral for specialized care. Algorithms have become increasingly complex in recent years, utilizing both supervised and unsupervised methods of artificial intelligence. Impressive performance of these algorithms on previously unseen data has been reported, often outperforming standard global indices and expert observers. However, there remains no clearly defined gold standard for determining the presence and severity of glaucoma, which undermines the training of these algorithms. To improve upon existing methodologies, future work must employ more robust definitions of disease, optimize data inputs for artificial intelligence analysis, and improve methods of extracting knowledge from learned results. Summary Artificial intelligence has the potential to revolutionize the screening, diagnosis, and classification of glaucoma, both through the automated processing of large data sets, and by earlier detection of new disease patterns. In addition, artificial intelligence holds promise for fundamentally changing research aimed at understanding the development, progression, and treatment of glaucoma, by identifying novel risk factors and by evaluating the importance of existing ones.</t>
  </si>
  <si>
    <t>[Zheng, Chengjie; Johnson, Thomas V.; Garg, Aakriti; Boland, Michael V.] Johns Hopkins Univ, Wilmer Eye Inst, Baltimore, MD 21287 USA; [Boland, Michael V.] Johns Hopkins Univ, Sch Med, Div Hlth Sci Informat, Baltimore, MD USA</t>
  </si>
  <si>
    <t>Johns Hopkins University; Johns Hopkins Medicine; Johns Hopkins University</t>
  </si>
  <si>
    <t>Boland, MV (corresponding author), Johns Hopkins Univ, Wilmer Eye Inst, Baltimore, MD 21287 USA.</t>
  </si>
  <si>
    <t>boland@jhu.edu</t>
  </si>
  <si>
    <t>Johnson, Thomas/C-9351-2011; Boland, Michael/HJI-9286-2023</t>
  </si>
  <si>
    <t>Garg Shukla, Aakriti/0000-0002-0765-8337; Boland, Michael/0000-0003-2506-7095; Duque, Jorge/0000-0003-4939-6176; Johnson, Thomas/0000-0002-5372-5457</t>
  </si>
  <si>
    <t>LIPPINCOTT WILLIAMS &amp; WILKINS</t>
  </si>
  <si>
    <t>PHILADELPHIA</t>
  </si>
  <si>
    <t>TWO COMMERCE SQ, 2001 MARKET ST, PHILADELPHIA, PA 19103 USA</t>
  </si>
  <si>
    <t>1040-8738</t>
  </si>
  <si>
    <t>1531-7021</t>
  </si>
  <si>
    <t>CURR OPIN OPHTHALMOL</t>
  </si>
  <si>
    <t>Curr. Opin. Ophthalmol.</t>
  </si>
  <si>
    <t>MAR</t>
  </si>
  <si>
    <t>10.1097/ICU.0000000000000552</t>
  </si>
  <si>
    <t>Ophthalmology</t>
  </si>
  <si>
    <t>IF0YY</t>
  </si>
  <si>
    <t>WOS:000472805500004</t>
  </si>
  <si>
    <t>Aigbokhai, G; Bahcelerli, NM; Akyurek, S; Altinay, M; Kenebayeva, A</t>
  </si>
  <si>
    <t>Aigbokhai, Godwin; Bahcelerli, Nesrin M.; Akyurek, Salim; Altinay, Mehmet; Kenebayeva, Ainur</t>
  </si>
  <si>
    <t>The Impact of Artificial Intelligence (AI) and Digitalisation in Tourism Vocational Education</t>
  </si>
  <si>
    <t>BRAIN-BROAD RESEARCH IN ARTIFICIAL INTELLIGENCE AND NEUROSCIENCE</t>
  </si>
  <si>
    <t>artificial intelligence; education; tourism; tourism vocational education; digitalisation</t>
  </si>
  <si>
    <t>Artificial intelligence, digitalisation, and other variants of modern technology have been a central topics in the tourism sector in recent times. A bibliometric study investigated the impact of artificial intelligence and digitalisation in tourism education. a total of 1,911 published documents between years 2000 to 2023 were retrieved from the Scopus database. The study highlighted the evolving volume of studies on artificial intelligence applications in tourism education and the tourism sector by considering, authors and authorship networks, date of publications, countries, journal publications, citation count, research themes, keywords, and keyword co-occurrence. This evolution in the citation count and number of publications over the years is a pointer to the increasing attention on artificial intelligence generally and then on its role in tourism education and by extension tourism industry. Beyond the dates and citation count, the study reveals countries with the most publications in line with the theme of the study. To this end, China was shown to have more publications emanating from there. In terms of authorship, Law Rob and Ivanov Stanislav were shown to have made noteworthy contributions to the topic of consideration. The co-occurrence analysis carried out to identify key theme areas showed notable word cloud formation for terms such as artificial intelligence, tourism education digitalisation and tourism industry. The study concludes that more studies will be required in other to get the most out of the integration of artificial intelligence and digitalisation in tourism education</t>
  </si>
  <si>
    <t>[Aigbokhai, Godwin] Near East Univ, Inst Grad Studies, Tourism Management, Nicosia, North Cyprus, Cyprus; [Bahcelerli, Nesrin M.; Akyurek, Salim; Altinay, Mehmet] Near East Univ, Fac Tourism, Tourism Res Ctr, Nicosia, North Cyprus, Cyprus; [Kenebayeva, Ainur] Narxoz Univ, Alma Ata, Kazakhstan</t>
  </si>
  <si>
    <t>Near East University; Near East University; Narxoz University</t>
  </si>
  <si>
    <t>Bahcelerli, NM (corresponding author), Near East Univ, Fac Tourism, Tourism Res Ctr, Nicosia, North Cyprus, Cyprus.</t>
  </si>
  <si>
    <t>godwin2cute@gmail.com; nesrin.menemenci@neu.edu.tr; salim.akyurek@neu.edu.tr; mehmet.altinay@kyrenia.edu.tr; ainur88ainur@gmail.com</t>
  </si>
  <si>
    <t>Kenebayeva, Ainur/AAI-1845-2021</t>
  </si>
  <si>
    <t>Kenebayeva, Ainur/0000-0002-9222-4364</t>
  </si>
  <si>
    <t>EDUSOFT PUBLISHING</t>
  </si>
  <si>
    <t>BACAU</t>
  </si>
  <si>
    <t>9 MAI STR 82, BACAU, 600065, ROMANIA</t>
  </si>
  <si>
    <t>2068-0473</t>
  </si>
  <si>
    <t>2067-3957</t>
  </si>
  <si>
    <t>BRAIN-BROAD RES ARTI</t>
  </si>
  <si>
    <t>BRAIN-Broad Res. Artif. Intellect. Neurosci.</t>
  </si>
  <si>
    <t>DEC</t>
  </si>
  <si>
    <t>10.70594/brain/15.4/18</t>
  </si>
  <si>
    <t>Neurosciences</t>
  </si>
  <si>
    <t>Neurosciences &amp; Neurology</t>
  </si>
  <si>
    <t>P9U4N</t>
  </si>
  <si>
    <t>WOS:001381264700018</t>
  </si>
  <si>
    <t>Nayak, A; Dutta, K</t>
  </si>
  <si>
    <t>Nayak, Arpita; Dutta, Kaustubh</t>
  </si>
  <si>
    <t>Impacts of Machine Learning and Artificial Intelligence on Mankind</t>
  </si>
  <si>
    <t>PROCEEDINGS OF 2017 INTERNATIONAL CONFERENCE ON INTELLIGENT COMPUTING AND CONTROL (I2C2)</t>
  </si>
  <si>
    <t>International Conference on Intelligent Computing and Control (I2C2)</t>
  </si>
  <si>
    <t>JUN 23-24, 2017</t>
  </si>
  <si>
    <t>Anna Univ, Karpagam Coll Engn, Dept ETE, Coimbatore, INDIA</t>
  </si>
  <si>
    <t>IEEE Madras Sect,IEEE Robot &amp; Automat Soc</t>
  </si>
  <si>
    <t>Anna Univ, Karpagam Coll Engn, Dept ETE</t>
  </si>
  <si>
    <t>Artificial Intelligence(AI); Machine Learning; Artificial Neural Network; Non Player Character (NPC)</t>
  </si>
  <si>
    <t>With each passing day and gradually as we move into future, smart or intelligent machines will slowly replace and enhance human capabilities in many areas. The intelligence exhibited by machines or softwares are often termed as Artificial Intelligence which is a subfield of computer science. Artificial intelligence along with machine learning is now a potential game changer in the history of computing backed with strong data analytics. Study in this area of artificial intelligence has rapidly influenced the emergence of smart technologies that has a huge impact on our daily lives. The field of science, engineering, business and medicine has become smarter with prediction capabilities to smoothen our lives in our daily activities. The areas employing artificial intelligence has seen an increase in the quality and efficiency which has been illustrated in this paper</t>
  </si>
  <si>
    <t>[Nayak, Arpita] IIIT Univ, Bhubaneswar, India; [Dutta, Kaustubh] KIIT Univ, Bhubaneswar, India</t>
  </si>
  <si>
    <t>International Institute of Information Technology, Bhubaneswar; Kalinga Institute of Industrial Technology (KIIT)</t>
  </si>
  <si>
    <t>Nayak, A (corresponding author), IIIT Univ, Bhubaneswar, India.</t>
  </si>
  <si>
    <t>arpitanayak241@gmail.com; kdutta2511@gmail.com</t>
  </si>
  <si>
    <t>978-1-5386-0374-1</t>
  </si>
  <si>
    <t>Automation &amp; Control Systems; Computer Science, Artificial Intelligence; Engineering, Electrical &amp; Electronic</t>
  </si>
  <si>
    <t>Automation &amp; Control Systems; Computer Science; Engineering</t>
  </si>
  <si>
    <t>BM4WS</t>
  </si>
  <si>
    <t>WOS:000464097700130</t>
  </si>
  <si>
    <t>Cantu-Ortiz, FJ</t>
  </si>
  <si>
    <t>Javier Cantu-Ortiz, Francisco</t>
  </si>
  <si>
    <t>Advancing artificial intelligence research and dissemination through conference series: Benchmark, scientific impact and the MICAI experience</t>
  </si>
  <si>
    <t>EXPERT SYSTEMS WITH APPLICATIONS</t>
  </si>
  <si>
    <t>Artificial intelligence; AI research and development; Scientific impact of AI</t>
  </si>
  <si>
    <t>This article presents an overview, analysis and benchmark of the best-known artificial intelligence (AI) conferences, including the Mexican International Conference on Artificial Intelligence (MICAI) conference series, and describes how MICAI has contributed to both the growth of artificial intelligence (AI) research in Mexico and the advancement of AI research worldwide. Among the prestigious AI conferences examined are the IJCAI, AAAI, ECAI, IBERAMIA, AAJCAI and PRICAI. Features analyzed include number of papers, acceptance rate and the h index as a measure of the scientific impact. The MICAI has been held in Mexico since 2000, when the National Meeting on AI, held by the Mexican Society for Artificial Intelligence (SMIA) since 1983, and the International Symposium on Artificial Intelligence (ISAI), organized by Tecnologico de Monterrey (ITESM) since 1988, merged into a single conference. Conference trends and future developments are also explained. (C) 2013 Elsevier Ltd. All rights reserved.</t>
  </si>
  <si>
    <t>[Javier Cantu-Ortiz, Francisco] Tecnol Monterrey, Monterrey 64849, NL, Mexico</t>
  </si>
  <si>
    <t>Tecnologico de Monterrey</t>
  </si>
  <si>
    <t>Cantu-Ortiz, FJ (corresponding author), 2501 Eugenio Garza Sada Ave, Monterrey 64849, NL, Mexico.</t>
  </si>
  <si>
    <t>fcantu@itesm.mx</t>
  </si>
  <si>
    <t>Cantu-Ortiz, Francisco/K-2942-2019; Cantu-Ortiz, Francisco J./B-8457-2009</t>
  </si>
  <si>
    <t>Cantu-Ortiz, Francisco J./0000-0002-2015-0562</t>
  </si>
  <si>
    <t>PERGAMON-ELSEVIER SCIENCE LTD</t>
  </si>
  <si>
    <t>OXFORD</t>
  </si>
  <si>
    <t>THE BOULEVARD, LANGFORD LANE, KIDLINGTON, OXFORD OX5 1GB, ENGLAND</t>
  </si>
  <si>
    <t>0957-4174</t>
  </si>
  <si>
    <t>1873-6793</t>
  </si>
  <si>
    <t>EXPERT SYST APPL</t>
  </si>
  <si>
    <t>Expert Syst. Appl.</t>
  </si>
  <si>
    <t>FEB 15</t>
  </si>
  <si>
    <t>10.1016/j.eswa.2013.08.008</t>
  </si>
  <si>
    <t>Computer Science, Artificial Intelligence; Engineering, Electrical &amp; Electronic; Operations Research &amp; Management Science</t>
  </si>
  <si>
    <t>Computer Science; Engineering; Operations Research &amp; Management Science</t>
  </si>
  <si>
    <t>272EU</t>
  </si>
  <si>
    <t>WOS:000328443900002</t>
  </si>
  <si>
    <t>Khatri, S; Pandey, DK; Penkar, D; Ramani, J</t>
  </si>
  <si>
    <t>Sharma, N; Chakrabarti, A; Balas, VE</t>
  </si>
  <si>
    <t>Khatri, Sapna; Pandey, Devendra Kumar; Penkar, Daniel; Ramani, Jaiprakash</t>
  </si>
  <si>
    <t>Impact of Artificial Intelligence on Human Resources</t>
  </si>
  <si>
    <t>DATA MANAGEMENT, ANALYTICS AND INNOVATION, ICDMAI 2019, VOL 2</t>
  </si>
  <si>
    <t>International Conference on Data Management, Analytics and Innovation (ICDMAI)</t>
  </si>
  <si>
    <t>JAN 18-20, 2019</t>
  </si>
  <si>
    <t>Lincoln Univ Coll, Kuala Lumpur, MALAYSIA</t>
  </si>
  <si>
    <t>Lincoln Univ Coll</t>
  </si>
  <si>
    <t>Artificial intelligence; Competitive age; Employee and employment; Niche skills; Human resources; Human interface</t>
  </si>
  <si>
    <t>In the age of technology advancement and development, the recent and latest in-technology is artificial intelligence known as (AI). AI is an advanced level of technology, developed with the intention of economic growth, high productivity and to help humans get over their repetitive task. AI is based on Big Data, and a set of algorithms sense, study, analyse and perform the task, as a human would normally do. Artificial intelligence is a buzzword and everywhere there is the talk of AI; however like every new technology, AI also comes with its pros and cons. The challenge is of its usage, implementation and its impact on human resources to survive and sustain in the competitive world. Artificial intelligence is an intrinsic part of the Industrial Revolution 4.0. Every revolution comes with the demand of major change in the existing system and environment. Until it settles, all the aspects of new technology with the required setup and outcome with reference to the willingness of an employee to learn and adopt it remain intriguing. How are human resources ready to adopt this disruptive technology and its usage? How is the readiness of employers to implement AI technology? The interplay of both these questions is crucial considering the overall management of human resources and organization. On one side, AI requires specialized technical knowledge to develop and operate it, which is a clear indicator of increasing the technical employment. However, this very requirement possess a huge challenge for skill upgradation, employability of middle management, older employees and all human resources of the organization. This paper focuses on the infusion of artificial intelligence-based systems in an organization and the emerging challenges and opportunities in human resources management considering both technical and nontechnical resources of the organizations.</t>
  </si>
  <si>
    <t>[Khatri, Sapna] Amity Univ, Gwalior, Madhya Pradesh, India; [Pandey, Devendra Kumar] Amity Univ, Amity Business Sch, Gwalior, Madhya Pradesh, India; [Penkar, Daniel] Savitribai Phule Pune Univ, SB Patil Inst Management, Pune, Maharashtra, India; [Ramani, Jaiprakash] Faurecia Interior Syst, Pune, Maharashtra, India</t>
  </si>
  <si>
    <t>Savitribai Phule Pune University</t>
  </si>
  <si>
    <t>Khatri, S (corresponding author), Amity Univ, Gwalior, Madhya Pradesh, India.</t>
  </si>
  <si>
    <t>ramani.sapna@gmail.com; dkpandey@gwa.amity.edu; drdanielpenkar@rediffmail.com; jaiprakashramani@hotmail.com</t>
  </si>
  <si>
    <t>Pandey, Devendra/G-1228-2017</t>
  </si>
  <si>
    <t>Pandey, Devendra/0000-0002-1816-6215; Pandey, Devendra Kumar/0000-0003-2119-0133</t>
  </si>
  <si>
    <t>SPRINGER-VERLAG SINGAPORE PTE LTD</t>
  </si>
  <si>
    <t>SINGAPORE</t>
  </si>
  <si>
    <t>152 BEACH ROAD, #21-01/04 GATEWAY EAST, SINGAPORE, 189721, SINGAPORE</t>
  </si>
  <si>
    <t>978-981-13-9364-8; 978-981-13-9363-1</t>
  </si>
  <si>
    <t>10.1007/978-981-13-9364-8_26</t>
  </si>
  <si>
    <t>BQ2NW</t>
  </si>
  <si>
    <t>WOS:000582488500026</t>
  </si>
  <si>
    <t>Saukkonen, J; Huhtala, M; Rantonen, M; Vaara, E</t>
  </si>
  <si>
    <t>Saukkonen, Juha; Huhtala, Mari; Rantonen, Mika; Vaara, Elina</t>
  </si>
  <si>
    <t>AI for Learning: Views on Impacts to Teachership in the era of Artificial Intelligence</t>
  </si>
  <si>
    <t>artificial intelligence; higher education; human-machine interaction; learning; ethics; teachership</t>
  </si>
  <si>
    <t>EDUCATION; ETHICS; FUTURE</t>
  </si>
  <si>
    <t>Artificial Intelligence (AI) is an umbrella term for systems that can act in cognitive processes in a human-like and human-enhancing manner, e.g., in learning, problem solving, and pattern recognition. According to models of technology adoption, several factors influence the actual implementation of a new system within an organization and in an individual's professional practice. These factors include e.g. job relevance, demonstrable results, individual experience with technology, and voluntariness to adopt the new system. This research studies employees' views and expectations of AI applicability and its impact to teachership within a Finnish higher education institution (HEI). Survey data was collected from different schools and units from all hierarchical layers of the HEI, a University of Applied Sciences. Views on AI were assessed in relation to the core tenets of a teacher ' s professional guidelines as expressed in the Comenius' Oath. This research contributes to the AI research by shedding light on how people within the HEI evaluate the impacts of AI into their future operating environment, pointing out also the potential obstacles for AI adoption in this specific context.</t>
  </si>
  <si>
    <t>[Saukkonen, Juha] JAMK Univ Appl Sci, Business Sch, Management, Jyvaskyla, Finland; [Huhtala, Mari; Rantonen, Mika; Vaara, Elina] JAMK Univ Appl Sci, Jyvaskyla, Finland</t>
  </si>
  <si>
    <t>Jyvaskyla University of Applied Sciences; Jyvaskyla University of Applied Sciences</t>
  </si>
  <si>
    <t>Saukkonen, J (corresponding author), JAMK Univ Appl Sci, Business Sch, Management, Jyvaskyla, Finland.</t>
  </si>
  <si>
    <t>juha.saukkonen@jamk.fi; mari.huhtala@jamk.fi; mika.rantonen@jamk.fi; elina.vaara@jamk.fi</t>
  </si>
  <si>
    <t>Vaara, Elina/HLH-5240-2023</t>
  </si>
  <si>
    <t>10.34190/EAIR.21.002</t>
  </si>
  <si>
    <t>WOS:000838033200021</t>
  </si>
  <si>
    <t>Tai, MCT</t>
  </si>
  <si>
    <t>Tai, Michael Cheng-Tek</t>
  </si>
  <si>
    <t>The impact of artificial intelligence on human society and bioethics</t>
  </si>
  <si>
    <t>TZU CHI MEDICAL JOURNAL</t>
  </si>
  <si>
    <t>Artificial intelligence; Bioethics; Principles of artificial intelligence bioethics</t>
  </si>
  <si>
    <t>Artificial intelligence (AI), known by some as the industrial revolution (IR) 4.0, is going to change not only the way we do things, how we relate to others, but also what we know about ourselves. This article will first examine what AI is, discuss its impact on industrial, social, and economic changes on humankind in the 21st century, and then propose a set of principles for AI bioethics. The IR1.0, the IR of the 18th century, impelled a huge social change without directly complicating human relationships. Modern AI, however, has a tremendous impact on how we do things and also the ways we relate to one another. Facing this challenge, new principles of AI bioethics must be considered and developed to provide guidelines for the AI technology to observe so that the world will be benefited by the progress of this new intelligence.</t>
  </si>
  <si>
    <t>[Tai, Michael Cheng-Tek] Chung Shan Med Univ, Coll Med, Dept Med Sociol &amp; Social Work, 110,Sect 1,Chien Kuo North Rd, Taichung, Taiwan</t>
  </si>
  <si>
    <t>Chung Shan Medical University</t>
  </si>
  <si>
    <t>Tai, MCT (corresponding author), Chung Shan Med Univ, Coll Med, Dept Med Sociol &amp; Social Work, 110,Sect 1,Chien Kuo North Rd, Taichung, Taiwan.</t>
  </si>
  <si>
    <t>mctaicht@gmail.com</t>
  </si>
  <si>
    <t>WOLTERS KLUWER MEDKNOW PUBLICATIONS</t>
  </si>
  <si>
    <t>MUMBAI</t>
  </si>
  <si>
    <t>WOLTERS KLUWER INDIA PVT LTD , A-202, 2ND FLR, QUBE, C T S NO 1498A-2 VILLAGE MAROL, ANDHERI EAST, MUMBAI, Maharashtra, INDIA</t>
  </si>
  <si>
    <t>1016-3190</t>
  </si>
  <si>
    <t>2223-8956</t>
  </si>
  <si>
    <t>TZU CHI MED J</t>
  </si>
  <si>
    <t>Tzu Chi Med. J.</t>
  </si>
  <si>
    <t>OCT-DEC</t>
  </si>
  <si>
    <t>10.4103/tcmj.tcmj_71_20</t>
  </si>
  <si>
    <t>Medicine, General &amp; Internal</t>
  </si>
  <si>
    <t>General &amp; Internal Medicine</t>
  </si>
  <si>
    <t>NZ4TV</t>
  </si>
  <si>
    <t>gold, Green Published</t>
  </si>
  <si>
    <t>WOS:000577089500005</t>
  </si>
  <si>
    <t>Graca, N; Gojakovic, AL</t>
  </si>
  <si>
    <t>Graca, Nebojsa; Gojakovic, Ana Lucija</t>
  </si>
  <si>
    <t>Artificial Intelligence in the Context of Intellectual Capital and Intellectual Capital in the Context of Artificial Intelligence</t>
  </si>
  <si>
    <t>artificial intelligence; intellectual property; intellectual capital; management</t>
  </si>
  <si>
    <t>Looking at the statement of Mr Francis Gurry, WIPO Director General, that: Artificial intelligence is a new digital frontier that will have a profound impact on the world, transforming the way we live and work, we realize that artificial intelligence (AI) inspires intensive change to our overall existence, starting with living styles and culture, through the development of science, art and technology, to changes in the creation of business value. We encounter different definitions of AI in world literature. Bearing in mind the issues dealt with in the paper, the authors will observe AI in two ways: as a kind of unique collection of inventions (knowledge fund) being the result of decades of research and development, and as part of intellectual capital (intangible assets). Based on current scientific studies, AI is treated as a strategic priority for the near future. This has led to the formation of a work group on AI and new technologies, which is expected to respond to a number of challenges. One of the challenges is the legal and regulatory framework for creations and inventions generated by AI. This further implies a paradigm shift in the creative (invention) process, in which robots will not only help people, but also help run the process themselves. Legal changes will also affect economic changes. Knowledge managers and intellectual capital (IC) managers also face numerous challenges. If AI, as an intellectual property (IP), to be able to independently make complex intellectual creations, which has hitherto been a uniquely human feature, will AI become part of the company's human capital (HC)? That is, will it be possible to equate AI to active intelligence of the company, since AI has entered into the sphere of creativity and ingenuity ( Iglesias, Shamuilia and Anderberg, 2019)? Is it realistic to ask whether AI will remain just a synonym for the legally protected IC of a company, a part of an existing brand? Or will AI become the primary strategic asset and the dominant corporate brand of existing and future companies?</t>
  </si>
  <si>
    <t>nebojsagraca@gmail.com</t>
  </si>
  <si>
    <t>10.34190/EAIR.21.022</t>
  </si>
  <si>
    <t>WOS:000838033200007</t>
  </si>
  <si>
    <t>Gontijo, MCA; de Araújo, RF; Rodríguez, CT</t>
  </si>
  <si>
    <t>Andrade Gontijo, Marilia Catarina; de Araujo, Ronaldo Ferreira; Travieso Rodriguez, Crispulo</t>
  </si>
  <si>
    <t>Scientific impact and social interest of Artificial Intelligence research: analysis based on data from Dimensions</t>
  </si>
  <si>
    <t>REVISTA GENERAL DE INFORMACION Y DOCUMENTACION</t>
  </si>
  <si>
    <t>Artificial Intelligence; Information metrics; Academic impact; Online attention; Dimensions</t>
  </si>
  <si>
    <t>METRICS</t>
  </si>
  <si>
    <t>This article studies scientific production on Artificial Intelligence dealing with both bibliographic and citation issues and its public and social interest. From an exploratory methodological approach, it is examined the academic impact, according to citation indicators, and online attention, according to altmetrics indicators. It was collected a total of 7.453 open access articles published between 2012 and 2019. Data sources for the data collecting were Dimensions and Altmetric Explorer. Results show that, on one hand, academic impact had a medium scope, as more than a half -53,3% of the articles included - had at least one cite. On the other hand, online attention can be considered low, as only 32.3% of the articles obtained mentions in social media. It was confirmed that research on Artificial Intelligence is mainly interdisciplinary; besides, it was proved that using bibliometrics and altmetrics jointly have a complementary value in order to analyze the whole impact of the scientific literature.</t>
  </si>
  <si>
    <t>[Andrade Gontijo, Marilia Catarina; de Araujo, Ronaldo Ferreira] Univ Fed Minas Gerais, Belo Horizonte, MG, Brazil; [Travieso Rodriguez, Crispulo] Univ Salamanca, Salamanca, Spain</t>
  </si>
  <si>
    <t>Universidade Federal de Minas Gerais; University of Salamanca</t>
  </si>
  <si>
    <t>Gontijo, MCA (corresponding author), Univ Fed Minas Gerais, Belo Horizonte, MG, Brazil.</t>
  </si>
  <si>
    <t>mariliacgontijo@gmail.com; ronaldo.araujo@ichca.ufal.br; ctravieso@usal.es</t>
  </si>
  <si>
    <t>UNIV COMPLUTENSE MADRID, SERVICIO PUBLICACIONES</t>
  </si>
  <si>
    <t>CIUDAD UNIV, OBISPO TREJO 3, MADRID, 28040, SPAIN</t>
  </si>
  <si>
    <t>1132-1873</t>
  </si>
  <si>
    <t>1988-2858</t>
  </si>
  <si>
    <t>REV GEN INF DOC</t>
  </si>
  <si>
    <t>Rev. Gen. Inf. Doc.</t>
  </si>
  <si>
    <t>10.5209/rgid.79465</t>
  </si>
  <si>
    <t>XV3QZ</t>
  </si>
  <si>
    <t>WOS:000734861900005</t>
  </si>
  <si>
    <t>Calegari, R; Sabbatini, F</t>
  </si>
  <si>
    <t>Dovier, A; Montanari, A; Orlandini, A</t>
  </si>
  <si>
    <t>Calegari, Roberta; Sabbatini, Federico</t>
  </si>
  <si>
    <t>The PSyKE Technology for Trustworthy Artificial Intelligence</t>
  </si>
  <si>
    <t>AIXIA 2022 - ADVANCES IN ARTIFICIAL INTELLIGENCE</t>
  </si>
  <si>
    <t>21st International Conference of the Italian-Association-for-Artificial-Intelligence (AIxIA)</t>
  </si>
  <si>
    <t>NOV 28-DEC 02, 2022</t>
  </si>
  <si>
    <t>Udine, ITALY</t>
  </si>
  <si>
    <t>Italian Assoc Artificial Intelligence,EUSTEMA,Danieli Automat,Generali,Intesa Sanpaolo,TechEdge,OverIT,Previnet,U Blox,BeanTech,SMC,Confindustria Udine</t>
  </si>
  <si>
    <t>Trustworthy Artificial Intelligence; Transparency; Explainability; Symbolic knowledge extraction; PSyKE</t>
  </si>
  <si>
    <t>EXTRACTION; ALGORITHM</t>
  </si>
  <si>
    <t>Transparency is one of the Ethical Principles in the Context of AI Systems as described in the Ethics Guidelines for Trustworthy Artificial Intelligence (TAI). It is closely linked to four other principles - respect for human autonomy, prevention of harm, traceability and explainability - and involves numerous ways in which opaqueness can have undesirable impacts, such as discrimination, inequality, segregation, marginalisation, and manipulation. The opaqueness of many AI tools and the inability to understand the underpinning black boxes contradicts these principles as well as prevents people from fully trusting them. In this paper we discuss the PSyKE technology, a platform providing general-purpose support to symbolic knowledge extraction from different sorts of black-box predictors via many extraction algorithms. The extracted knowledge results are easily injectable into existing AI assets making them meet the transparency TAI requirement.</t>
  </si>
  <si>
    <t>[Calegari, Roberta] Alma Mater Studiorum Univ Bologna, Alma AI Alma Mater Res Inst Human, Ctr Artificial Intelligence, Bologna, Italy; [Sabbatini, Federico] Univ Urbino, Dept Pure &amp; Appl Sci DiSPeA, Via S Chiara 27, I-61029 Urbino, Italy</t>
  </si>
  <si>
    <t>University of Bologna; University of Urbino</t>
  </si>
  <si>
    <t>Sabbatini, F (corresponding author), Univ Urbino, Dept Pure &amp; Appl Sci DiSPeA, Via S Chiara 27, I-61029 Urbino, Italy.</t>
  </si>
  <si>
    <t>roberta.calegari@unibo.it; f.sabbatini1@campus.uniurb.it</t>
  </si>
  <si>
    <t>Sabbatini, Federico/JZT-5932-2024; Calegari, Roberta/ABC-7830-2020</t>
  </si>
  <si>
    <t>Sabbatini, Federico/0000-0002-0532-6777; Calegari, Roberta/0000-0003-3794-2942</t>
  </si>
  <si>
    <t>EU [952215]; European Union's Horizon 2020 research and innovation programme [101017142]; H2020 - Industrial Leadership [101017142] Funding Source: H2020 - Industrial Leadership</t>
  </si>
  <si>
    <t>EU(European Union (EU)); European Union's Horizon 2020 research and innovation programme(Horizon 2020); H2020 - Industrial Leadership(European Union (EU)H2020 - Industrial Leadership)</t>
  </si>
  <si>
    <t>This work has been partially supported by the EU ICT-48 2020 project TAILOR (No. 952215) and by the European Union's Horizon 2020 research and innovation programme under G.A. no. 101017142 (StairwAI project).</t>
  </si>
  <si>
    <t>978-3-031-27180-9; 978-3-031-27181-6</t>
  </si>
  <si>
    <t>10.1007/978-3-031-27181-6_1</t>
  </si>
  <si>
    <t>Computer Science, Artificial Intelligence</t>
  </si>
  <si>
    <t>BV1TZ</t>
  </si>
  <si>
    <t>WOS:000999015100001</t>
  </si>
  <si>
    <t>Taljaard, T; Gerber, A</t>
  </si>
  <si>
    <t>Pillay, A; Jembere, E; Gerber, A</t>
  </si>
  <si>
    <t>Taljaard, Tiaan; Gerber, Aurona</t>
  </si>
  <si>
    <t>The Preparation of South African Companies for the Impact of Artificial Intelligence</t>
  </si>
  <si>
    <t>ARTIFICIAL INTELLIGENCE RESEARCH, SACAIR 2022</t>
  </si>
  <si>
    <t>Third Southern African Conference, SACAIR</t>
  </si>
  <si>
    <t>DEC 05-09, 2022</t>
  </si>
  <si>
    <t>Stellenbosch, SOUTH AFRICA</t>
  </si>
  <si>
    <t>Artificial Intelligence Journal,Natl Inst of Computational Sci,Centre for Artificial Intelligence Research,BMW IT Hub South Africa</t>
  </si>
  <si>
    <t>Artificial Intelligence adoption; AI for business relevance</t>
  </si>
  <si>
    <t>Within conversations about strategic interventions that businesses should embrace given technological advancements, Artificial Intelligence (AI) features prominently. Thought leaders such as Gartner publish reports regularly with predictions that AI will affect the future job market and business competitiveness. In this paper we report on a survey that analysed the preparation of South African companies for the impact of AI. The survey had 120 respondents across all provinces and industries within South Africa. The results indicate that more than 80% of participants believe that AI will be crucial to compete in markets and that they need to prepare for AI's impact to stay relevant. However, more than 50% of all participants have not started initiatives to upskill staff or create initiatives to explore and deploy AI technology. The main impact of AI technology is believed to be the automation of mundane tasks, which could provide opportunities to prepare for the adoption of AI technology in a company. The results may be of value for researchers who aim to understand how to assist business within South Africa with the implementation of interventions for AI adoption.</t>
  </si>
  <si>
    <t>[Taljaard, Tiaan; Gerber, Aurona] Univ Pretoria, Pretoria, South Africa; [Gerber, Aurona] Ctr AI Res CAIR, Pretoria, South Africa</t>
  </si>
  <si>
    <t>University of Pretoria</t>
  </si>
  <si>
    <t>Gerber, A (corresponding author), Univ Pretoria, Pretoria, South Africa.;Gerber, A (corresponding author), Ctr AI Res CAIR, Pretoria, South Africa.</t>
  </si>
  <si>
    <t>aurona.gerber@up.ac.za</t>
  </si>
  <si>
    <t>Gerber, Aurona/AAF-6255-2019</t>
  </si>
  <si>
    <t>978-3-031-22320-4; 978-3-031-22321-1</t>
  </si>
  <si>
    <t>10.1007/978-3-031-22321-1_24</t>
  </si>
  <si>
    <t>BU5YS</t>
  </si>
  <si>
    <t>WOS:000921010700024</t>
  </si>
  <si>
    <t>Aljuaid, H</t>
  </si>
  <si>
    <t>Aljuaid, Hind</t>
  </si>
  <si>
    <t>The Impact of Artificial Intelligence Tools on Academic Writing Instruction in Higher Education: A Systematic Review</t>
  </si>
  <si>
    <t>ARAB WORLD ENGLISH JOURNAL</t>
  </si>
  <si>
    <t>Artificial Intelligence in higher education; Artificial Intelligence in academic writing; Writing courses; Artificial Intelligence in academia; ethical issues of Artificial Intelligence in academic writing</t>
  </si>
  <si>
    <t>USER ACCEPTANCE; TECHNOLOGY; CHATGPT</t>
  </si>
  <si>
    <t>With the growth of Artificial Intelligence technologies, there is interest in studying their potential impact on university academic writing courses. This study examined whether AI tools are replacing these courses by exploring how they effectively replace traditional academic writing instruction and this shift's potential benefits and drawbacks. The researcher reviewed existing literature on integrating AI tools into academic writing instruction. The findings provide insights to educators navigating the integration of Artificial Intelligence tools into writing curricula while maintaining instructional quality and academic integrity standards. By synthesizing the latest research, this study can inform decisions about the appropriate use of Artificial Intelligence in teaching essential writing skills. Increased use of Artificial Intelligence writing tools has sparked debate about their role in academic writing instruction. Universities like Stanford have updated policies around Artificial Intelligence tool usage and academic integrity. The University of California issued guidance acknowledging the prevalence of generative Artificial Intelligence on campuses. Middlebury College banned classroom use of ChatGPT over concerns it could impede critical thinking and writing skill development. Results show that while Artificial Intelligence helps with grammar and style, questions remain about its impact on creativity and critical thinking. However, Artificial Intelligence is not replacing university writing courses. These courses teach critical thinking, research, citation, argumentation, creativity, originality, and ethics, which Artificial Intelligence lacks. Academic writing courses offer a complete learning experience. Artificial Intelligence may improve academic writing but is unlikely to replace traditional courses soon. A balanced approach integrating Artificial Intelligence support while preserving core elements of academic writing education appears most effective for preparing students for diverse writing challenges.</t>
  </si>
  <si>
    <t>[Aljuaid, Hind] Taif Univ, Coll Arts, Foreign Languages Dept, Taif, Saudi Arabia</t>
  </si>
  <si>
    <t>Taif University</t>
  </si>
  <si>
    <t>Aljuaid, H (corresponding author), Taif Univ, Coll Arts, Foreign Languages Dept, Taif, Saudi Arabia.</t>
  </si>
  <si>
    <t>dr.hind@tu.edu.sa</t>
  </si>
  <si>
    <t>KUALA LUMPUR</t>
  </si>
  <si>
    <t>JALAN 34-24 WANGSA MAJU, KUALA LUMPUR, 53300, MALAYSIA</t>
  </si>
  <si>
    <t>2229-9327</t>
  </si>
  <si>
    <t>ARAB WORLD ENGL J</t>
  </si>
  <si>
    <t>Arab World Engl. J.</t>
  </si>
  <si>
    <t>APR</t>
  </si>
  <si>
    <t>10.24093/awej/ChatGPT.2</t>
  </si>
  <si>
    <t>Language &amp; Linguistics</t>
  </si>
  <si>
    <t>Linguistics</t>
  </si>
  <si>
    <t>TZ3Y7</t>
  </si>
  <si>
    <t>WOS:001245053900003</t>
  </si>
  <si>
    <t>Wallace, MB; Sharma, P; Bhandari, P; East, J; Antonelli, G; Lorenzetti, R; Vieth, M; Speranza, I; Spadaccini, M; Desai, M; Lukens, FJ; Babameto, G; Batista, D; Singh, D; Palmer, W; Ramirez, F; Palmer, R; Lunsford, T; Ruff, K; Bird-Liebermann, E; Ciofoaia, V; Arndtz, S; Cangemi, D; Puddick, K; Derfus, G; Johal, AS; Barawi, M; Longo, L; Moro, L; Repici, A; Hassan, C</t>
  </si>
  <si>
    <t>Wallace, Michael B.; Sharma, Prateek; Bhandari, Pradeep; East, James; Antonelli, Giulio; Lorenzetti, Roberto; Vieth, Micheal; Speranza, Ilaria; Spadaccini, Marco; Desai, Madhav; Lukens, Frank J.; Babameto, Genci; Batista, Daisy; Singh, Davinder; Palmer, William; Ramirez, Francisco; Palmer, Rebecca; Lunsford, Tisha; Ruff, Kevin; Bird-Liebermann, Elizabeth; Ciofoaia, Victor; Arndtz, Sophie; Cangemi, David; Puddick, Kirsty; Derfus, Gregory; Johal, Amitpal S.; Barawi, Mohammed; Longo, Luigi; Moro, Luigi; Repici, Alessandro; Hassan, Cesare</t>
  </si>
  <si>
    <t>Impact of Artificial Intelligence on Miss Rate of Colorectal Neoplasia</t>
  </si>
  <si>
    <t>GASTROENTEROLOGY</t>
  </si>
  <si>
    <t>Colorectal Cancer; Artificial Intelligence; Miss Rate; Tandem Colonoscopy; Adenoma Miss Rate</t>
  </si>
  <si>
    <t>COMPUTER-AIDED DETECTION; GASTROINTESTINAL ENDOSCOPY; EUROPEAN-SOCIETY; COLONOSCOPY; CANCERS; HISTOLOGY; RISK</t>
  </si>
  <si>
    <t>BACKGROUND &amp; AIMS: Artificial intelligence (AI) may detect colorectal polyps that have been missed due to perceptual pitfalls. By reducing such miss rate, AI may increase the detection of colorectal neoplasia leading to a higher degree of colorectal cancer (CRC) prevention. METHODS: Patients undergoing CRC screening or surveillance were enrolled in 8 centers (Italy, UK, US), and randomized (1:1) to undergo 2 same-day, back-to-back colonoscopies with or without AI (deep learning computer aided diagnosis endoscopy) in 2 different arms, namely AI followed by colonoscopy without AI or vice-versa. Adenoma miss rate (AMR) was calculated as the number of histologically verified lesions detected at second colonoscopy divided by the total number of lesions detected at first and second colonoscopy. Mean number of lesions detected in the second colonoscopy and proportion of false negative subjects (no lesion at first colonoscopy and at least 1 at second) were calculated. Odds ratios (ORs) and 95% confidence intervals (CIs) were adjusted by endoscopist, age, sex, and indication for colonoscopy. Adverse events were also measured. RESULTS: A total of 230 subjects (116 AI first, 114 standard colonoscopy first) were included in the study analysis. AMR was 15.5% (38 of 246) and 32.4% (80 of 247) in the arm with AI and non-AI colonoscopy first, respectively (adjusted OR, 0.38; 95% CI, 0.23-0.62). In detail, AMR was lower for AI first for the &lt;= 5 mm (15.9% vs 35.8%; OR, 0.34; 95% CI, 0.21-0.55) and nonpolypoid lesions (16.8% vs 45.8%; OR, 0.24; 95% CI, 0.13-0.43), and it was lower both in the proximal (18.3% vs 32.5%; OR, 0.46; 95% CI, 0.26-0.78) and distal colon (10.8% vs 32.1%; OR, 0.25; 95% CI, 0.11-0.57). Mean number of adenomas at second colonoscopy was lower in the AI-first group as compared with non-AI colonoscopy first (0.33 +/- 0.63 vs 0.70 +/- 0.97, P &lt; .001). False negative rates were 6.8% (3 of 44 patients) and 29.6% (13 of 44) in the AI and non-AI first arms, respectively (OR, 0.17; 95% CI, 0.05-0.67). No difference in the rate of adverse events was found between the 2 groups. CONCLUSIONS: AI resulted in an approximately 2-fold reduction in miss rate of colorectal neoplasia, supporting AI-benefit in reducing perceptual errors for small and subtle lesions at standard colonoscopy.</t>
  </si>
  <si>
    <t>[Wallace, Michael B.; Lukens, Frank J.; Palmer, William; Cangemi, David] Mayo Clin Jacksonville, Div Gastroenterol &amp; Hepatol, Jacksonville, FL USA; [Wallace, Michael B.] Sheikh Shakhbout Med City SSMC, Div Gastroenterol, Abu Dhabi, U Arab Emirates; [Sharma, Prateek] Univ Kansas, Med Ctr, Dept Gastroenterol &amp; Hepatol, Kansas City, KS 66103 USA; [Bhandari, Pradeep; Desai, Madhav; Arndtz, Sophie; Puddick, Kirsty] Queen Alexandra Hosp, Div Gastroenterol, Portsmouth, Hants, England; [East, James; Palmer, Rebecca; Bird-Liebermann, Elizabeth] John Radcliffe Hosp, Translat Gastroenterol Unit, Oxford, England; [Antonelli, Giulio; Lorenzetti, Roberto; Spadaccini, Marco] Nuovo Regina Margherita Hosp, Gastroenterol Unit, Rome, Italy; [Antonelli, Giulio] Sapienza Univ Rome, Dept Anat Histol Forens Med &amp; Orthoped Sci, Rome, Italy; [Antonelli, Giulio] Osped Castelli Hosp, Gastroenterol &amp; Digest Endoscopy Unit, Rome, Italy; [Vieth, Micheal] Klinikum Bayreuth GmbH, Inst Pathol, Bayreuth, Germany; [Speranza, Ilaria] Cros NT, Verona, Italy; [Babameto, Genci; Batista, Daisy; Singh, Davinder; Ciofoaia, Victor] Mayo Clin LaCrosse, Div Gastroenterol &amp; Hepatol, La Crosse, WI USA; [Ramirez, Francisco; Lunsford, Tisha; Ruff, Kevin] Mayo Clin Scottsdale, Div Gastroenterol &amp; Hepatol, Scottsdale, AZ USA; [Derfus, Gregory] Mayo Clin Eau Claire, Div Gastroenterol &amp; Hepatol, Eau Claire, WI USA; [Johal, Amitpal S.] Geisinger Med Ctr, Div Gastroenterol, Danville, PA 17822 USA; [Barawi, Mohammed] Ascens St John Hosp, Gastroenterol &amp; Digest Hlth, Detroit, MI USA; [Longo, Luigi; Moro, Luigi] Cosmo Artificial Intelligence AI Ltd, Dublin, Ireland; [Repici, Alessandro; Hassan, Cesare] Humanitas Univ, Dept Biomed Sci, Milan, Italy; [Repici, Alessandro; Hassan, Cesare] Humanitas Clin &amp; Res Ctr IRCCS, Endoscopy Unit, Milan, Italy</t>
  </si>
  <si>
    <t>Mayo Clinic; University of Kansas; University of Kansas Medical Center; Portsmouth Hospitals NHS Trust; Queen Alexandra Hospital; University of Oxford; Poliambulatorio Nuovo Regina Margherita; Sapienza University Rome; Klinikum Bayreuth; Mayo Clinic; Mayo Clinic Phoenix; Geisinger Medical Center; Humanitas University</t>
  </si>
  <si>
    <t>Wallace, MB (corresponding author), Mayo Clin, Div Gastroenterol &amp; Hepatol, 4500 San Pablo Rd, Jacksonville, FL 32224 USA.</t>
  </si>
  <si>
    <t>mwallace@ssmc.ae</t>
  </si>
  <si>
    <t>Spadaccini, Marco/HOH-7613-2023; Wallace, Michael/GZL-9731-2022; Repici, Alessandro/HFH-8162-2022; hassan, cesare/H-2844-2012</t>
  </si>
  <si>
    <t>Repici, Alessandro/0000-0002-1621-6450; Wallace, Michael/0000-0002-6446-5785; Spadaccini, Marco/0000-0003-3909-9012; Antonelli, Giulio/0000-0003-1797-3864; hassan, cesare/0000-0001-7167-1459</t>
  </si>
  <si>
    <t>Cosmo Artificial Intelligence-AI Ltd.</t>
  </si>
  <si>
    <t>This article was funded by Cosmo Artificial Intelligence-AI Ltd.</t>
  </si>
  <si>
    <t>W B SAUNDERS CO-ELSEVIER INC</t>
  </si>
  <si>
    <t>1600 JOHN F KENNEDY BOULEVARD, STE 1800, PHILADELPHIA, PA 19103-2899 USA</t>
  </si>
  <si>
    <t>0016-5085</t>
  </si>
  <si>
    <t>1528-0012</t>
  </si>
  <si>
    <t>Gastroenterology</t>
  </si>
  <si>
    <t>JUL</t>
  </si>
  <si>
    <t>+</t>
  </si>
  <si>
    <t>10.1053/j.gastro.2022.03.007</t>
  </si>
  <si>
    <t>Gastroenterology &amp; Hepatology</t>
  </si>
  <si>
    <t>3J6GU</t>
  </si>
  <si>
    <t>WOS:000833492600011</t>
  </si>
  <si>
    <t>Saseanu, AS; Gogonea, RM; Ghita, SI</t>
  </si>
  <si>
    <t>Saseanu, Andreea Simona; Gogonea, Rodica-Manuela; Ghita, Simona Ioana</t>
  </si>
  <si>
    <t>THE SOCIAL IMPACT OF USING ARTIFICIAL INTELLIGENCE IN EDUCATION</t>
  </si>
  <si>
    <t>AMFITEATRU ECONOMIC</t>
  </si>
  <si>
    <t>artificial intelligence; education; logistic model; multinominal model; learning experience; job prospects; society</t>
  </si>
  <si>
    <t>Artificial intelligence currently represents one of the most talked about topics, considering the need for sustainable economic growth at a global level. When it comes to education, artificial intelligence is aimed at enhancing systems, ways of learning, as well as at the results of learning, on the one hand, and training the youth so as to accordingly satisfy the requirements of their future jobs, on the other hand. In this context, research on higher education in Romania was conducted, which analysed the students' opinion on the social impact of using artificial intelligence in education. As a consequence of performing an opinion poll, answers were collected online from students from prestigious Romanian universities. The data registered for the mentioned objective was processed by applying three statistical and econometric logistic regression models. The results of the first binary logistic model sh ow the respondents' opinions on the need and importance of enhancing the learning experience by using artificial intelligence in education, considering their gender and level of education. Also, with respect to the two characteristics considered the most significant to the objective of the paper, the following two multinominal logistic models have been developed. The results highlight the way in which the use of artificial intelligence in education influences, on the one hand, the graduates' prospect for a job and, on the other hand, the society as a whole.</t>
  </si>
  <si>
    <t>[Saseanu, Andreea Simona; Gogonea, Rodica-Manuela; Ghita, Simona Ioana] Bucharest Univ Econ Studies, Bucharest, Romania; [Gogonea, Rodica-Manuela; Ghita, Simona Ioana] Inst Natl Econ, Bucharest, Romania</t>
  </si>
  <si>
    <t>Saseanu, AS (corresponding author), Bucharest Univ Econ Studies, Bucharest, Romania.</t>
  </si>
  <si>
    <t>andreea.saseanu@com.ase.ro</t>
  </si>
  <si>
    <t>EDITURA ASE</t>
  </si>
  <si>
    <t>BUCURESTI</t>
  </si>
  <si>
    <t>PIATA ROMANA, NR 6, SECTOR 1, BUCURESTI, 701731, ROMANIA</t>
  </si>
  <si>
    <t>1582-9146</t>
  </si>
  <si>
    <t>2247-9104</t>
  </si>
  <si>
    <t>AMFITEATRU ECON</t>
  </si>
  <si>
    <t>Amfiteatru Econ.</t>
  </si>
  <si>
    <t>FEB</t>
  </si>
  <si>
    <t>10.24818/EA/2024/65/89</t>
  </si>
  <si>
    <t>Business; Economics; Management</t>
  </si>
  <si>
    <t>UX2M3</t>
  </si>
  <si>
    <t>WOS:001251298900006</t>
  </si>
  <si>
    <t>Hourani, H; Hammad, A; Lafi, M</t>
  </si>
  <si>
    <t>Jaber, KM</t>
  </si>
  <si>
    <t>Hourani, Hussam; Hammad, Ahmad; Lafi, Mohammad</t>
  </si>
  <si>
    <t>The Impact of Artificial Intelligence on Software Testing</t>
  </si>
  <si>
    <t>2019 IEEE JORDAN INTERNATIONAL JOINT CONFERENCE ON ELECTRICAL ENGINEERING AND INFORMATION TECHNOLOGY (JEEIT)</t>
  </si>
  <si>
    <t>IEEE Jordan International Joint Conference on Electrical Engineering and Information Technology (JEEIT)</t>
  </si>
  <si>
    <t>APR 09-11, 2019</t>
  </si>
  <si>
    <t>Amman, JORDAN</t>
  </si>
  <si>
    <t>IEEE,IEEE Jordan Sect,Jordan Engineers Assoc,Al Zaytoonah Univ Jordan,IEEE Reg 8,Atypon,Cisco,Estarta,Siemens,Cigre,Zain,Irbid Elect</t>
  </si>
  <si>
    <t>Artificial Intelligence; the Software Testing; Test Automation</t>
  </si>
  <si>
    <t>Artificial Intelligence (AI) plays an important role in our life and touch base most of our surrounding applications and systems. A huge amounts of data are created every day from many different sources that need to be monitored and analyzed properly and report results and take actions. A more complex software applications have been built, time is becoming a critical factor to release applications that must be fully tested and comply with Business Requirements. AI plays a key role in Software Testing and can get more accurate results and saves time. This paper discuss the Artificial Intelligence key pillars that can be used in Software Testing. It also open a window on how the future will look like in terms of Artificial Intelligence and the Software Testing. The results show that AI can achieve better results in Software Testing and AI-driven testing will lead the new era of the quality assurance (QA) work in the near future. AI Software Testing will reduce time to market and will increase the efficiency of the organization to produce more sophisticated software and will create smarter automated testing.</t>
  </si>
  <si>
    <t>[Hourani, Hussam; Hammad, Ahmad; Lafi, Mohammad] Al Zaytoonah Univ Jordan, Fac Sci &amp; IT, Amman, Jordan</t>
  </si>
  <si>
    <t>Al-Zaytoonah University of Jordan</t>
  </si>
  <si>
    <t>Hourani, H (corresponding author), Al Zaytoonah Univ Jordan, Fac Sci &amp; IT, Amman, Jordan.</t>
  </si>
  <si>
    <t>hussam.hourani@gmail.com; ahmad.hammad94@yahoo.com; lafi@zuj.edu.jo</t>
  </si>
  <si>
    <t>Lafi, Mohammed/AAG-4314-2020</t>
  </si>
  <si>
    <t>LAFI, MOHAMMED/0000-0003-1893-9510</t>
  </si>
  <si>
    <t>978-1-5386-7942-5</t>
  </si>
  <si>
    <t>Computer Science, Information Systems; Engineering, Electrical &amp; Electronic</t>
  </si>
  <si>
    <t>Computer Science; Engineering</t>
  </si>
  <si>
    <t>BM9FT</t>
  </si>
  <si>
    <t>WOS:000470894100105</t>
  </si>
  <si>
    <t>BUCKNER, GD; SHAH, V</t>
  </si>
  <si>
    <t>FUTURE VISION - IMPACTS OF ARTIFICIAL-INTELLIGENCE ON ORGANIZATIONAL SUCCESS</t>
  </si>
  <si>
    <t>KYBERNETES</t>
  </si>
  <si>
    <t>ARTIFICIAL INTELLIGENCE; CYBERNETICS; MANAGEMENT; ORGANIZATION</t>
  </si>
  <si>
    <t>In management cybernetics, artificial intelligence is altering the ways in which computers are usable as problem-solving tools. The talent of humans at thus smartly creating and operating tools is indeed a feature of human-based brainpower. Actualization of ''man-machine'' interaction is of paramount importance since the innovative application of all knowledge-based resources is increasingly impacting on global economic power and, consequently, success of every organization. At the same time, questions have arisen about the extent to which computers can intelligently complete tasks. Presents a methodology whereby change as necessary to extend synergistically the capabilities of both humans and their machines can be implemented successfully.</t>
  </si>
  <si>
    <t>SW TEXAS STATE UNIV,SAN MARCOS,TX 78666</t>
  </si>
  <si>
    <t>Texas State University System; Texas State University San Marcos</t>
  </si>
  <si>
    <t>BUCKNER, GD (corresponding author), MANAGEMENT TOOL CO,AUSTIN,TX, USA.</t>
  </si>
  <si>
    <t>MCB UNIV PRESS LTD</t>
  </si>
  <si>
    <t>BRADFORD</t>
  </si>
  <si>
    <t>60/62 TOLLER LANE, BRADFORD, W YORKSHIRE, ENGLAND BD8 9BY</t>
  </si>
  <si>
    <t>0368-492X</t>
  </si>
  <si>
    <t>Kybernetes</t>
  </si>
  <si>
    <t>10.1108/eb005962</t>
  </si>
  <si>
    <t>Computer Science, Cybernetics</t>
  </si>
  <si>
    <t>LN302</t>
  </si>
  <si>
    <t>WOS:A1993LN30200004</t>
  </si>
  <si>
    <t>Li, MF; Xie, YP; Gao, YG; Zhao, YN</t>
  </si>
  <si>
    <t>Li, Mengfan; Xie, Yongping; Gao, Yuge; Zhao, Yanan</t>
  </si>
  <si>
    <t>Organization virtualization driven by artificial intelligence</t>
  </si>
  <si>
    <t>SYSTEMS RESEARCH AND BEHAVIORAL SCIENCE</t>
  </si>
  <si>
    <t>artificial intelligence; information technology; organization virtualization</t>
  </si>
  <si>
    <t>SPECIAL-ISSUE; IMPACT</t>
  </si>
  <si>
    <t>With the rapid development of Internet technology and artificial intelligence, information technology has shown a trend of exponential growth. To improve the core competitiveness, the organization's boundaries gradually disappear and move towards virtualization. Virtualization is an effective form of organizational development in the information age. Based on the literature review regarding artificial intelligence and the related theories of organizational virtualization, this paper focuses on analysing the phased impact of the application of artificial intelligence on the virtualization of internal operations and the virtualization of interorganizational cooperation.</t>
  </si>
  <si>
    <t>[Li, Mengfan; Xie, Yongping; Gao, Yuge; Zhao, Yanan] Xidian Univ, Sch Econ &amp; Management, Xian 710126, Peoples R China</t>
  </si>
  <si>
    <t>Xidian University</t>
  </si>
  <si>
    <t>Li, MF; Xie, YP (corresponding author), Xidian Univ, Sch Econ &amp; Management, Xian 710126, Peoples R China.</t>
  </si>
  <si>
    <t>664877660@qq.com; xieyop@163.com</t>
  </si>
  <si>
    <t>Gao, Yuge/GXG-5863-2022; Zhao, Yanan/KZV-1188-2024</t>
  </si>
  <si>
    <t>WILEY</t>
  </si>
  <si>
    <t>HOBOKEN</t>
  </si>
  <si>
    <t>111 RIVER ST, HOBOKEN 07030-5774, NJ USA</t>
  </si>
  <si>
    <t>1092-7026</t>
  </si>
  <si>
    <t>1099-1743</t>
  </si>
  <si>
    <t>SYST RES BEHAV SCI</t>
  </si>
  <si>
    <t>Syst. Res. Behav. Sci.</t>
  </si>
  <si>
    <t>MAY</t>
  </si>
  <si>
    <t>10.1002/sres.2863</t>
  </si>
  <si>
    <t>MAY 2022</t>
  </si>
  <si>
    <t>Management; Social Sciences, Interdisciplinary</t>
  </si>
  <si>
    <t>2P0YQ</t>
  </si>
  <si>
    <t>WOS:000802902400001</t>
  </si>
  <si>
    <t>Godber, E</t>
  </si>
  <si>
    <t>Godber, Ed</t>
  </si>
  <si>
    <t>Uses of Artificial Intelligence in Health</t>
  </si>
  <si>
    <t>2018 INTERNATIONAL CONFERENCE ON ARTIFICIAL INTELLIGENCE: APPLICATIONS AND INNOVATIONS (IC-AIAI)</t>
  </si>
  <si>
    <t>International Conference on Artificial Intelligence - Applications and Innovations (IC-AIAI)</t>
  </si>
  <si>
    <t>OCT 31-NOV 02, 2018</t>
  </si>
  <si>
    <t>Nicosia, CYPRUS</t>
  </si>
  <si>
    <t>IEEE Comp Soc</t>
  </si>
  <si>
    <t>Artificial Intelligence; Human Intuition; Health; Regulation</t>
  </si>
  <si>
    <t>The use of artificial intelligence in health is growing rapidly. In this paper, a number of case studies were reviewed to elicit the sensitivity of health impact to parameters of AI design and application context. At a high level, the speed at which breakthroughs are happening is highly encouraging. Whereas application to core science or health preservation is working well, however, things are much more challenging at the intersection with healthcare itself. In particular lack of game alignment, lack of regulation and cognitive dissonance between the intuition of the AI architect and that of the healthcare practitioner would benefit from much more attention and cross-fertilisation. Whilst not quantified here, there were early signals that impact will be highest where such exchange of intuition has been explored and engineered into the system.</t>
  </si>
  <si>
    <t>[Godber, Ed] H Labs, London, England</t>
  </si>
  <si>
    <t>Godber, E (corresponding author), H Labs, London, England.</t>
  </si>
  <si>
    <t>978-1-7281-0412-6</t>
  </si>
  <si>
    <t>10.1109/IC-AIAI.2018.00013</t>
  </si>
  <si>
    <t>BM8EX</t>
  </si>
  <si>
    <t>WOS:000469060800007</t>
  </si>
  <si>
    <t>Florea, AM; Radu, S</t>
  </si>
  <si>
    <t>Florea, Adina Magda; Radu, Serban</t>
  </si>
  <si>
    <t>Artificial Intelligence and Education</t>
  </si>
  <si>
    <t>2019 22ND INTERNATIONAL CONFERENCE ON CONTROL SYSTEMS AND COMPUTER SCIENCE (CSCS)</t>
  </si>
  <si>
    <t>International Conference on Control Systems and Computer Science CSCS</t>
  </si>
  <si>
    <t>22nd International Conference on Control Systems and Computer Science (CSCS)</t>
  </si>
  <si>
    <t>MAY 28-30, 2019</t>
  </si>
  <si>
    <t>Univ Politehnica Bucharest, Bucharest, ROMANIA</t>
  </si>
  <si>
    <t>IEEE Comp Soc,Univ Politehnica Bucharest, Fac Automat Control &amp; Comp,Romanian Soc Control Engn &amp; Tech Informat,Romanian Acad, Sci &amp; Informat Technol Sect,IEEE Romania Sect,IEEE Compr Soc, Romanian Chapter,Romanian Assoc Artificial Intelligence</t>
  </si>
  <si>
    <t>Univ Politehnica Bucharest</t>
  </si>
  <si>
    <t>Artificial Intelligence; education; e-learning</t>
  </si>
  <si>
    <t>Artificial Intelligence is currently the new technological revolution. AI influences all domains of science, technology, industry, and society. The paper shortly discusses two views on the relationship between AI and education: one on how can AI enhance education, help personalize the learning experience, help teachers in their endeavor, and its impact on e-learning, and the other on how education in AI has to be conceived to create the work force required to face this new technological revolution.</t>
  </si>
  <si>
    <t>[Florea, Adina Magda; Radu, Serban] Univ Politehn Bucuresti, Comp Sci Dept, Bucharest, Romania</t>
  </si>
  <si>
    <t>Florea, AM (corresponding author), Univ Politehn Bucuresti, Comp Sci Dept, Bucharest, Romania.</t>
  </si>
  <si>
    <t>Radu, Serban/IQS-9474-2023; Florea, Adina Magda/AAM-2058-2020</t>
  </si>
  <si>
    <t>Florea, Adina Magda/0000-0001-7249-1871</t>
  </si>
  <si>
    <t>2379-0474</t>
  </si>
  <si>
    <t>2379-0482</t>
  </si>
  <si>
    <t>978-1-7281-2331-8</t>
  </si>
  <si>
    <t>I C CONTR SYS COMP S</t>
  </si>
  <si>
    <t>10.1109/CSCS.2019.00069</t>
  </si>
  <si>
    <t>Automation &amp; Control Systems; Computer Science, Theory &amp; Methods; Engineering, Electrical &amp; Electronic</t>
  </si>
  <si>
    <t>BO0JA</t>
  </si>
  <si>
    <t>WOS:000491270300062</t>
  </si>
  <si>
    <t>Longoni, C; Cian, L; Kyung, E</t>
  </si>
  <si>
    <t>ACM</t>
  </si>
  <si>
    <t>Longoni, Chiara; Cian, Luca; Kyung, Ellie</t>
  </si>
  <si>
    <t>Artificial Intelligence in the Government: Responses to Failures and Social Impact</t>
  </si>
  <si>
    <t>PROCEEDINGS OF THE 2022 AAAI/ACM CONFERENCE ON AI, ETHICS, AND SOCIETY, AIES 2022</t>
  </si>
  <si>
    <t>AAAI/ACM Conference on AI, Ethics, and Society (AIES)</t>
  </si>
  <si>
    <t>AUG 01-03, 2022</t>
  </si>
  <si>
    <t>Oxford, ENGLAND</t>
  </si>
  <si>
    <t>Assoc Comp Machinery,AAAI,ACM SIGAI</t>
  </si>
  <si>
    <t>Algorithm; Artificial intelligence; Social impact; Government; Public policy</t>
  </si>
  <si>
    <t>Artificial Intelligence (AI) is pervading the government and transforming how public services are provided to consumers-from allocation of benefits to law enforcement, risk monitoring and the provision of services. Despite technological improvements, AI systems are fallible and may err. How do consumers respond when learning of AI's failures? In thirteen preregistered studies (N = 3,724), we document a robust effect of algorithmic transference: algorithmic failures are generalized more broadly than human failures. Rather than reflecting generalized algorithm aversion, algorithmic transference is rooted in social categorization: it stems from how people perceive a group of AI systems versus a group of humans-as outgroups characterized by greater homogeneity than ingroups of comparable humans. Because AI systems are perceived as more homogeneous than people, failure information about one AI algorithm is transferred to another algorithm at a higher rate than failure information about a person is transferred to another person. Assessing AI's impact on consumers and societies, we show how the premature or mismanaged deployment of faulty AI technologies may engender algorithmic transference and undermine the very institutions that AI systems are meant to modernize.</t>
  </si>
  <si>
    <t>[Longoni, Chiara] Boston Univ, Questrom Sch Business, Mkt, Boston, MA 02215 USA; [Cian, Luca] Univ Virginia, Darden Sch Business, Business Adm, Charlottesville, VA USA; [Kyung, Ellie] Univ Penn, Wharton Sch, Philadelphia, PA USA</t>
  </si>
  <si>
    <t>Boston University; University of Virginia; University of Pennsylvania</t>
  </si>
  <si>
    <t>Longoni, C (corresponding author), Boston Univ, Questrom Sch Business, Mkt, Boston, MA 02215 USA.</t>
  </si>
  <si>
    <t>clongoni@bu.edu; cianl@darden.virginia.edu; ejkyung@wharton.upenn.edu</t>
  </si>
  <si>
    <t>Longoni, Chiara/GVS-8858-2022</t>
  </si>
  <si>
    <t>ASSOC COMPUTING MACHINERY</t>
  </si>
  <si>
    <t>1601 Broadway, 10th Floor, NEW YORK, NY, UNITED STATES</t>
  </si>
  <si>
    <t>978-1-4503-9247-1</t>
  </si>
  <si>
    <t>10.1145/3514094.3534125</t>
  </si>
  <si>
    <t>Computer Science, Artificial Intelligence; Ethics; History &amp; Philosophy Of Science</t>
  </si>
  <si>
    <t>Computer Science; Social Sciences - Other Topics; History &amp; Philosophy of Science</t>
  </si>
  <si>
    <t>BW2KZ</t>
  </si>
  <si>
    <t>WOS:001118017500045</t>
  </si>
  <si>
    <t>Alajmi, SA; Alenezi, SHF</t>
  </si>
  <si>
    <t>Kaya, MV; ChodnickaJaworska, P</t>
  </si>
  <si>
    <t>Alajmi, Sanad A.; Alenezi, Saleh H. F.</t>
  </si>
  <si>
    <t>Role of Artificial Intelligence in Human Resources</t>
  </si>
  <si>
    <t>13TH RSEP INTERNATIONAL CONFERENCE ON BUSINESS, ECONOMICS &amp; FINANCE</t>
  </si>
  <si>
    <t>13th RSEP International Conference on Business, Economics and Finance</t>
  </si>
  <si>
    <t>JUN 11-13, 2019</t>
  </si>
  <si>
    <t>Kadir Has Univ, Istanbul, TURKEY</t>
  </si>
  <si>
    <t>Review Socio Econ Perspect</t>
  </si>
  <si>
    <t>Kadir Has Univ</t>
  </si>
  <si>
    <t>Artificial Intelligence; HR; labour market</t>
  </si>
  <si>
    <t>In today's competitive world, developments in information technology, particularly those involving artificial intelligence, have significant implications for human resources. Assessing these impacts will be crucial to develop policies that enhance the efficiency of the human resources function for the benefit of workers, employers and society as a whole. This paper introduces the concept of artificial intelligence and reviews studies that link artificial intelligence to human resources issues, including processes that already use artificial intelligence as well as potential future applications. The paper also reviews studies of the impact of artificial intelligence on the labour market, noting the distinct usage preferences of artificial intelligence in various industries and emerging and declining job roles, as well as the skills required to deal with the changes resulting from the use of artificial intelligence. The main objective of this conceptual paper is to study the role of artificial intelligence in human resources, based on secondary sources. Published literature and websites are used to review both empirical and analytical aspects of the potential role of artificial intelligence in human resources.</t>
  </si>
  <si>
    <t>[Alajmi, Sanad A.] Publ Author Ind, Kuwait, Kuwait; [Alenezi, Saleh H. F.] Council Ministers, Kuwait, Kuwait</t>
  </si>
  <si>
    <t>Alajmi, SA (corresponding author), Publ Author Ind, Kuwait, Kuwait.</t>
  </si>
  <si>
    <t>alajmisanad@hotmail.com; alenezi@inbox.com</t>
  </si>
  <si>
    <t>Kuwait Foundation for the Advancement of Sciences (KFAS)</t>
  </si>
  <si>
    <t>Kuwait Foundation for the Advancement of Sciences (KFAS)(Kuwait Foundation for the Advancement of Sciences (KFAS))</t>
  </si>
  <si>
    <t>This research was funded by the Kuwait Foundation for the Advancement of Sciences (KFAS). We would like to express our deep gratitude to KFAS for their continued support to researchers in Kuwait. This support enabled many researchers to complete and publish their research.</t>
  </si>
  <si>
    <t>BC GRUP INC</t>
  </si>
  <si>
    <t>CANKAYA</t>
  </si>
  <si>
    <t>MUSTAFA KEMAL MAH, 2134 SOK, DERELI APT. NO:15/2, CANKAYA, ANKARA 06530, TURKEY</t>
  </si>
  <si>
    <t>978-605-80676-5-3</t>
  </si>
  <si>
    <t>Business; Business, Finance</t>
  </si>
  <si>
    <t>BP1KX</t>
  </si>
  <si>
    <t>WOS:000540035600005</t>
  </si>
  <si>
    <t>Peifer, Y; Jeske, T; Hille, S</t>
  </si>
  <si>
    <t>Longo, F; Affenzeller, M; Padovano, A</t>
  </si>
  <si>
    <t>Peifer, Yannick; Jeske, Tim; Hille, Sven</t>
  </si>
  <si>
    <t>Artificial Intelligence and its Impact on Leaders and Leadership</t>
  </si>
  <si>
    <t>3RD INTERNATIONAL CONFERENCE ON INDUSTRY 4.0 AND SMART MANUFACTURING</t>
  </si>
  <si>
    <t>Procedia Computer Science</t>
  </si>
  <si>
    <t>3rd International Conference on Industry 4.0 and Smart Manufacturing (ISM)</t>
  </si>
  <si>
    <t>NOV 17-19, 2021</t>
  </si>
  <si>
    <t>Upper Austria Univ Appl Sci, Hagenberg Campus, Linz, AUSTRIA</t>
  </si>
  <si>
    <t>Upper Austria Univ Appl Sci, Hagenberg Campus</t>
  </si>
  <si>
    <t>Artificial Intelligence; Management; Leadership</t>
  </si>
  <si>
    <t>An increasing networking of IT systems as well as the use of cyber-physical systems in the industrial environment are raising the current amount of data. To process this enormous amount of data and derive conclusions companies use Artificial Intelligence (AI) more frequently. The increasing application and use of AI have a significant impact on socio-technical work systems. In particular, challenges and requirements for leaders and leadership can be identified. Accordingly, leaders and leadership are crucial for implementing and using AI successfully. This and the dynamic development of AI require further research on its impact on leaders and leadership for supporting companies with practice-proven guidelines and recommendations. For developing those a comprehensive analysis of existing literature has been conducted and will be the basis for further steps. The literature analysis' results were grouped into four main clusters: Strategic Transformation Process, Qualification and Competencies, Culture and Human-AI Interaction. The results are presented in detail and an outlook on the further steps of research and development will be given. (C) 2022 The Authors. Published by Elsevier B.V.</t>
  </si>
  <si>
    <t>[Peifer, Yannick; Jeske, Tim; Hille, Sven] Ifaa Inst Appl Ind Engn &amp; Ergon, Dusseldorf, Germany</t>
  </si>
  <si>
    <t>Hille, S (corresponding author), Ifaa Inst Appl Ind Engn &amp; Ergon, Dusseldorf, Germany.</t>
  </si>
  <si>
    <t>y.peifer@ifaa-mail.de</t>
  </si>
  <si>
    <t>Jeske, Tim/AAV-9984-2020</t>
  </si>
  <si>
    <t>Federal Ministry of Labour and Social Affairs (BMAS) under the initiative New Quality of Work (INQA)</t>
  </si>
  <si>
    <t>The project humAIn work lab (duration: 07.09.2020 to 06.09.2023) is funded as part of the INQA funding guideline Zukunftsfahige Unternehmen und Verwaltungen im digitalen Wandel (EXPKI) by the Federal Ministry of Labour and Social Affairs (BMAS) under the initiative New Quality of Work (INQA). Under the direction of the Institute for Social Science Research (Institut fur Sozialwissenschaftliche Forschung e.V.). (ISF) Munich, INPUT Consulting gGmbH, ifaa -Institute of Applied Industrial Engineering and Ergonomics, IBM Deutschland GmbH, Deutsche Telekom Service GmbH and MICARAA GmbH as well as ver.di -Vereinte Dienstleistungsgewerkschaft and Bundesvereinigung der Deutschen Arbeitgeberverbande are participating in the project.</t>
  </si>
  <si>
    <t>ELSEVIER SCIENCE BV</t>
  </si>
  <si>
    <t>SARA BURGERHARTSTRAAT 25, PO BOX 211, 1000 AE AMSTERDAM, NETHERLANDS</t>
  </si>
  <si>
    <t>1877-0509</t>
  </si>
  <si>
    <t>PROCEDIA COMPUT SCI</t>
  </si>
  <si>
    <t>10.1016/j.procs.2022.01.301</t>
  </si>
  <si>
    <t>MAR 2022</t>
  </si>
  <si>
    <t>Computer Science, Theory &amp; Methods; Engineering, Industrial; Engineering, Manufacturing</t>
  </si>
  <si>
    <t>BS8UA</t>
  </si>
  <si>
    <t>WOS:000777601300104</t>
  </si>
  <si>
    <t>Correia, MJ; Matos, F</t>
  </si>
  <si>
    <t>Matos, F; Ferreiro, MD; Rosa, A; Salavisa, I</t>
  </si>
  <si>
    <t>Correia, Maria Joao; Matos, Florinda</t>
  </si>
  <si>
    <t>The Impact of Artificial Intelligence on Innovation Management: A Literature Review</t>
  </si>
  <si>
    <t>PROCEEDINGS OF THE 16TH EUROPEAN CONFERENCE ON INNOVATION AND ENTREPRENEURSHIP (ECIE 2021), VOL 1</t>
  </si>
  <si>
    <t>Proceedings of the European Conference on Entrepreneurship and Innovation</t>
  </si>
  <si>
    <t>16th European Conference on Innovation and Entrepreneurship (ECIE)</t>
  </si>
  <si>
    <t>SEP 16-17, 2021</t>
  </si>
  <si>
    <t>Inst Univ Lisboa, ISCTE Business Sch, ELECTR NETWORK</t>
  </si>
  <si>
    <t>Inst Univ Lisboa, ISCTE Business Sch</t>
  </si>
  <si>
    <t>innovation management; artificial intelligence; innovation models; Al challenges</t>
  </si>
  <si>
    <t>The digital transformation and its accompanying artificial intelligence processes are becoming the essential focus of the contemporaneous digital revolution. Its real impacts, challenges, and opportunities on the industry and the business environment remain unknown. In this context, innovation has become the main driver of competitiveness. Nevertheless, innovation is no longer an isolated and residual agent but a crucial mindset that should be embedded in all workers and all activities of a company, as innovation can improve an organisation's performance and the employees' well-being and working conditions. In this context, the growth of artificial intelligence in the business world seems to be changing the way companies innovate and manage innovation processes. This paper presents a literature review study whose objective is to get insights into publications that relate innovation management and artificial intelligence. The method used in this study is based on the analysis of data obtained from the Scopus database. As a general insight, it is concluded that Al systems can free managers from more technical and exhaustive research tasks and enhance creative processes. This way, managers can focus more on creativity applied to problem-solving and the conception and development of innovation strategies. In terms of originality, this study aims to contribute and stimulate data-driven discussions regarding the possible impacts of artificial intelligence on innovation processes. This study also explores directions for future research.</t>
  </si>
  <si>
    <t>[Correia, Maria Joao] ISCTE Lisbon Univ Inst, Lisbon, Portugal; [Matos, Florinda] ISCTE Lisbon Univ Inst, DINAMIA CET IUL Ctr Socioecon Change &amp; Terr Studi, Lisbon, Portugal</t>
  </si>
  <si>
    <t>Instituto Universitario de Lisboa; Instituto Universitario de Lisboa</t>
  </si>
  <si>
    <t>Correia, MJ (corresponding author), ISCTE Lisbon Univ Inst, Lisbon, Portugal.</t>
  </si>
  <si>
    <t>mjmca@iscte-iul.pt; florinda.matos@iscte-iul.pt</t>
  </si>
  <si>
    <t>Matos, Florinda/K-1951-2019; Matos, Florinda/M-1189-2016</t>
  </si>
  <si>
    <t>Matos, Florinda/0000-0002-9306-7313</t>
  </si>
  <si>
    <t>2049-1050</t>
  </si>
  <si>
    <t>2049-1069</t>
  </si>
  <si>
    <t>978-1-914587-10-8</t>
  </si>
  <si>
    <t>PROC EUR CONF ENTREP</t>
  </si>
  <si>
    <t>10.34190/EIE.21.225</t>
  </si>
  <si>
    <t>Business; Management</t>
  </si>
  <si>
    <t>BS7EF</t>
  </si>
  <si>
    <t>Green Accepted, Bronze</t>
  </si>
  <si>
    <t>WOS:000759344600027</t>
  </si>
  <si>
    <t>Damioli, G; Van Roy, V; Vertesy, D</t>
  </si>
  <si>
    <t>Damioli, Giacomo; Van Roy, Vincent; Vertesy, Daniel</t>
  </si>
  <si>
    <t>The impact of artificial intelligence on labor productivity</t>
  </si>
  <si>
    <t>EURASIAN BUSINESS REVIEW</t>
  </si>
  <si>
    <t>Artificial intelligence; Patents; Labor productivity; GMM-SYS</t>
  </si>
  <si>
    <t>Recent evidence indicates an upsurge in artificial intelligence and robotics (AI) patenting activities in the latest years, suggesting that solutions based on AI technologies might have started to exert an effect on the economy. We test this hypothesis using a worldwide sample of 5257 companies having filed at least a patent related to the field of AI between 2000 and 2016. Our analysis shows that, once controlling for other patenting activities, AI patent applications generate an extra-positive effect on companies' labor productivity. The effect concentrates on SMEs and services industries, suggesting that the ability to quickly readjust and introduce AI-based applications in the production process is an important determinant of the impact of AI observed to date.</t>
  </si>
  <si>
    <t>[Damioli, Giacomo] European Commiss, Joint Res Ctr JRC, Ispra, Italy; [Van Roy, Vincent] European Commiss, Joint Res Ctr JRC, Seville, Spain; [Vertesy, Daniel] Int Telecommun Union, Geneva, Switzerland; [Vertesy, Daniel] UNU MERIT, Maastricht, Netherlands</t>
  </si>
  <si>
    <t>European Commission Joint Research Centre; EC JRC ISPRA Site; Maastricht University</t>
  </si>
  <si>
    <t>Damioli, G (corresponding author), European Commiss, Joint Res Ctr JRC, Ispra, Italy.</t>
  </si>
  <si>
    <t>giacomo.damioli@ec.europa.eu; vincent.van-roy@ec.europa.eu; daniel.vertesy@itu.int</t>
  </si>
  <si>
    <t>Vertesy, Daniel/AAS-2046-2021; Damioli, Giacomo/HLG-3442-2023</t>
  </si>
  <si>
    <t>Damioli, Giacomo/0000-0001-8308-8367</t>
  </si>
  <si>
    <t>European Union's Horizon 2020 Framework Programme under the 'Innova Measure IV' project [857088]; H2020 Societal Challenges Programme [857088] Funding Source: H2020 Societal Challenges Programme</t>
  </si>
  <si>
    <t>European Union's Horizon 2020 Framework Programme under the 'Innova Measure IV' project; H2020 Societal Challenges Programme(Horizon 2020European Union (EU)H2020 Societal Challenges Programme)</t>
  </si>
  <si>
    <t>The authors are grateful to the participants of the 2019 Workshops Data infrastructure for mapping production and diffusion of AI technologies (Copenhagen Business School, Copenhagen) and The Economics and Management of AI Technologies (BETA-Universite de Strasbourg, France) and of the 2020 virtual Workshop Timely topics in innovation: AI, digitalization and inter-regional investments (European Commission, Joint Research Centre) for helpful comments and suggestions. The authors acknowledge financial support from the European Union's Horizon 2020 Framework Programme under the 'Innova Measure IV' project (Grant agreement no. 857088).</t>
  </si>
  <si>
    <t>SPRINGER HEIDELBERG</t>
  </si>
  <si>
    <t>HEIDELBERG</t>
  </si>
  <si>
    <t>TIERGARTENSTRASSE 17, D-69121 HEIDELBERG, GERMANY</t>
  </si>
  <si>
    <t>1309-4297</t>
  </si>
  <si>
    <t>2147-4281</t>
  </si>
  <si>
    <t>EURASIAN BUS REV</t>
  </si>
  <si>
    <t>Eurasian Bus. Rev.</t>
  </si>
  <si>
    <t>10.1007/s40821-020-00172-8</t>
  </si>
  <si>
    <t>JAN 2021</t>
  </si>
  <si>
    <t>QO3OK</t>
  </si>
  <si>
    <t>WOS:000609114100001</t>
  </si>
  <si>
    <t>Au-Yong-Oliveira, M; Lopes, C; Soares, F; Pinheiro, G; Guimaraes, P</t>
  </si>
  <si>
    <t>Rocha, A; Perez, BE; Penalvo, FG; Miras, MD; Goncalves, R</t>
  </si>
  <si>
    <t>Au-Yong-Oliveira, Manuel; Lopes, Carlos; Soares, Francisco; Pinheiro, Goncalo; Guimaraes, Pedro</t>
  </si>
  <si>
    <t>What can we expect from the future? The impact of Artificial Intelligence on Society</t>
  </si>
  <si>
    <t>2020 15TH IBERIAN CONFERENCE ON INFORMATION SYSTEMS AND TECHNOLOGIES (CISTI'2020)</t>
  </si>
  <si>
    <t>15th Iberian Conference on Information Systems and Technologies (CISTI)</t>
  </si>
  <si>
    <t>JUN 24-27, 2020</t>
  </si>
  <si>
    <t>Iberian Assoc Informat Syst &amp; Technologies,IEEE SMC Soc, Portuguese Chapter,Univ Seville,IEEE Spain Sect,IEEE SMC Spain Chapter,IEEE SMC France Chapter,IEEE SMC Italy Chapter</t>
  </si>
  <si>
    <t>Artificial intelligence; IoT; Impact; Legislation; Society</t>
  </si>
  <si>
    <t>The impact of the digital revolution has influenced society significantly in many ways, including with Artificial Intelligence (AI). The advantages and disadvantages of AI and what can be and should be done in order to influence that in a positive way are discussed. The study is based on interviews (ten) and survey answers (from 100 respondents). The survey results show that there is a general concern about the impact of AI in the future (the negative impact on work and related to a general loss of control). Furthermore, more than 50% of the answers lead to the thought that Humans will learn to use the power of computers to improve their own skills and be ahead of AI. As concerns the interviews, it was interesting to realize that practical courses, such as students studying engineering, were the ones who were afraid of AI instead of the social ones. This may be because the engineering students are the ones who know more about AI so they better realize the possible implications of AI on their future jobs. Another possible reason is that non-engineering students believe that human sensibility needed in their fields of study is more difficult to reproduce by AI machines than technical skills present in other fields of study/jobs.</t>
  </si>
  <si>
    <t>[Au-Yong-Oliveira, Manuel; Lopes, Carlos; Soares, Francisco; Pinheiro, Goncalo; Guimaraes, Pedro] Univ Aveiro, Dept Econ Management Ind Engn &amp; Tourism, Aveiro, Portugal; [Au-Yong-Oliveira, Manuel] GOVCOPP, Aveiro, Portugal</t>
  </si>
  <si>
    <t>Universidade de Aveiro</t>
  </si>
  <si>
    <t>Au-Yong-Oliveira, M (corresponding author), Univ Aveiro, Dept Econ Management Ind Engn &amp; Tourism, Aveiro, Portugal.;Au-Yong-Oliveira, M (corresponding author), GOVCOPP, Aveiro, Portugal.</t>
  </si>
  <si>
    <t>mao@ua.pt; carlosrafaeloliveira@ua.pt; franciscosoares@ua.pt; goncalopinheiro@ua.pt; pguimaraes@ua.pt</t>
  </si>
  <si>
    <t>Au-Yong-Oliveira, Manuel/ADX-9656-2022</t>
  </si>
  <si>
    <t>Au-Yong-Oliveira, Manuel/0000-0002-2154-6171</t>
  </si>
  <si>
    <t>978-989-54659-0-3</t>
  </si>
  <si>
    <t>10.23919/cisti49556.2020.9140903</t>
  </si>
  <si>
    <t>BQ6NN</t>
  </si>
  <si>
    <t>WOS:000612720600102</t>
  </si>
  <si>
    <t>Pailaha, AD</t>
  </si>
  <si>
    <t>Pailaha, Aprianto Daniel</t>
  </si>
  <si>
    <t>The Impact and Issues of Artificial Intelligence in Nursing Science and Healthcare Settings</t>
  </si>
  <si>
    <t>SAGE OPEN NURSING</t>
  </si>
  <si>
    <t>Editorial Material</t>
  </si>
  <si>
    <t>artificial intelligence; impacts; issues; nursing science; healthcare</t>
  </si>
  <si>
    <t>Research and development of artificial intelligence (AI)-based technologies systems in healthcare has increased over the past decade, highlighting the strong potential of AI to improve the quality of nursing care. To meet the new demands for nursing care, it is necessary that AI be integrated into nursing science and healthcare setting, especially in nursing care. The current challenge is to transform this expanded set of technology into clinical benefits for patients, through more advanced, accurate, practical, effective, efficient, and economical and personalized care. Along with the potential positive outcomes, AI technology also has unintended consequences that have the potential to negatively impact and adversely affect the nursing profession and the primary purpose of nursing practice in healthcare system. This aimed to explore and discuss the impact of applying AI in nursing science and healthcare system to provide approximate nursing care. Some of the impacts that can be evaluated and seen today in the context of using AI technology systems in the scope of nursing and healthcare are expanding access to quality medical care, improving medical records, and improving the quality of services. The use of AI technology systems also has some issues, such as bias and algorithms, which are drawbacks that need to be considered when evaluating the accuracy of the displayed results.</t>
  </si>
  <si>
    <t>[Pailaha, Aprianto Daniel] Siloam Hosp Agora, Gen Ward Nursing, Dept Nursing, Jakarta, Indonesia; [Pailaha, Aprianto Daniel] Siloam Hosp Agora, Dept Nursing, Gen Ward Nursing, Cent Jakarta 10510, Jakarta Special, Indonesia</t>
  </si>
  <si>
    <t>Pailaha, AD (corresponding author), Siloam Hosp Agora, Dept Nursing, Gen Ward Nursing, Cent Jakarta 10510, Jakarta Special, Indonesia.</t>
  </si>
  <si>
    <t>apriantodanielp@outlook.com</t>
  </si>
  <si>
    <t>Pailaha, Aprianto/IXD-8170-2023</t>
  </si>
  <si>
    <t>Pailaha, Aprianto Daniel/0009-0009-0020-1033</t>
  </si>
  <si>
    <t>SAGE PUBLICATIONS INC</t>
  </si>
  <si>
    <t>THOUSAND OAKS</t>
  </si>
  <si>
    <t>2455 TELLER RD, THOUSAND OAKS, CA 91320 USA</t>
  </si>
  <si>
    <t>2377-9608</t>
  </si>
  <si>
    <t>SAGE OPEN NURS</t>
  </si>
  <si>
    <t>SAGE Open Nurs.</t>
  </si>
  <si>
    <t>10.1177/23779608231196847</t>
  </si>
  <si>
    <t>Nursing</t>
  </si>
  <si>
    <t>R5CV7</t>
  </si>
  <si>
    <t>WOS:001064537100001</t>
  </si>
  <si>
    <t>Conde-Zhingre, LE; Cueva-Alvarado, GI; Chamba-Eras, LA; Ureña-Torres, MI</t>
  </si>
  <si>
    <t>Rocha, A; Bordel, B; Penalvo, FG; Goncalves, R</t>
  </si>
  <si>
    <t>Elizabeth Conde-Zhingre, Lorena; Israel Cueva-Alvarado, Gilmar; Antonio Chamba-Eras, Luis; Isabel Urena-Torres, Maria</t>
  </si>
  <si>
    <t>Impact of Artificial Intelligence in Basic General Education in Ecuador</t>
  </si>
  <si>
    <t>2022 17TH IBERIAN CONFERENCE ON INFORMATION SYSTEMS AND TECHNOLOGIES (CISTI)</t>
  </si>
  <si>
    <t>17th Iberian Conference on Information Systems and Technologies (CISTI)</t>
  </si>
  <si>
    <t>JUN 22-25, 2022</t>
  </si>
  <si>
    <t>Madrid, SPAIN</t>
  </si>
  <si>
    <t>Univ Politecnica Madrid,IEEE SMC Portugal Chapter,Informat &amp; Technol Management Assoc,IEEE Spain Sect,IEEE SMC Spain Chapter,IEEE SMC France Chapter,IEEE SMC Italy Chapter,AISTI</t>
  </si>
  <si>
    <t>Education; sustainable development; artificial intelligence; curriculum</t>
  </si>
  <si>
    <t>The information and knowledge society leads to urgent changes in the world's educational systems. These changes must go hand in hand with new technologies and intangible services, education must focus their education for the jobs of the future. Education is one of the fundamental pillars in the advancement and progress of people, according to UNESCO, education can and should contribute to a new vision of sustainable world development. Artificial Intelligence in education currently offers a range of possibilities to both the teacher and the student in the teaching-learning process. According to UNESCO, Artificial Intelligence has the power to transform education. This article makes a study of Artificial Intelligence and how it is related to education; an analysis of the basic general education curriculum in Ecuador, as well as the importance of the use of tools based on Artificial Intelligence that contribute to strengthening the teaching-learning process.</t>
  </si>
  <si>
    <t>[Elizabeth Conde-Zhingre, Lorena] Univ Int Ecuador, Escuela Ingn Tecnol Informat, Quito, Ecuador; [Israel Cueva-Alvarado, Gilmar] Inst Super Tecnol Daniel Alvarez Burneo, Carrera Redes &amp; Telecomunicac, Loja, Ecuador; [Antonio Chamba-Eras, Luis] Univ Nacl Loja, Carrera Ingn Sistemas, Loja, Ecuador; [Isabel Urena-Torres, Maria] Inst Super Tecnol Daniel Alvarez Burneo, Loja, Ecuador</t>
  </si>
  <si>
    <t>Conde-Zhingre, LE (corresponding author), Univ Int Ecuador, Escuela Ingn Tecnol Informat, Quito, Ecuador.</t>
  </si>
  <si>
    <t>locondezh@uide.edu.ec; gicueva@istdabloja.edu.ec; lachamba@unl.edu.ec; msurena@istdabloja.edu.ec</t>
  </si>
  <si>
    <t>Chamba-Eras, Luis/I-6755-2013</t>
  </si>
  <si>
    <t>978-989-33-3436-2</t>
  </si>
  <si>
    <t>BT7HK</t>
  </si>
  <si>
    <t>WOS:000848616300018</t>
  </si>
  <si>
    <t>Mohamed, YA; Khanan, A; Bashir, M; Mohamed, AHHM; Adiel, MAE; Elsadig, MA</t>
  </si>
  <si>
    <t>Mohamed, Yasir Abdelgadir; Khanan, Akbar; Bashir, Mohamed; Mohamed, Abdul Hakim H. M.; Adiel, Mousab A. E.; Elsadig, Muawia A.</t>
  </si>
  <si>
    <t>The Impact of Artificial Intelligence on Language Translation: A Review (vol 12, pg 25553, 2024)</t>
  </si>
  <si>
    <t>IEEE ACCESS</t>
  </si>
  <si>
    <t>Correction</t>
  </si>
  <si>
    <t>Reviews; Artificial intelligence</t>
  </si>
  <si>
    <t>Presents corrections to the paper, The Impact of Artificial Intelligence on Language Translation: A Review.</t>
  </si>
  <si>
    <t>[Mohamed, Yasir Abdelgadir; Khanan, Akbar; Bashir, Mohamed; Mohamed, Abdul Hakim H. M.] ASharqiyah Univ, Coll Business Adm, Ibra 400, Oman; [Adiel, Mousab A. E.] Imam Abdulrahman Bin Faisal Univ, Coll Arts, Dammam 34212, Saudi Arabia; [Elsadig, Muawia A.] Imam Abdulrahman Bin Faisal Univ, Coll Comp Sci &amp; Informat Technol, Dammam 34212, Saudi Arabia</t>
  </si>
  <si>
    <t>Imam Abdulrahman Bin Faisal University; Imam Abdulrahman Bin Faisal University</t>
  </si>
  <si>
    <t>Mohamed, YA (corresponding author), ASharqiyah Univ, Coll Business Adm, Ibra 400, Oman.</t>
  </si>
  <si>
    <t>Yasir.abdulgadir@asu.edu.om</t>
  </si>
  <si>
    <t>AbdelgadirMohamed, Yasir/GMW-4662-2022; Elsadig, Muawia/LZH-7274-2025; Khanan, Akbar/AAK-1059-2020; ADIEL, MOUSAB/AAV-4150-2020; Mohamed, Abdul Hakim H M/ABH-1980-2020</t>
  </si>
  <si>
    <t>khanan, Akbar/0000-0002-2226-0001; ADIEL, MOUSAB/0000-0002-9207-0035; Mohamed, Abdul Hakim H M/0000-0001-5879-5385</t>
  </si>
  <si>
    <t>IEEE-INST ELECTRICAL ELECTRONICS ENGINEERS INC</t>
  </si>
  <si>
    <t>PISCATAWAY</t>
  </si>
  <si>
    <t>445 HOES LANE, PISCATAWAY, NJ 08855-4141 USA</t>
  </si>
  <si>
    <t>2169-3536</t>
  </si>
  <si>
    <t>IEEE Access</t>
  </si>
  <si>
    <t>10.1109/ACCESS.2024.3448788</t>
  </si>
  <si>
    <t>Computer Science, Information Systems; Engineering, Electrical &amp; Electronic; Telecommunications</t>
  </si>
  <si>
    <t>Computer Science; Engineering; Telecommunications</t>
  </si>
  <si>
    <t>F0D9C</t>
  </si>
  <si>
    <t>WOS:001306624700001</t>
  </si>
  <si>
    <t>Cole, M; Cant, C; Spilda, FU; Graham, M</t>
  </si>
  <si>
    <t>Cole, Matthew; Cant, Callum; Ustek Spilda, Funda; Graham, Mark</t>
  </si>
  <si>
    <t>Politics by Automatic Means? A Critique of Artificial Intelligence Ethics at Work</t>
  </si>
  <si>
    <t>artificial intelligence; labor; work; ethics; technological change; collective bargaining; industrial relations; job quality</t>
  </si>
  <si>
    <t>AI ETHICS; TECHNOLOGY</t>
  </si>
  <si>
    <t>Calls for ethical Artificial Intelligence are legion, with a recent proliferation of government and industry guidelines attempting to establish ethical rules and boundaries for this new technology. With few exceptions, they interpret Artificial Intelligence (AI) ethics narrowly in a liberal political framework of privacy concerns, transparency, governance and non-discrimination. One of the main hurdles to establishing ethical AI remains how to operationalize high-level principles such that they translate to technology design, development and use in the labor process. This is because organizations can end up interpreting ethics in an ad-hoc way with no oversight, treating ethics as simply another technological problem with technological solutions, and regulations have been largely detached from the issues AI presents for workers. There is a distinct lack of supra-national standards for fair, decent, or just AI in contexts where people depend on and work in tandem with it. Topics such as discrimination and bias in job allocation, surveillance and control in the labor process, and quantification of work have received significant attention, yet questions around AI and job quality and working conditions have not. This has left workers exposed to potential risks and harms of AI. In this paper, we provide a critique of relevant academic literature and policies related to AI ethics. We then identify a set of principles that could facilitate fairer working conditions with AI. As part of a broader research initiative with the Global Partnership on Artificial Intelligence, we propose a set of accountability mechanisms to ensure AI systems foster fairer working conditions. Such processes are aimed at reshaping the social impact of technology from the point of inception to set a research agenda for the future. As such, the key contribution of the paper is how to bridge from abstract ethical principles to operationalizable processes in the vast field of AI and new technology at work.</t>
  </si>
  <si>
    <t>[Cole, Matthew; Cant, Callum; Ustek Spilda, Funda; Graham, Mark] Univ Oxford, Oxford Internet Inst, Social Sci Div, Oxford, England</t>
  </si>
  <si>
    <t>University of Oxford</t>
  </si>
  <si>
    <t>Cole, M (corresponding author), Univ Oxford, Oxford Internet Inst, Social Sci Div, Oxford, England.</t>
  </si>
  <si>
    <t>matthew.cole@oii.ox.ac.uk</t>
  </si>
  <si>
    <t>Cole, Matthew/AAS-1852-2021; Ustek Spilda, Funda/LRT-0794-2024; Cole, Matthew/CAA-7377-2022</t>
  </si>
  <si>
    <t>Cole, Matthew/0000-0002-0639-9767; Ustek-Spilda, Funda/0000-0001-8781-8646</t>
  </si>
  <si>
    <t>Global Partnership on Artificial Intelligence</t>
  </si>
  <si>
    <t>This paper was made possible by funding from the Global Partnership on Artificial Intelligence.</t>
  </si>
  <si>
    <t>JUL 15</t>
  </si>
  <si>
    <t>10.3389/frai.2022.869114</t>
  </si>
  <si>
    <t>7Z8OS</t>
  </si>
  <si>
    <t>gold, Green Published, Green Accepted</t>
  </si>
  <si>
    <t>WOS:000915813100001</t>
  </si>
  <si>
    <t>Vellido, A</t>
  </si>
  <si>
    <t>Vellido, Alfredo</t>
  </si>
  <si>
    <t>Societal Issues Concerning the Application of Artificial Intelligence in Medicine</t>
  </si>
  <si>
    <t>KIDNEY DISEASES</t>
  </si>
  <si>
    <t>Artificial intelligence in medicine; Machine learning; Social impact</t>
  </si>
  <si>
    <t>UNINTENDED CONSEQUENCES; DATA SCIENCE; HEALTH-CARE; BIG DATA; PRIVACY</t>
  </si>
  <si>
    <t>Background: Medicine is becoming an increasingly data-centred discipline and, beyond classical statistical approaches, artificial intelligence (AI) and, in particular, machine learning (ML) are attracting much interest for the analysis of medical data. It has been argued that AI is experiencing a fast process of commodification. This characterization correctly reflects the current process of industrialization of AI and its reach into society. Therefore, societal issues related to the use of AI and ML should not be ignored any longer and certainly not in the medical domain. These societal issues may take many forms, but they all entail the design of models from a human-centred perspective, incorporating human-relevant requirements and constraints. In this brief paper, we discuss a number of specific issues affecting the use of AI and ML in medicine, such as fairness, privacy and anonymity, explainability and interpretability, but also some broader societal issues, such as ethics and legislation. We reckon that all of these are relevant aspects to consider in order to achieve the objective of fostering acceptance of AI- and ML-based technologies, as well as to comply with an evolving legislation concerning the impact of digital technologies on ethically and privacy sensitive matters. Our specific goal here is to reflect on how all these topics affect medical applications of AI and ML. This paper includes some of the contents of the 2nd Meeting of Science and Dialysis: Artificial Intelligence, organized in the Bellvitge University Hospital, Barcelona, Spain. Summary and Key Messages: AI and ML are attracting much interest from the medical community as key approaches to knowledge extraction from data. These approaches are increasingly colonizing ambits of social impact, such as medicine and healthcare. Issues of social relevance with an impact on medicine and healthcare include (although they are not limited to) fairness, explainability, privacy, ethics and legislation. (C) 2018 S. Karger AG, Basel</t>
  </si>
  <si>
    <t>[Vellido, Alfredo] Univ Politecn Cataluna, UPC BarcelonaTech, Intelligent Data Sci &amp; Artificial Intelligence ID, C Jordi Girona 1-3, ES-08034 Barcelona, Spain</t>
  </si>
  <si>
    <t>Universitat Politecnica de Catalunya</t>
  </si>
  <si>
    <t>Vellido, A (corresponding author), Univ Politecn Cataluna, UPC BarcelonaTech, Intelligent Data Sci &amp; Artificial Intelligence ID, C Jordi Girona 1-3, ES-08034 Barcelona, Spain.</t>
  </si>
  <si>
    <t>avellido@cs.upc.edu</t>
  </si>
  <si>
    <t>Vellido, Alfredo/AAH-2654-2019</t>
  </si>
  <si>
    <t>Vellido, Alfredo/0000-0002-9843-1911</t>
  </si>
  <si>
    <t>Spanish MINECO [TIN2016-79576-R]</t>
  </si>
  <si>
    <t>Spanish MINECO(Spanish Government)</t>
  </si>
  <si>
    <t>This research was funded by Spanish MINECO TIN2016-79576-R research project.</t>
  </si>
  <si>
    <t>KARGER</t>
  </si>
  <si>
    <t>BASEL</t>
  </si>
  <si>
    <t>ALLSCHWILERSTRASSE 10, CH-4009 BASEL, SWITZERLAND</t>
  </si>
  <si>
    <t>2296-9381</t>
  </si>
  <si>
    <t>2296-9357</t>
  </si>
  <si>
    <t>KIDNEY DIS-BASEL</t>
  </si>
  <si>
    <t>Kidney Dis.</t>
  </si>
  <si>
    <t>10.1159/000492428</t>
  </si>
  <si>
    <t>Urology &amp; Nephrology</t>
  </si>
  <si>
    <t>HM5KE</t>
  </si>
  <si>
    <t>Green Published, Green Submitted, gold</t>
  </si>
  <si>
    <t>WOS:000459513800003</t>
  </si>
  <si>
    <t>Stafie, G; Grosu, V</t>
  </si>
  <si>
    <t>Busu, M</t>
  </si>
  <si>
    <t>Stafie, Gabriela; Grosu, Veronica</t>
  </si>
  <si>
    <t>DIGITAL ECONOMY AND THE GREEN REVOLUTION, ICBE 2022</t>
  </si>
  <si>
    <t>Springer Proceedings in Business and Economics</t>
  </si>
  <si>
    <t>16th International Conference on Business Excellence (ICBE) - New Challenges of the Century - Digital Economy and the Green Revolution</t>
  </si>
  <si>
    <t>MAR 24-26, 2022</t>
  </si>
  <si>
    <t>Bucharest Univ Econ Studies, Bucharest, ROMANIA</t>
  </si>
  <si>
    <t>Digital accounting; Artificial intelligence; Blockchain; Bibliometric analysis; Web of Science; VOSviewer</t>
  </si>
  <si>
    <t>BLOCKCHAIN; AUTOMATION; SCIENCE</t>
  </si>
  <si>
    <t>Innovation technology is changing many aspects of our lives. We live in a time of great transformation that predicts that in the coming years, every aspect of human life will be influenced by artificial intelligence. The phenomenon of robotics is a vast one, with popularity in all fields of activity, as the business world tends towards globalization, and the Internet is progressing at a rapid pace and the flow of information becomes particularly flexible, which makes us witness rapid digitization. of the whole society. Accounting professionals need to turn innovative solutions such as artificial intelligence and automation into opportunities, not threats. new technologies will make life easier. Blockchain is an innovative form of application of information technology in the Internet age, seen as a distributed registry defined by decentralization, immutability and transparency. The application of the blockchain in accounting is a topical issue, as it is a common accounting record and it is expected that its application could bring significant changes in the practical work of accountants. Therefore, the main objective of this paper is to analyze the existing literature on the importance of cognitive technologies and the possible impact on accounting, from a bibliometric perspective. The bibliometric analysis is carried out both chronologically and geographically with the support of the Web of Science (WoS) and Scopus database. VOSviewer software was used to process the data, with the aim of providing a comprehensive picture of how cognitive technologies are of interest to academic researchers and accounting practitioners.</t>
  </si>
  <si>
    <t>[Stafie, Gabriela; Grosu, Veronica] Stefan Cel Mare Univ, Dept Accounting Auditing &amp; Finance, Fac Econ Adm &amp; Business, Suceava, Romania</t>
  </si>
  <si>
    <t>Stefan cel Mare University of Suceava</t>
  </si>
  <si>
    <t>Stafie, G (corresponding author), Stefan Cel Mare Univ, Dept Accounting Auditing &amp; Finance, Fac Econ Adm &amp; Business, Suceava, Romania.</t>
  </si>
  <si>
    <t>gabi_stafie@yahoo.com; veronica.grosu@usm.ro</t>
  </si>
  <si>
    <t>2198-7246</t>
  </si>
  <si>
    <t>2198-7254</t>
  </si>
  <si>
    <t>978-3-031-19888-5; 978-3-031-19886-1; 978-3-031-19885-4</t>
  </si>
  <si>
    <t>SPR PROC BUS ECON</t>
  </si>
  <si>
    <t>10.1007/978-3-031-19886-1_18</t>
  </si>
  <si>
    <t>Business; Business, Finance; Green &amp; Sustainable Science &amp; Technology</t>
  </si>
  <si>
    <t>Business &amp; Economics; Science &amp; Technology - Other Topics</t>
  </si>
  <si>
    <t>BU9VI</t>
  </si>
  <si>
    <t>WOS:000964117400018</t>
  </si>
  <si>
    <t>Orhan, K; Bilgir, E; Bayrakdar, IS; Ezhov, M; Gusarev, M; Shumilov, E</t>
  </si>
  <si>
    <t>Orhan, Kaan; Bilgir, Elif; Bayrakdar, Ibrahim Sevki; Ezhov, Matvey; Gusarev, Maxim; Shumilov, Eugene</t>
  </si>
  <si>
    <t>Evaluation of artificial intelligence for detecting impacted third molars on cone-beam computed tomography scans</t>
  </si>
  <si>
    <t>JOURNAL OF STOMATOLOGY ORAL AND MAXILLOFACIAL SURGERY</t>
  </si>
  <si>
    <t>Impacted third molar; Mandibular canal; Artificial intelligence; Deep learning</t>
  </si>
  <si>
    <t>CONVOLUTIONAL NEURAL-NETWORK; TEETH; CLASSIFICATION; DIAGNOSIS</t>
  </si>
  <si>
    <t>Purpose: The aim of this study was to evaluate the diagnostic performance of artificial intelligence (AI) application evaluating of the impacted third molar teeth in Cone-beam Computed Tomography (CBCT) images. Material and methods: In total, 130 third molar teeth (65 patients) were included in this retrospective study. Impaction detection, Impacted tooth numbers, root/canal numbers of teeth, relationship with adjacent anatomical structures (inferior alveolar canal and maxillary sinus) were compared between the human observer and AI application. Recorded parameters agreement between the human observer and AI application based on the deep-CNN system was evaluated using the Kappa analysis. Results: In total, 112 teeth (86.2%) were detected as impacted by AI. The number of roots was correctly determined in 99 teeth (78.6%) and the number of canals in 82 teeth (68.1%). There was a good agreement in the determination of the inferior alveolar canal in relation to the mandibular impacted third molars (kappa: 0.762) as well as the number of roots detection (kappa: 0.620). Similarly, there was an excellent agreement in relation to maxillary impacted third molar and the maxillary sinus (kappa: 0.860). For the maxillary molar canal number detection, a moderate agreement was found between the human observer and AI examinations (kappa: 0.424). Conclusions: Artificial Intelligence (AI) application showed high accuracy values in the detection of impacted third molar teeth and their relationship to anatomical structures. (C) 2020 Elsevier Masson SAS. All rights reserved.</t>
  </si>
  <si>
    <t>[Orhan, Kaan] Ankara Univ, Dept Oral &amp; Maxillofacial Radiol, Fac Dent, Ankara, Turkey; [Orhan, Kaan] Ankara Univ, Med Design Applicat &amp; Res Ctr MEDITAM, Ankara, Turkey; [Bilgir, Elif; Bayrakdar, Ibrahim Sevki] Eskisehir Osmangazi Univ, Fac Dent, Dept Oral &amp; Maxillofacial Radiol, Eskisehir, Turkey; [Ezhov, Matvey; Gusarev, Maxim; Shumilov, Eugene] Diagnocat Inc, San Francisco, CA USA</t>
  </si>
  <si>
    <t>Ankara University; Ankara University; Eskisehir Osmangazi University</t>
  </si>
  <si>
    <t>Bayrakdar, IS (corresponding author), Eskisehir Osmangazi Univ, Fac Dent, Dept Oral &amp; Maxillofacial Radiol, Eskisehir, Turkey.</t>
  </si>
  <si>
    <t>ibrahimsevkibayrakdar@gmail.com</t>
  </si>
  <si>
    <t>Orhan, Kaan/I-4026-2019; BAYRAKDAR, Ibrahim/Y-1232-2019; BILGIR, ELIF/AAM-6164-2021</t>
  </si>
  <si>
    <t>2468-8509</t>
  </si>
  <si>
    <t>2468-7855</t>
  </si>
  <si>
    <t>J STOMATOL ORAL MAXI</t>
  </si>
  <si>
    <t>J. Stomatol. Oral Maxillofac. Surg.</t>
  </si>
  <si>
    <t>SEP</t>
  </si>
  <si>
    <t>10.1016/j.jormas.2020.12.006</t>
  </si>
  <si>
    <t>Dentistry, Oral Surgery &amp; Medicine</t>
  </si>
  <si>
    <t>UY9EV</t>
  </si>
  <si>
    <t>WOS:000701819300002</t>
  </si>
  <si>
    <t>Sabherwal, R; Grover, V</t>
  </si>
  <si>
    <t>Sabherwal, Rajiv; Grover, Varun</t>
  </si>
  <si>
    <t>The Societal Impacts of Generative Artificial Intelligence: A Balanced Perspective</t>
  </si>
  <si>
    <t>JOURNAL OF THE ASSOCIATION FOR INFORMATION SYSTEMS</t>
  </si>
  <si>
    <t>Generative Artificial Intelligence; ChatGPT; Societal Impact of Technology; Contingency Theory; Balanced View</t>
  </si>
  <si>
    <t>The discourse surrounding the societal impacts of generative artificial intelligence (GAI), exemplified by technologies like ChatGPT, often oscillates between extremes: utopian visions of unprecedented productivity and dystopian fears of humanity's demise. This polarized perspective neglects the nuanced, pragmatic manifestation of GAI. In general, extreme views oversimplify the technology itself or its potential to address societal issues. The authors suggest a more balanced analysis, acknowledging that GAI's impacts will unfold dynamically over time as diverse implementations interact with human stakeholders and contextual factors. While Big Tech firms dominate GAI's supply, its demand is expected to evolve through experimentation and use cases. The authors argue that GAI's societal impact depends on identifiable contingencies, emphasizing three broad factors: the balance between automation and augmentation, the congruence of physical and digital realities, and the retention of human bounded rationality. These contingencies represent trade-offs arising from GAI instantiations, shaped by technological advancements, stakeholder dynamics, and contextual factors, including societal responses and regulations. Predicting long-term societal effects remains challenging due to unforeseeable discontinuities in the technology's trajectory. The authors anticipate a continuous interplay between GAI initiatives, technological advances, learning experiences, and societal responses, with outcomes depending on the above contingencies.</t>
  </si>
  <si>
    <t>[Sabherwal, Rajiv; Grover, Varun] Univ Arkansas, Sam M Walton Coll Business, Fayetteville, AR 72701 USA</t>
  </si>
  <si>
    <t>University of Arkansas System; University of Arkansas Fayetteville</t>
  </si>
  <si>
    <t>Sabherwal, R (corresponding author), Univ Arkansas, Sam M Walton Coll Business, Fayetteville, AR 72701 USA.</t>
  </si>
  <si>
    <t>rsabherw@uark.edu; vgrover@uark.edu</t>
  </si>
  <si>
    <t>Sabherwal, Rajiv/AAY-9991-2020</t>
  </si>
  <si>
    <t>ASSOC INFORMATION SYSTEMS</t>
  </si>
  <si>
    <t>ATLANTA</t>
  </si>
  <si>
    <t>GEORGIA STATE UNIV, 35 BROAD STREET, STE 916-917, ATLANTA, GA 30303 USA</t>
  </si>
  <si>
    <t>1536-9323</t>
  </si>
  <si>
    <t>1558-3457</t>
  </si>
  <si>
    <t>J ASSOC INF SYST</t>
  </si>
  <si>
    <t>J. Assoc. Inf. Syst.</t>
  </si>
  <si>
    <t>10.17705/1jais.00860</t>
  </si>
  <si>
    <t>Computer Science, Information Systems; Information Science &amp; Library Science</t>
  </si>
  <si>
    <t>Computer Science; Information Science &amp; Library Science</t>
  </si>
  <si>
    <t>LB5N1</t>
  </si>
  <si>
    <t>WOS:001184331000007</t>
  </si>
  <si>
    <t>Hassanien, ARM</t>
  </si>
  <si>
    <t>Assoc Computing Machinery</t>
  </si>
  <si>
    <t>Hassanien, Ahmed Rabie Mohamed</t>
  </si>
  <si>
    <t>The impact of Artificial Intelligence on the Socioeconomic factors in the UAE</t>
  </si>
  <si>
    <t>PROCEEDINGS OF 2023 6TH ARTIFICIAL INTELLIGENCE AND CLOUD COMPUTING CONFERENCE, AICCC 2023</t>
  </si>
  <si>
    <t>6th Artificial Intelligence and Cloud Computing Conference (AICCC) / 5th Asia Digital Image Processing Conference</t>
  </si>
  <si>
    <t>DEC 16-18, 2023</t>
  </si>
  <si>
    <t>Kyoto, JAPAN</t>
  </si>
  <si>
    <t>Artificial Intelligence; Socioeconomic factors; Wage inequality; Innovation; Ethics</t>
  </si>
  <si>
    <t>Artificial Intelligence (AI) is rapidly transforming industries worldwide, including the United Arab Emirates (UAE). As the UAE aims to become a leader in AI adoption and deployment, it is crucial to understand its impact on the country's socioeconomic factors. This research proposal aims to investigate the impact of AI on employment, wage inequality, productivity, innovation, and ethical implications in the UAE. The research will adopt a mixed-methods approach combining a systematic literature review and a quantitative survey to gather and assess data. The literature review will identify relevant literature to establish the research framework, while the survey will target leaders, employees, and end-users of organizations operating in the UAE across various sectors. A sample size of no less than 250 respondents who are predominantly leadership executives will be used, and the survey will consist of 30 questions, including demographic questions, and a 5-point Likert scale to measure respondents' level of agreement or disagreement with the statements presented. Ethical considerations, including informed consent and anonymity, will be addressed. The findings from this research will contribute to a better understanding of the impact of AI on the socioeconomic factors in the UAE and help inform the development of appropriate policies and strategies for the responsible adoption and deployment of AI technologies in the country. The research proposal presents an exciting opportunity to explore a relevant and timely topic that will shed light on the potential impact of AI on the UAE's socioeconomic development.</t>
  </si>
  <si>
    <t>[Hassanien, Ahmed Rabie Mohamed] SP Jain Sch Global Management, Singapore, Singapore</t>
  </si>
  <si>
    <t>Hassanien, ARM (corresponding author), SP Jain Sch Global Management, Singapore, Singapore.</t>
  </si>
  <si>
    <t>ahmed.ds22dba001@spjain.org</t>
  </si>
  <si>
    <t>El Sherif, Ahmed/0009-0008-6060-9711</t>
  </si>
  <si>
    <t>979-8-4007-1622-5</t>
  </si>
  <si>
    <t>10.1145/3639592.3639609</t>
  </si>
  <si>
    <t>BW9GS</t>
  </si>
  <si>
    <t>WOS:001214025800017</t>
  </si>
  <si>
    <t>Mohamad, TA; Bastone, A; Bernhard, F; Schiavone, F</t>
  </si>
  <si>
    <t>Ali Mohamad, Talal; Bastone, Anna; Bernhard, Fabian; Schiavone, Francesco</t>
  </si>
  <si>
    <t>How artificial intelligence impacts the competitive position of healthcare organizations</t>
  </si>
  <si>
    <t>JOURNAL OF ORGANIZATIONAL CHANGE MANAGEMENT</t>
  </si>
  <si>
    <t>Artificial intelligence: Competitive advantage; Healthcare organization; Innovation</t>
  </si>
  <si>
    <t>OPPORTUNITIES; TECHNOLOGIES; CHALLENGES; MANAGEMENT; INNOVATION; KNOWLEDGE; FRAMEWORK; MEDICINE; MODEL</t>
  </si>
  <si>
    <t>Purpose Digital transformation affected modern society influencing how businesses cooperate and produce value. In this context, Artificial Intelligence plays a critical role. This study aims to explore the role of Artificial Intelligence in organisational positioning within the market, influencing firms' competitiveness. In this vein, this research seeks to respond to the following research question: How does AI impact the competitive advantage of healthcare organizations?.Design/methodology/approach To tackle the research question, an explorative analysis using the case study method to investigate an international healthcare center in Dubai was conducted. Nine semi-structured interviews were conducted with the head and the members of the robotic surgery team in CMC Dubai to thoroughly understand what the components of the robotic approach are and how the arrangement before the introduction of this innovative technique while shedding light on the added value and the advantages of adopting such technique on both patient safety and patient satisfaction. Additionally, archival data and online documentation (e.g. industry reports, newspaper articles and internal documents) were analyzed to obtain data triangulation.Findings The results highlight three primary outcomes influenced by implementing AI in organizational processes: clinical, financial and technological outcomes. The study will offer interesting non-studied insights about the implementation of Artificial Intelligence tools in the healthcare sector and specifically robotic surgeries, and to which extent this will contribute and represent a competitive advantage. Results will hopefully insert a brick in the wall of the impact of AI tools on the quality and the results of surgical operations while emphasizing the benefits of integrating AI in surgical practice.Originality/value This study offers interesting theoretical and practical implications. It opens a new perspective to understand and manage AI tools in service. This research is not without limits providing valuable insights for future research.</t>
  </si>
  <si>
    <t>[Ali Mohamad, Talal] Paris Sch Business, Paris, France; [Bastone, Anna; Schiavone, Francesco] Univ Naples Parthenope, Dept Management Studies &amp; Quantitat Methods, Naples, Italy; [Bernhard, Fabian] EDHEC Business Sch, Nice, France</t>
  </si>
  <si>
    <t>Parthenope University Naples; Universite Catholique de Lille; EDHEC Business School</t>
  </si>
  <si>
    <t>Bastone, A (corresponding author), Univ Naples Parthenope, Dept Management Studies &amp; Quantitat Methods, Naples, Italy.</t>
  </si>
  <si>
    <t>talal.alimohamad@lau.edu; anna.bastone001@studenti.uniparthenope.it; fabian.bernhard@edhec.edu; francesco.schiavone@uniparthenope.it</t>
  </si>
  <si>
    <t>Bernhard, Fabian/KOC-4394-2024</t>
  </si>
  <si>
    <t>Ali Mohamad, Talal/0000-0002-7635-7319; Bernhard, Fabian/0000-0003-4888-6077</t>
  </si>
  <si>
    <t>BINGLEY</t>
  </si>
  <si>
    <t>HOWARD HOUSE, WAGON LANE, BINGLEY BD16 1WA, W YORKSHIRE, ENGLAND</t>
  </si>
  <si>
    <t>0953-4814</t>
  </si>
  <si>
    <t>1758-7816</t>
  </si>
  <si>
    <t>J ORGAN CHANGE MANAG</t>
  </si>
  <si>
    <t>J. Organ. Chang. Manage.</t>
  </si>
  <si>
    <t>JUL 31</t>
  </si>
  <si>
    <t>10.1108/JOCM-03-2023-0057</t>
  </si>
  <si>
    <t>Management</t>
  </si>
  <si>
    <t>O0BR6</t>
  </si>
  <si>
    <t>WOS:001040564400001</t>
  </si>
  <si>
    <t>Kakolewicz, M</t>
  </si>
  <si>
    <t>Kakolewicz, Mariusz</t>
  </si>
  <si>
    <t>Whether and How Artificial Intelligence Will Change Education and the School System</t>
  </si>
  <si>
    <t>artificial intelligence; virtual reality; augmented reality; school system; education; learning</t>
  </si>
  <si>
    <t>The impact of development of artificial intelligence on the economy and general social change has been recently widely and analysed. But there is the great need for a serious discussion about its use in general education. Society in the second decade of the 21st century still equates education with the school system created in the 19th century. According to the author, it is necessary to develop new models of education in which artificial intelligence would reveal its capabilities. The opportunities of using artificial intelligence, including immersive media: VR, AR, MR in learning are incompatible with any kind of traditional compulsory education conducted within the rigid structures of school systems. For example, applications of artificial intelligence in text translations and live conversations put into question the sense of learning foreign languages. The opportunities of using virtual implementation of augmented reality enable the virtual situated learning. They allow to transfer the learners and provide them with intellectual and emotional, though virtual, stimuli in the existing or non-existing places and environment. The learner's selection and reception of information supported by artificial intelligence on a level corresponding to their pre-knowledge and additionally the individual cognitive style, create completely new, individualized possibilities of constructing knowledge. Obtaining feedback by asking questions and discussing with the AI bot in situated localization at any time and place puts the AI bot in the role of a reliable teacher or co-learner. Possibilities of recognizing any objects from the learner's environment and obtaining comprehensive and reliable information makes the information delivered just on time. The development of artificial intelligence will not wait for politicians making courageous decisions to introduce new solutions in education. It must be freed from the existing administrative and curriculum limitations. The text presents the examples of possible applications and discusses the AI's contradiction with traditional school education.</t>
  </si>
  <si>
    <t>[Kakolewicz, Mariusz] Adam Mickiewicz Univ, Poznan, Poland</t>
  </si>
  <si>
    <t>Adam Mickiewicz University</t>
  </si>
  <si>
    <t>Kakolewicz, M (corresponding author), Adam Mickiewicz Univ, Poznan, Poland.</t>
  </si>
  <si>
    <t>mariuszk@amu.edu.pl</t>
  </si>
  <si>
    <t>Kakolewicz, Mariusz/0000-0001-8530-8749</t>
  </si>
  <si>
    <t>10.34190/ECIAIR.19.086</t>
  </si>
  <si>
    <t>WOS:000539633500022</t>
  </si>
  <si>
    <t>Wang, JK; Tian, HW; Zheng, PH</t>
  </si>
  <si>
    <t>Wang, Junkai; Tian, Haowen; Zheng, Penghao</t>
  </si>
  <si>
    <t>The Impact of Artificial Intelligence on Corporate Environmental Investment</t>
  </si>
  <si>
    <t>IEEE TRANSACTIONS ON ENGINEERING MANAGEMENT</t>
  </si>
  <si>
    <t>Artificial intelligence; Investment; Protection; Companies; Pollution; Economics; Regulation; Pollution measurement; Finance; Green products; environmental investment; financing constraints; information transparency</t>
  </si>
  <si>
    <t>RESPONSIBILITY</t>
  </si>
  <si>
    <t>As an important driving force for a new round of scientific and technological revolution and industrial transformation, artificial intelligence has great potential in improving corporate investment in environmental protection and promoting economic growth. However, due to data bottlenecks, there is no clear conclusion on how AI impact environmental investment at the enterprise level. Based on the annual report data of Chinese listed companies, we use machine learning methods to generate an artificial intelligence dictionary, and then constructs enterprise-level artificial intelligence indicators. Through empirical research, we find that AI can significantly improve enterprises' environmental investment. After the robustness tests such as the instrumental variable method and the propensity score matching method, the conclusion remains unchanged. Mechanism analysis shows that AI can improve firms' investment in environmental protection by alleviating financing constraints and improving information transparency. Heterogeneity analysis shows that the state-owned attributes, high tax burden and high environmental regulation of enterprises can enhance the correlation between AI and environmental protection investment. Further research finds that the increase in environmental protection investment caused by artificial intelligence can significantly reduce environmental pollution, rather than for the sake of greenwashing behavior. This article not only enriches the relevant research on the impact of corporate environmental protection investment, but also provides a theoretical basis for enterprises to further promote the development of artificial intelligence technology.</t>
  </si>
  <si>
    <t>[Wang, Junkai] Sichuan Univ, Business Sch, Wangjiang Rd, Chengdu 610064, Peoples R China; [Tian, Haowen] Northwestern Polytech Univ, Sch Management, Xian 710072, Peoples R China; [Zheng, Penghao] Tsinghua Univ, Sch Econ &amp; Management, Beijing 100084, Peoples R China</t>
  </si>
  <si>
    <t>Sichuan University; Northwestern Polytechnical University; Tsinghua University</t>
  </si>
  <si>
    <t>Tian, HW (corresponding author), Northwestern Polytech Univ, Sch Management, Xian 710072, Peoples R China.</t>
  </si>
  <si>
    <t>wangjunkai0616@163.com; tianhaowen2023@126.com; zhengpenghao2024@163.com</t>
  </si>
  <si>
    <t>Tian, Haowen/JYP-2366-2024</t>
  </si>
  <si>
    <t>Tian, Haowen/0000-0001-9626-8519</t>
  </si>
  <si>
    <t>National Natural Science Foundation of China [72402178]; Humanities and Social Science Youth Foundation of the Ministry of Education of China [24XJC790009]</t>
  </si>
  <si>
    <t>National Natural Science Foundation of China(National Natural Science Foundation of China (NSFC)); Humanities and Social Science Youth Foundation of the Ministry of Education of China(Ministry of Education, China)</t>
  </si>
  <si>
    <t>The work of Haowen Tian was supported in part by the National Natural Science Foundation of China under Grant 72402178 and in part by the Humanities and Social Science Youth Foundation of the Ministry of Education of China under Grant 24XJC790009.</t>
  </si>
  <si>
    <t>0018-9391</t>
  </si>
  <si>
    <t>1558-0040</t>
  </si>
  <si>
    <t>IEEE T ENG MANAGE</t>
  </si>
  <si>
    <t>IEEE Trans. Eng. Manage.</t>
  </si>
  <si>
    <t>10.1109/TEM.2024.3491940</t>
  </si>
  <si>
    <t>Business; Engineering, Industrial; Management</t>
  </si>
  <si>
    <t>Business &amp; Economics; Engineering</t>
  </si>
  <si>
    <t>R6U7W</t>
  </si>
  <si>
    <t>WOS:001392784000005</t>
  </si>
  <si>
    <t>Fisher, S; Rosella, LC</t>
  </si>
  <si>
    <t>Fisher, Stacey; Rosella, Laura C.</t>
  </si>
  <si>
    <t>Priorities for successful use of artificial intelligence by public health organizations: a literature review</t>
  </si>
  <si>
    <t>BMC PUBLIC HEALTH</t>
  </si>
  <si>
    <t>Artificial intelligence; Public health; Health policy</t>
  </si>
  <si>
    <t>MULTIVARIABLE PREDICTION MODEL; INDIVIDUAL PROGNOSIS; DIAGNOSIS TRIPOD; BIG DATA; COMMUNICATION; INTERVENTION; DISPARITIES</t>
  </si>
  <si>
    <t>Artificial intelligence (AI) has the potential to improve public health's ability to promote the health of all people in all communities. To successfully realize this potential and use AI for public health functions it is important for public health organizations to thoughtfully develop strategies for AI implementation. Six key priorities for successful use of AI technologies by public health organizations are discussed: 1) Contemporary data governance; 2) Investment in modernized data and analytic infrastructure and procedures; 3) Addressing the skills gap in the workforce; 4) Development of strategic collaborative partnerships; 5) Use of good AI practices for transparency and reproducibility, and; 6) Explicit consideration of equity and bias.</t>
  </si>
  <si>
    <t>[Fisher, Stacey; Rosella, Laura C.] Univ Toronto, Dalla Lana Sch Publ Hlth, Toronto, ON, Canada; [Fisher, Stacey] Publ Hlth Ontario, Toronto, ON, Canada; [Fisher, Stacey; Rosella, Laura C.] Vector Inst Artificial Intelligence, Toronto, ON, Canada; [Fisher, Stacey; Rosella, Laura C.] ICES, Toronto, ON, Canada; [Rosella, Laura C.] Trillium Hlth Partners, Inst Better Hlth, Mississauga, ON, Canada; [Rosella, Laura C.] Univ Toronto, Temerty Fac Med, Dept Lab Med &amp; Pathobiol, Toronto, ON, Canada</t>
  </si>
  <si>
    <t>University of Toronto; Vector Institute for Artificial Intelligence; University of Toronto; University of Toronto; Trillium Health Partners; University of Toronto</t>
  </si>
  <si>
    <t>Fisher, S (corresponding author), Univ Toronto, Dalla Lana Sch Publ Hlth, Toronto, ON, Canada.</t>
  </si>
  <si>
    <t>stacey.fisher@utoronto.ca</t>
  </si>
  <si>
    <t>Fisher, Stacey/0000-0002-4925-7806</t>
  </si>
  <si>
    <t>postdoctoral Health System Impact Fellowship in equitable artificial intelligence from the Canadian Institutes of Health Research</t>
  </si>
  <si>
    <t>postdoctoral Health System Impact Fellowship in equitable artificial intelligence from the Canadian Institutes of Health Research(Canadian Institutes of Health Research (CIHR))</t>
  </si>
  <si>
    <t>SF is supported by a postdoctoral Health System Impact Fellowship in equitable artificial intelligence from the Canadian Institutes of Health Research.</t>
  </si>
  <si>
    <t>BMC</t>
  </si>
  <si>
    <t>CAMPUS, 4 CRINAN ST, LONDON N1 9XW, ENGLAND</t>
  </si>
  <si>
    <t>1471-2458</t>
  </si>
  <si>
    <t>BMC Public Health</t>
  </si>
  <si>
    <t>NOV 22</t>
  </si>
  <si>
    <t>10.1186/s12889-022-14422-z</t>
  </si>
  <si>
    <t>Public, Environmental &amp; Occupational Health</t>
  </si>
  <si>
    <t>6J7CZ</t>
  </si>
  <si>
    <t>WOS:000886979900001</t>
  </si>
  <si>
    <t>Kokotajlo, T; Long, D; Reith, M; Dill, R</t>
  </si>
  <si>
    <t>Kokotajlo, Timothy; Long, David; Reith, Mark; Dill, Richard</t>
  </si>
  <si>
    <t>Artificial Intelligence Within Agile Software Development: Projected Impacts to Cyber Offense-Defense Balance</t>
  </si>
  <si>
    <t>artificial intelligence (AI); Agile software development; offense-defense theory; cyber warfare</t>
  </si>
  <si>
    <t>The cyber offense-defense balance theory evaluates the relative effort offense and defense forces need to prevail in conflict. Cyber conflict is a large domain, and many factors influence the offense-defense balance. Recent investments into Artificial Intelligence (A.I.) and Agile development can be used to make more accurate predictions using existing cyber offense-defense models. This paper predicts future shifts in the balance of cyber warfare caused by the current and projected capabilities of AI-augmented Agile software development pipelines. Initially, increased investments and capabilities are predicted to give an advantage to aggressing forces. Over time, however, technology advances and more standardized processes will likely create a more significant advantage for defensive capabilities.</t>
  </si>
  <si>
    <t>[Kokotajlo, Timothy; Long, David; Reith, Mark; Dill, Richard] Air Force Inst Technol, Wright Patterson AFB, OH 45433 USA</t>
  </si>
  <si>
    <t>Air Force Institute of Technology (AFIT)</t>
  </si>
  <si>
    <t>Kokotajlo, T (corresponding author), Air Force Inst Technol, Wright Patterson AFB, OH 45433 USA.</t>
  </si>
  <si>
    <t>Timothy.kokotajlo@gmail.com; David.long@afit.edu; Mark.Reith@afit.edu</t>
  </si>
  <si>
    <t>Reith, Mark/LBH-6534-2024</t>
  </si>
  <si>
    <t>10.34190/EAIR.21.030</t>
  </si>
  <si>
    <t>WOS:000838033200010</t>
  </si>
  <si>
    <t>Lui, AKH; Lee, MCM; Ngai, EWT</t>
  </si>
  <si>
    <t>Lui, Ariel K. H.; Lee, Maggie C. M.; Ngai, Eric W. T.</t>
  </si>
  <si>
    <t>Impact of artificial intelligence investment on firm value</t>
  </si>
  <si>
    <t>Artificial intelligence; AI; Event study; Market value; Contextual factors</t>
  </si>
  <si>
    <t>INFORMATION-TECHNOLOGY CAPABILITY; MARKET VALUE; AI; ANNOUNCEMENTS; PERFORMANCE; MANAGEMENT; OPERATIONS; RELEVANCE; ADOPTION; INDUSTRY</t>
  </si>
  <si>
    <t>As artificial intelligence (AI) has recently gained momentum and attention, the interest and investment in AI have also accelerated. However, the impact of AI on firm value is rarely discussed. On the basis of the 119 announcements of 62 listed firms who have invested in AI, this study finds that AI investment has a negative impact on the firms' market value. The stock prices of the firms decrease by 1.77% on the day of the announcement. Nonmanufacturing firms and firms with weak information technology capabilities or low credit ratings suffer a more negative impact compared with other firms. The findings suggest that investors perceive AI investment announcements to be unwelcome news for the majority of firms. Subsequently, the characteristics affecting the shareholders' reaction towards AI adoption are presented. This research offers one of the first empirical evidence about the market value of AI and provides a reference for firms interested in investing in AI.</t>
  </si>
  <si>
    <t>[Lui, Ariel K. H.; Lee, Maggie C. M.] Swinburne Univ Technol, Swinburne Business Sch, Dept Business Technol &amp; Entrepreneurship, Hawthorn, Vic, Australia; [Ngai, Eric W. T.] Hong Kong Polytech Univ, Dept Management &amp; Mkt, Hung Hum, Kowloon, Hong Kong, Peoples R China</t>
  </si>
  <si>
    <t>Swinburne University of Technology; Hong Kong Polytechnic University</t>
  </si>
  <si>
    <t>Lui, AKH (corresponding author), Swinburne Univ Technol, Swinburne Business Sch, Dept Business Technol &amp; Entrepreneurship, Hawthorn, Vic, Australia.</t>
  </si>
  <si>
    <t>ariellui@swin.edu.au; chimanlee@swin.edu.au; mswtngai@polyu.edu.hk</t>
  </si>
  <si>
    <t>Lee, Maggie/KOD-3846-2024; Ngai, Eric/ABC-2167-2020</t>
  </si>
  <si>
    <t>Lee, Maggie C. M./0000-0002-5572-5629; Lui, Ariel Kam Ha/0000-0002-4353-6302</t>
  </si>
  <si>
    <t>10.1007/s10479-020-03862-8</t>
  </si>
  <si>
    <t>FEB 2021</t>
  </si>
  <si>
    <t>WOS:000617081100001</t>
  </si>
  <si>
    <t>Li, Y</t>
  </si>
  <si>
    <t>Li, Yu</t>
  </si>
  <si>
    <t>Will artificial intelligence platforms replace designers in the future? analyzing the impact of artificial intelligence platforms on the engineering design industry through color perception</t>
  </si>
  <si>
    <t>ENGINEERING APPLICATIONS OF ARTIFICIAL INTELLIGENCE</t>
  </si>
  <si>
    <t>Artificial intelligence platform; Color perception; Clustering algorithms; Chi-square test; Design process; Design industry</t>
  </si>
  <si>
    <t>AI; EDUCATION; EXAMPLES; NEWS</t>
  </si>
  <si>
    <t>This research investigates the impact of artificial intelligence platforms on the engineering design industry by analyzing the perceptions of color and views on artificial intelligence development among designers and nondesigners. The study utilized a two-stage approach: the first involved artificial intelligence-assisted design tasks and focus group discussions with 24 participants, capturing both visual and textual data. K-means color clustering and thematic analysis were applied to images and texts. The second stage involved surveying 222 individuals and conducting a chi-square test to analyze the frequency of different color dimensions used by the two groups. The results demonstrate that differences in color perception influenced design decision-making outcomes. There was widespread acknowledgment across all groups of the efficiency and inspirational potential of artificial intelligence platforms. However, variations in design education resulted in differing opinions on the replaceability of designers. Future trajectories for artificial intelligence platforms are likely to focus on specialization while addressing challenges such as echo chamber effects, copyright disputes, and the prevention of private information leakage.</t>
  </si>
  <si>
    <t>[Li, Yu] Wuhan HG Laser Engn Co Ltd, Ind Design Ctr, 66 Future 2nd Rd,Zuoling St, Wuhan 430223, Peoples R China</t>
  </si>
  <si>
    <t>Li, Y (corresponding author), Wuhan HG Laser Engn Co Ltd, Ind Design Ctr, 66 Future 2nd Rd,Zuoling St, Wuhan 430223, Peoples R China.</t>
  </si>
  <si>
    <t>y.li-97@qq.com</t>
  </si>
  <si>
    <t>0952-1976</t>
  </si>
  <si>
    <t>1873-6769</t>
  </si>
  <si>
    <t>ENG APPL ARTIF INTEL</t>
  </si>
  <si>
    <t>Eng. Appl. Artif. Intell.</t>
  </si>
  <si>
    <t>A</t>
  </si>
  <si>
    <t>10.1016/j.engappai.2024.109369</t>
  </si>
  <si>
    <t>SEP 2024</t>
  </si>
  <si>
    <t>Automation &amp; Control Systems; Computer Science, Artificial Intelligence; Engineering, Multidisciplinary; Engineering, Electrical &amp; Electronic</t>
  </si>
  <si>
    <t>I1F5P</t>
  </si>
  <si>
    <t>WOS:001327786200001</t>
  </si>
  <si>
    <t>Bin Riaz, I; Khan, MA; Haddad, TC</t>
  </si>
  <si>
    <t>Bin Riaz, Irbaz; Khan, Muhammad Ali; Haddad, Tufia C.</t>
  </si>
  <si>
    <t>Potential application of artificial intelligence in cancer therapy</t>
  </si>
  <si>
    <t>CURRENT OPINION IN ONCOLOGY</t>
  </si>
  <si>
    <t>artificial intelligence; cancer therapy; generative artificial intelligence; machine learning</t>
  </si>
  <si>
    <t>CLINICAL-TRIALS; SKIN-CANCER; TOOL; CLASSIFICATION; FUTURE; RISK; CARE</t>
  </si>
  <si>
    <t>Purpose of reviewThis review underscores the critical role and challenges associated with the widespread adoption of artificial intelligence in cancer care to enhance disease management, streamline clinical processes, optimize data retrieval of health information, and generate and synthesize evidence.Recent findingsAdvancements in artificial intelligence models and the development of digital biomarkers and diagnostics are applicable across the cancer continuum from early detection to survivorship care. Additionally, generative artificial intelligence has promised to streamline clinical documentation and patient communications, generate structured data for clinical trial matching, automate cancer registries, and facilitate advanced clinical decision support. Widespread adoption of artificial intelligence has been slow because of concerns about data diversity and data shift, model reliability and algorithm bias, legal oversight, and high information technology and infrastructure costs.SummaryArtificial intelligence models have significant potential to transform cancer care. Efforts are underway to deploy artificial intelligence models in the cancer practice, evaluate their clinical impact, and enhance their fairness and explainability. Standardized guidelines for the ethical integration of artificial intelligence models in cancer care pathways and clinical operations are needed. Clear governance and oversight will be necessary to gain trust in artificial intelligence-assisted cancer care by clinicians, scientists, and patients.</t>
  </si>
  <si>
    <t>[Bin Riaz, Irbaz] Mayo Clin, Dept AI &amp; Informat, Rochester, MN USA; [Bin Riaz, Irbaz; Khan, Muhammad Ali] Mayo Clin, Div Hematol &amp; Oncol, Phoenix, AZ USA; [Haddad, Tufia C.] Mayo Clin, Dept Oncol, Rochester, MN USA</t>
  </si>
  <si>
    <t>Mayo Clinic; Mayo Clinic; Mayo Clinic Phoenix; Mayo Clinic</t>
  </si>
  <si>
    <t>Haddad, TC (corresponding author), Mayo Clin, 200 First St SW, Rochester, MN 55905 USA.</t>
  </si>
  <si>
    <t>haddad.tufia@mayo.edu</t>
  </si>
  <si>
    <t>ali, muhammad/GVT-5549-2022</t>
  </si>
  <si>
    <t>1040-8746</t>
  </si>
  <si>
    <t>1531-703X</t>
  </si>
  <si>
    <t>CURR OPIN ONCOL</t>
  </si>
  <si>
    <t>Curr. Opin. Oncol.</t>
  </si>
  <si>
    <t>10.1097/CCO.0000000000001068</t>
  </si>
  <si>
    <t>Oncology</t>
  </si>
  <si>
    <t>D6K4B</t>
  </si>
  <si>
    <t>WOS:001297242900011</t>
  </si>
  <si>
    <t>Mésáros, P; Smetanková, J; Behúnová, A; Krajníková, K</t>
  </si>
  <si>
    <t>Mesaros, Peter; Smetankova, Jana; Behunova, Annamaria; Krajnikova, Katarina</t>
  </si>
  <si>
    <t>The Potential of Using Artificial Intelligence (AI) to Analyse the Impact of Construction Industry on the Carbon Footprint</t>
  </si>
  <si>
    <t>MOBILE NETWORKS &amp; APPLICATIONS</t>
  </si>
  <si>
    <t>Artificial intelligence; Construction; Impact; Carbon footprint; Sustainability</t>
  </si>
  <si>
    <t>FUTURE</t>
  </si>
  <si>
    <t>Construction is an important sector of human activity that significantly impacts the environment. The impact of this sector can be analysed from different perspectives, such as consumption of natural resources, waste generation, energy intensity, and environmental change. The sector is increasingly promoting using renewable materials, energy-efficient practices, and planning those respects ecological processes and biodiversity. Against this background, it is important to take coordinated action across the sector and move to net-zero carbon standards through immediate action to raise awareness, implement innovation, and improve carbon management and reporting processes. Tools supporting the reduction of the adverse impacts of construction activities include artificial intelligence tools. The construction industry has long been considered a conservative and traditional industry but is now experiencing a technological revolution. Gradually, artificial intelligence (AI) principles and tools are beginning to be integrated into the various lifecycle processes of construction projects. This paper analyses the AI tools used to analyse carbon footprinting in the construction sector in terms of selected functionalities. The results of the research will form the basis for the development of a strategic plan for the development of AI within the research activities at the Faculty of Civil Engineering in Ko &amp; scaron;ice.</t>
  </si>
  <si>
    <t>[Mesaros, Peter; Smetankova, Jana; Krajnikova, Katarina] Tech Univ Kosice, Inst Construct Technol Econ &amp; Manamgenet, Fac Civil Engn, Vysokoskolska 4, Kosice 04200, Slovakia; [Behunova, Annamaria] Tech Univ Kosice, Inst Logist &amp; Transport, Fac Min Ecol Proc Control &amp; Geotechnol, Pk Komenskeho 14, Kosice 04200, Slovakia</t>
  </si>
  <si>
    <t>Technical University Kosice; Technical University Kosice</t>
  </si>
  <si>
    <t>Behúnová, A (corresponding author), Tech Univ Kosice, Inst Logist &amp; Transport, Fac Min Ecol Proc Control &amp; Geotechnol, Pk Komenskeho 14, Kosice 04200, Slovakia.</t>
  </si>
  <si>
    <t>peter.mesaros@tuke.sk; jana.smetankova@tuke.sk; annamaria.behunova@tuke.sk; katarina.krajnikovak@tuke.sk</t>
  </si>
  <si>
    <t>Krajníková, Katarína/AAI-1499-2019; Behunova, Annamaria/AAB-4285-2020</t>
  </si>
  <si>
    <t>Behunova, Annamaria/0000-0001-6310-6046; Smetankova, Jana/0000-0002-0719-1204</t>
  </si>
  <si>
    <t>Agentra na Podporu Vskumu a Vvoja [APVV-22-0576]</t>
  </si>
  <si>
    <t>Agentra na Podporu Vskumu a Vvoja</t>
  </si>
  <si>
    <t>The paper presents partial research results of projects APVV-22-0576 Research of digital technologies and building information modeling tools for designing and evaluating the sustainability parameters of building structures in the context of decarbonization and circular construction.</t>
  </si>
  <si>
    <t>1383-469X</t>
  </si>
  <si>
    <t>1572-8153</t>
  </si>
  <si>
    <t>MOBILE NETW APPL</t>
  </si>
  <si>
    <t>Mobile Netw. Appl.</t>
  </si>
  <si>
    <t>2024 JUL 24</t>
  </si>
  <si>
    <t>10.1007/s11036-024-02368-y</t>
  </si>
  <si>
    <t>JUL 2024</t>
  </si>
  <si>
    <t>Computer Science, Hardware &amp; Architecture; Computer Science, Information Systems; Telecommunications</t>
  </si>
  <si>
    <t>ZL3U5</t>
  </si>
  <si>
    <t>WOS:001275423600001</t>
  </si>
  <si>
    <t>Biot, J</t>
  </si>
  <si>
    <t>Biot, Jacques</t>
  </si>
  <si>
    <t>How will clinical practice be impacted by artificial intelligence?</t>
  </si>
  <si>
    <t>EUROPEAN JOURNAL OF DERMATOLOGY</t>
  </si>
  <si>
    <t>artificial intelligence; precision medicine; neural networks</t>
  </si>
  <si>
    <t>BIG DATA</t>
  </si>
  <si>
    <t>Currently, artificial intelligence (AI) heavily impacts all human activities, including medicine, where needs for data analysis and interpretation are high and where technology opens new perspectives. Considering that current treatments do not always cure all patients and may even harm certain of them, we have to recognize that AI may fill a great medical need, potentially supporting physicians' efforts to refine diagnosis and to improve the relevance of the clinical diagnosis for each patient. As in other industries, this challenge implies changes in the repartition of medical and paramedical tasks. As repetitive tasks will disappear in the wake of automation, health care providers will ultimately regain truly an opportunity to focus on medicine, thereby ensuring an individual and holistic approach to each patient.</t>
  </si>
  <si>
    <t>[Biot, Jacques] Ecole Mines, 60 Blvd St Michel, F-75006 Paris, France</t>
  </si>
  <si>
    <t>Universite PSL; MINES ParisTech</t>
  </si>
  <si>
    <t>Biot, J (corresponding author), Ecole Mines, 60 Blvd St Michel, F-75006 Paris, France.</t>
  </si>
  <si>
    <t>jacques.biot@mines.org</t>
  </si>
  <si>
    <t>JOHN LIBBEY EUROTEXT LTD</t>
  </si>
  <si>
    <t>MONTROUGE</t>
  </si>
  <si>
    <t>127 AVE DE LA REPUBLIQUE, 92120 MONTROUGE, FRANCE</t>
  </si>
  <si>
    <t>1167-1122</t>
  </si>
  <si>
    <t>1952-4013</t>
  </si>
  <si>
    <t>EUR J DERMATOL</t>
  </si>
  <si>
    <t>Eur. J. Dermatol.</t>
  </si>
  <si>
    <t>10.1684/ejd.2019.3536</t>
  </si>
  <si>
    <t>Dermatology</t>
  </si>
  <si>
    <t>HX8GU</t>
  </si>
  <si>
    <t>WOS:000467645100004</t>
  </si>
  <si>
    <t>Gomes, A; Gonçalves, B; Inglês, B; Silvério, S; Pinto, CA; Saraiva, JA</t>
  </si>
  <si>
    <t>Gomes, Alexandrina; Goncalves, Beatriz; Ingles, Bruno; Silverio, Sara; Pinto, Carlos A.; Saraiva, Jorge A.</t>
  </si>
  <si>
    <t>Potential Impacts of Artificial Intelligence (AI) in Biotechnology</t>
  </si>
  <si>
    <t>APPLIED SCIENCES-BASEL</t>
  </si>
  <si>
    <t>artificial intelligence; biotechnology; machine learning; environment; health; industry; aquatic; ethics</t>
  </si>
  <si>
    <t>The impact of artificial intelligence (AI) in biotechnology has become increasingly significant, driving advancements across multiple subfields in several areas of science. The demand for faster data analysis, integration of extensive databases, pattern recognition, problem solving, and even hypothesis generation has fueled the development of AI technologies in subjects like modern biotechnology, which AI has revolutionized, where the main goal is to develop new advanced products and technologies through the manipulation of biological organisms. The main impacts of AI observed in biotechnology are focused on four colors of biotechnology: green (agricultural sector); red (health sector); white (industries); and blue (marine sector). Numerous AI tools have been developed and made freely available, significantly reducing researchers' workloads. However, the application of AI in biotechnology also raises questions that must be addressed. This review exhibits and discusses the impacts of AI on biotechnology, the advantages and disadvantages of its current presence, and the potential ethical issues and social impacts.</t>
  </si>
  <si>
    <t>[Gomes, Alexandrina; Goncalves, Beatriz; Ingles, Bruno; Silverio, Sara] Univ Aveiro, Dept Chem, Campus Univ Santiago, P-3810193 Aveiro, Portugal; [Pinto, Carlos A.; Saraiva, Jorge A.] Univ Aveiro, Chem Dept, LAQV REQUIMTE, Campus Univ Santiago, P-3810193 Aveiro, Portugal</t>
  </si>
  <si>
    <t>Universidade de Aveiro; Universidade de Aveiro</t>
  </si>
  <si>
    <t>Saraiva, JA (corresponding author), Univ Aveiro, Chem Dept, LAQV REQUIMTE, Campus Univ Santiago, P-3810193 Aveiro, Portugal.</t>
  </si>
  <si>
    <t>alexandrina.gomes@ua.pt; beatrizgbelo@ua.pt; brunoingles@ua.pt; sarasilverio@ua.pt; carlospinto@ua.pt; jorgesaraiva@ua.pt</t>
  </si>
  <si>
    <t>Saraiva, Jorge/C-2996-2009; Pinto, Carlos/AAD-2126-2020; Cruz Pinto, Carlos Alberto/Y-5551-2018</t>
  </si>
  <si>
    <t>Cruz Pinto, Carlos Alberto/0000-0002-5742-706X; Ingles, Bruno/0009-0009-4763-4514; Silverio, Sara/0009-0002-0846-7804; Belo Goncalves, Beatriz/0009-0000-7461-1371; Saraiva, Jorge/0000-0002-5536-6056</t>
  </si>
  <si>
    <t>FCT/MCTES</t>
  </si>
  <si>
    <t>FCT/MCTES(Fundacao para a Ciencia e a Tecnologia (FCT))</t>
  </si>
  <si>
    <t>This work received financial support from FCT/MCTES (LA/P/0008/2020 DOI 10.54499/LA/P/0008/2020, UIDP/50006/2020 DOI 10.54499/UIDP/50006/2020 and UIDB/50006/2020 DOI 10.54499/UIDB/50006/2020) through national funds.</t>
  </si>
  <si>
    <t>MDPI</t>
  </si>
  <si>
    <t>ST ALBAN-ANLAGE 66, CH-4052 BASEL, SWITZERLAND</t>
  </si>
  <si>
    <t>2076-3417</t>
  </si>
  <si>
    <t>APPL SCI-BASEL</t>
  </si>
  <si>
    <t>Appl. Sci.-Basel</t>
  </si>
  <si>
    <t>10.3390/app142411801</t>
  </si>
  <si>
    <t>Chemistry, Multidisciplinary; Engineering, Multidisciplinary; Materials Science, Multidisciplinary; Physics, Applied</t>
  </si>
  <si>
    <t>Chemistry; Engineering; Materials Science; Physics</t>
  </si>
  <si>
    <t>Q3Y5V</t>
  </si>
  <si>
    <t>WOS:001384080500001</t>
  </si>
  <si>
    <t>Mutascu, M</t>
  </si>
  <si>
    <t>Mutascu, Mihai</t>
  </si>
  <si>
    <t>Artificial intelligence and unemployment: New insights</t>
  </si>
  <si>
    <t>ECONOMIC ANALYSIS AND POLICY</t>
  </si>
  <si>
    <t>Artificial intelligence; Unemployment; Implications; High-tech countries</t>
  </si>
  <si>
    <t>TECHNOLOGY; FUTURE; STILL; JOBS</t>
  </si>
  <si>
    <t>This paper investigates the impact of artificial intelligence on unemployment in the most high-tech and developed countries, using a theoretical model that is also supported empirically. The empirical methodology follows a nonlinear approach by using panel threshold and GMM-system estimations. The dataset covers the period 1998-2016, and includes 23 countries. The main results show that artificial intelligence has a nonlinear impact on unemployment, with the acceleration of the use of artificial intelligence reducing unemployment, but only occurring at low levels of inflation. In this case, no switch effect between displacement effect and replacement effect is registered Otherwise, the contribution of artificial intelligence to unemployment is rather neutral. (C) 2021 Economic Society of Australia, Queensland. Published by Elsevier B.V. All rights reserved.</t>
  </si>
  <si>
    <t>[Mutascu, Mihai] Zeppelin Univ Friedrichshafen, Seemooser Horn 20, D-88045 Friedrichshafen, Germany; [Mutascu, Mihai] Univ Orleans, Fac Droit Econ &amp; Gest, LEO Lab Econ Orleans FRE 2014, Rue Blois BP 6739, F-45067 Orleans, France; [Mutascu, Mihai] West Univ Timisoara, Fac Econ &amp; Business Adm, 16 H Pestalozzi St, Timisoara 300115, Romania</t>
  </si>
  <si>
    <t>Zeppelin University; Universite de Orleans; West University of Timisoara</t>
  </si>
  <si>
    <t>Mutascu, M (corresponding author), Univ Orleans, Fac Droit Econ &amp; Gest, LEO Lab Econ Orleans FRE 2014, Rue Blois BP 6739, F-45067 Orleans, France.</t>
  </si>
  <si>
    <t>mihai.mutascu@univ-orleans.fr</t>
  </si>
  <si>
    <t>MUTASCU, Mihai/AAK-5972-2020</t>
  </si>
  <si>
    <t>0313-5926</t>
  </si>
  <si>
    <t>ECON ANAL POLICY</t>
  </si>
  <si>
    <t>Econ. Anal. Policy</t>
  </si>
  <si>
    <t>10.1016/j.eap.2021.01.012</t>
  </si>
  <si>
    <t>RV0AJ</t>
  </si>
  <si>
    <t>Green Published</t>
  </si>
  <si>
    <t>WOS:000645500400021</t>
  </si>
  <si>
    <t>Bui, TH; Nguyen, V</t>
  </si>
  <si>
    <t>Toan Huu Bui; Van Phuoc Nguyen</t>
  </si>
  <si>
    <t>The Impact of Artificial Intelligence and Digital Economy on Vietnam's Legal System</t>
  </si>
  <si>
    <t>INTERNATIONAL JOURNAL FOR THE SEMIOTICS OF LAW-REVUE INTERNATIONALE DE SEMIOTIQUE JURIDIQUE</t>
  </si>
  <si>
    <t>Legal system; Artificial intelligence; Digital transformation; Economic impact</t>
  </si>
  <si>
    <t>ORGANIZATIONAL INNOVATION; ADOPTION</t>
  </si>
  <si>
    <t>Digital transformation incorporates new technology into all elements of business and will require the modification of old business models. Similarly, artificial intelligence (AI) is a relatively new disruptive technology with the potential to impact industry and society substantially. Cognitive techniques imitating human behaviour and thought have resulted in advanced analytical models that assist businesses in increasing sales and improving customer engagement, operational efficiency, and service quality by producing new relevant from existing data. These decision-making models are based on descriptive, predictive, and prescriptive analytics. A legislative framework that oversees all digital development uniformly across countries and facilitates a fully regulated digital transformation process is required. However, this regulatory system must not hinder the digital revolution. This study shows that AI and digital transformation will be integrated into various applications and thus used extensively. Nonetheless, the implementation must be carried out in conformity with both standard regulations and the new realities.</t>
  </si>
  <si>
    <t>[Toan Huu Bui] Banking Acad Vietnam, 12 Chua Boc St, Hanoi, Vietnam; [Van Phuoc Nguyen] Posts &amp; Telecommun Inst Technol, Fac Business Adm, Km 10 Nguyen Trai, Hanoi, Vietnam</t>
  </si>
  <si>
    <t>Banking Academy of Vietnam</t>
  </si>
  <si>
    <t>Nguyen, V (corresponding author), Posts &amp; Telecommun Inst Technol, Fac Business Adm, Km 10 Nguyen Trai, Hanoi, Vietnam.</t>
  </si>
  <si>
    <t>nguyenvanphuoc@ptithcm.edu.vn</t>
  </si>
  <si>
    <t>Nguyen, Phuoc/AIC-7934-2022</t>
  </si>
  <si>
    <t>Nguyen, Phuoc Van/0000-0003-3714-4078</t>
  </si>
  <si>
    <t>0952-8059</t>
  </si>
  <si>
    <t>1572-8722</t>
  </si>
  <si>
    <t>INT J SEMIOTIC LAW</t>
  </si>
  <si>
    <t>Int. J. Semiotics Law</t>
  </si>
  <si>
    <t>10.1007/s11196-022-09927-0</t>
  </si>
  <si>
    <t>SEP 2022</t>
  </si>
  <si>
    <t>Law; Language &amp; Linguistics; Social Sciences, Interdisciplinary</t>
  </si>
  <si>
    <t>Government &amp; Law; Linguistics; Social Sciences - Other Topics</t>
  </si>
  <si>
    <t>CN1S0</t>
  </si>
  <si>
    <t>Green Published, Bronze</t>
  </si>
  <si>
    <t>WOS:000859693000001</t>
  </si>
  <si>
    <t>Dirican, C</t>
  </si>
  <si>
    <t>Sener, S; Saridogan, E; Staub, S</t>
  </si>
  <si>
    <t>Dirican, Cuneyt</t>
  </si>
  <si>
    <t>The Impacts of Robotics, Artificial Intelligence On Business and Economics</t>
  </si>
  <si>
    <t>WORLD CONFERENCE ON TECHNOLOGY, INNOVATION AND ENTREPRENEURSHIP</t>
  </si>
  <si>
    <t>World Conference on Technology, Innovation and Entrepreneurship</t>
  </si>
  <si>
    <t>MAY 28-30, 2015</t>
  </si>
  <si>
    <t>Istanbul, TURKEY</t>
  </si>
  <si>
    <t>Robots; Robotics; Artificial Intelligence; Hologram; Mecatronics; Business; Economics</t>
  </si>
  <si>
    <t>In the Industrial Age that humanity has entered long time ago with steam series has caused to primitive mechanization in production. With the development of internet and mobile technologies, electronics, nano technology, advances in medicine, health and digital applications and so on speed up mechatronics studies nowadays. Last World Economic Forum holds an important place on the agenda of Robotics and Artificial Intelligence and the economists like Roubini, Stiglitz also entered in the discussion of robotics and artificial in intelligence impacts on economics and business. Although Stephen Hawking criticized on the risks in this regard, every day we are witnessing tremendous news and articles in business pages, regarding on these topics and obviously corporate life and professionals can no longer resist to these changes. Changing form of the business terms and work forces, the way of doing business by using new technologies will have serious impacts on the daily business life and deriving from these on countries and on world economics. Many items and headlines such as jobless ratio, Philips Curve, performance, management, CRM Analytics, customer relationship management, sales, strategic planning, mass production, Purchasing Power Parity, GDP, inflation, money, Central Banks, Banking System, coaching, training, accounting, taxes etc. regarding to business and economics will face serious dangers, hits, change, exposures as well as opportunities and gains with the improvements in Artificial Intelligence and Robotics. One simple example can explain the degree of these impacts: Should we continue to make provisions for severance pay of the company's staff or should we calculate reserve for depreciation / amortization of robots in the company, which side of the balance sheet will be managed by human resources managers or shall we still name human resources ? This conceptual and hypothetical paper is aiming to address and discusses the future of robots, mechatronics and artificial intelligence in different perspectives. (C) 2015 The Authors. Published by Elsevier Ltd. This is an open access article under the CC BY-NC-ND license (http://creativecommons.org/licenses/by-nc-nd/4.0/).</t>
  </si>
  <si>
    <t>[Dirican, Cuneyt] Istanbul Arel Univ, Istanbul, Turkey</t>
  </si>
  <si>
    <t>Istanbul Arel University</t>
  </si>
  <si>
    <t>Dirican, C (corresponding author), Istanbul Arel Univ, Istanbul, Turkey.</t>
  </si>
  <si>
    <t>cuneytdirican@arel.edu.tr</t>
  </si>
  <si>
    <t>Dirican, Cuneyt/J-3658-2019</t>
  </si>
  <si>
    <t>Dirican, Cuneyt/0000-0001-6622-3926</t>
  </si>
  <si>
    <t>10.1016/j.sbspro.2015.06.134</t>
  </si>
  <si>
    <t>Business</t>
  </si>
  <si>
    <t>BF2YI</t>
  </si>
  <si>
    <t>WOS:000380509900067</t>
  </si>
  <si>
    <t>Çeken, B; Akgöz, B</t>
  </si>
  <si>
    <t>Ceken, Birsen; Akgoz, Bartug</t>
  </si>
  <si>
    <t>THE IMPACT OF ARTIFICIAL INTELLIGENCE ON DESIGN: THE EXAMPLE OF DALL-E</t>
  </si>
  <si>
    <t>ANADOLU UNIVERSITESI SANAT &amp; TASARIM DERGISI-ANADOLU UNIVERSITY JOURNAL OF ART &amp; DESIGN</t>
  </si>
  <si>
    <t>Artificial intelligence; Graphic design; Design</t>
  </si>
  <si>
    <t>Applications of artificial intelligence, initially utilized during the Digital Revolution and continuously developing with advancing technology, are starting to appear more frequently in the field of design. Today, we encounter artificial intelligence in a wide range of fields, and, wittingly or unwittingly, one can benefit from it. The study is concerned primarily with the uses of artificial intelligence in graphic design, which is a visual art form communicating ideas and demanding creativity, and the potential future outcomes of machine learning -based design. In this context, the artificial network developed by OpenAI called Dall-E, which converts texts in written language into images, was examined as an example. The qualitative research method was used in the study. Printed publications and visuals related to artificial intelligence, technology, and design were scanned, and data collected by observation and document scanning was compiled. Samples were produced using artificial intelligence applications, after which they were interpreted and analyzed using descriptive analysis method. In conclusion, we consider that machine learning programs cannot go beyond the data they process and that they cannot have human emotions, intelligence, and creativity even if they can generate infinite variations by being 'inspired' by a work of art. By this assumption, in terms of discussing the effects of artificial intelligence on the field of design, it is significant to understand that, while the value of what is produced by artificial intelligence will decrease, the value of the original work will continue to increase in that the original will always be more valuable.</t>
  </si>
  <si>
    <t>[Ceken, Birsen; Akgoz, Bartug] Ankara Haci Bayram Veli Univ, Fac Arts &amp; Design, Dept Graph Design, Ankara, Turkiye</t>
  </si>
  <si>
    <t>Ankara Haci Bayram Veli University</t>
  </si>
  <si>
    <t>Çeken, B (corresponding author), Ankara Haci Bayram Veli Univ, Fac Arts &amp; Design, Dept Graph Design, Ankara, Turkiye.</t>
  </si>
  <si>
    <t>birsen.ceken@hbv.edu.tr; akgoz.bartug@hbv.edu.tr</t>
  </si>
  <si>
    <t>ANADOLU UNIV</t>
  </si>
  <si>
    <t>ESKISEHIR</t>
  </si>
  <si>
    <t>INST FINE ARTS, ESKISEHIR, 26470, Turkiye</t>
  </si>
  <si>
    <t>2146-9059</t>
  </si>
  <si>
    <t>ANADOLU UNIV SANAT T</t>
  </si>
  <si>
    <t>Anadolu Univ. Sanat Tasar. Derg.-Anadolu Univ. J. Art Des.</t>
  </si>
  <si>
    <t>10.20488/sanattasarim.1506116</t>
  </si>
  <si>
    <t>Art</t>
  </si>
  <si>
    <t>XQ3W5</t>
  </si>
  <si>
    <t>WOS:001263116800006</t>
  </si>
  <si>
    <t>Xue, JX</t>
  </si>
  <si>
    <t>Xue Jinxiang</t>
  </si>
  <si>
    <t>On the Innovation of Foreign Language Teaching in the Era of Artificial Intelligence</t>
  </si>
  <si>
    <t>2021 5TH INTERNATIONAL CONFERENCE ON INNOVATION IN ARTIFICIAL INTELLIGENCE (ICIAI 2021)</t>
  </si>
  <si>
    <t>5th International Conference on Innovation in Artificial Intelligence (ICIAI)</t>
  </si>
  <si>
    <t>MAR 05-08, 2021</t>
  </si>
  <si>
    <t>artificial intelligence; foreign language teaching; innovation</t>
  </si>
  <si>
    <t>As human society steps into the era of artificial intelligence, artificial intelligence has a profound impact on education, which provides necessary conditions and have new requirements for the innovation of foreign language teaching. The innovation of foreign language teaching in the era of artificial intelligence is mainly reflected in four aspects: the innovation of educational organization form, the innovation of education and teaching mode, the innovation of teachers' skills and concepts, and the innovation of teaching resources selection and application. To improve the level of campus intelligence, to carry out highly customized learning, to create a smart classroom, and to establish a collaborative relationship between teachers and artificial intelligence are the ways and methods of foreign language teaching innovation. In this process, society, schools, teachers and students should cooperate well and work closely to create a better and new situation of foreign language teaching in the era of artificial intelligence.</t>
  </si>
  <si>
    <t>[Xue Jinxiang] Harbin Univ Commerce, 1 Xuehai St, Harbin, Heilongjiang, Peoples R China</t>
  </si>
  <si>
    <t>Harbin University of Commerce</t>
  </si>
  <si>
    <t>Xue, JX (corresponding author), Harbin Univ Commerce, 1 Xuehai St, Harbin, Heilongjiang, Peoples R China.</t>
  </si>
  <si>
    <t>978-1-4503-8863-4</t>
  </si>
  <si>
    <t>10.1145/3461353.3461355</t>
  </si>
  <si>
    <t>Computer Science, Artificial Intelligence; Computer Science, Cybernetics</t>
  </si>
  <si>
    <t>BS8TU</t>
  </si>
  <si>
    <t>WOS:000777584200023</t>
  </si>
  <si>
    <t>Del Vasto, PMH; Castro, MLA</t>
  </si>
  <si>
    <t>Del Vasto, Paola Marcela Hermosa; Castro, Maria Lourdes Arco</t>
  </si>
  <si>
    <t>ARTIFICIAL INTELLIGENCE (AI) IN SUSTAINABLE TOURISM: BIBLIOMETRIC ANALYSIS</t>
  </si>
  <si>
    <t>CUADERNOS DE TURISMO</t>
  </si>
  <si>
    <t>Artificial intelligence (AI); sustainable tourism; bibliometric analysis; VOSviewer; Artificial intelligence's impacts</t>
  </si>
  <si>
    <t>TECHNOLOGY</t>
  </si>
  <si>
    <t>Artificial Intelligence (AI) has gained attention in tourism, which requires its sustainability. Our study focuses on a bibliometric analysis of AI in sustainable tourism using 174 manuscripts from 2000 to 2022. One of the main findings is that 'intelligence' appears frequently, followed by related terms such as work, performance, resources, sustainability, impact, optimization and management. There is no previous evidence on AI in the context of sustainable tourism to explain how public managers or politicians design public policies to create and improve resource efficiency.</t>
  </si>
  <si>
    <t>[Del Vasto, Paola Marcela Hermosa] Univ Granada, Calle Santander 1, Melilla 52005, Spain; [Castro, Maria Lourdes Arco] Univ Granada, Campus Univ Cartuja, Granada 18071, Spain</t>
  </si>
  <si>
    <t>University of Granada; University of Granada</t>
  </si>
  <si>
    <t>Del Vasto, PMH (corresponding author), Univ Granada, Calle Santander 1, Melilla 52005, Spain.</t>
  </si>
  <si>
    <t>paolahermosa@ugr.es; mlarco@ugr.es</t>
  </si>
  <si>
    <t>Hermosa, Paola/KIB-0204-2024</t>
  </si>
  <si>
    <t>Arco, Lourdes/0000-0002-7315-4460; Hermosa Del Vasto, Paola Marcela/0000-0001-5696-2258</t>
  </si>
  <si>
    <t>Department of Business Organization I.</t>
  </si>
  <si>
    <t>Acknowledgments: This study was conducted at the University of Granada and sup-ported by the Department of Business Organization I.</t>
  </si>
  <si>
    <t>1139-7861</t>
  </si>
  <si>
    <t>1989-4635</t>
  </si>
  <si>
    <t>CUAD TUR</t>
  </si>
  <si>
    <t>Cuad. Tur.</t>
  </si>
  <si>
    <t>JAN-JUN</t>
  </si>
  <si>
    <t>10.6018/turismo.616431</t>
  </si>
  <si>
    <t>Hospitality, Leisure, Sport &amp; Tourism</t>
  </si>
  <si>
    <t>YH1W3</t>
  </si>
  <si>
    <t>WOS:001267515600008</t>
  </si>
  <si>
    <t>CHEUNG, LCY; IP, S; HOLDEN, T</t>
  </si>
  <si>
    <t>SURVEY OF ARTIFICIAL-INTELLIGENCE IMPACTS ON INFORMATION-SYSTEMS ENGINEERING</t>
  </si>
  <si>
    <t>INFORMATION AND SOFTWARE TECHNOLOGY</t>
  </si>
  <si>
    <t>INFORMATION SYSTEMS ENGINEERING; METHODOLOGIES; ARTIFICIAL INTELLIGENCE; DATABASES; KNOWLEDGE BASES; INFORMATION SYSTEMS; KNOWLEDGE SYSTEMS</t>
  </si>
  <si>
    <t>KNOWLEDGE-BASED TOOLS; EXPERT SYSTEMS; DATABASE DESIGN; REPRESENTATION; SPECIFICATION; TECHNOLOGY; PARADIGM; LEVEL; AI</t>
  </si>
  <si>
    <t>The field of information systems engineering (ISE) has developed rapidly over the past two decades, and the latest research in the field is largely along the direction of artificial intelligence (AI)-based support. Therefore, recent developments in AI technology (in particular, knowledge representation and knowledge-based systems) have significant impacts on ISE research. The paper surveys these impacts and discusses the major interactions between AI and ISE.</t>
  </si>
  <si>
    <t>UNIV CAMBRIDGE, DEPT ENGN, DIV INFORMAT ENGN, TRUMPINGTON ST, CAMBRIDGE CB2 1PZ, ENGLAND.</t>
  </si>
  <si>
    <t>Holden, Tom/C-4715-2008</t>
  </si>
  <si>
    <t>PO BOX 211, 1000 AE AMSTERDAM, NETHERLANDS</t>
  </si>
  <si>
    <t>0950-5849</t>
  </si>
  <si>
    <t>1873-6025</t>
  </si>
  <si>
    <t>INFORM SOFTWARE TECH</t>
  </si>
  <si>
    <t>Inf. Softw. Technol.</t>
  </si>
  <si>
    <t>Computer Science, Information Systems; Computer Science, Software Engineering</t>
  </si>
  <si>
    <t>GJ008</t>
  </si>
  <si>
    <t>WOS:A1991GJ00800005</t>
  </si>
  <si>
    <t>Cohen, E; Williams, K; Grant, J</t>
  </si>
  <si>
    <t>Cohen, Eliel; Williams, Kate; Grant, Jonathan</t>
  </si>
  <si>
    <t>Researcher identities and values in the impact agenda: the case of artificial intelligence academics</t>
  </si>
  <si>
    <t>HIGHER EDUCATION</t>
  </si>
  <si>
    <t>Research impact; Academic identity; Policy; Artificial intelligence</t>
  </si>
  <si>
    <t>POLICY; UK</t>
  </si>
  <si>
    <t>A major shift in the research sector has been the increased expectation from policymakers and funders that academic research should yield some socioeconomic benefits or 'impacts' rather than merely new knowledge. In this paper, we explore the role that impact has in academics' motivations and values and how impact is being integrated into academics' core functions of research and education. We do this through in-depth interviews (n = 60) with scientists who work on the development or application of artificial intelligence (AI), broadly defined. This AI's focus situates our participants within a strategically important, high-priority area of research for all three national contexts included in our study-Australia, the UK and the USA. Our findings reveal that the impact mission has become central to understanding the motivations and values of academics, but unevenly. We identify divergence between those who work on AI from a foundational computer science perspective and those who develop and apply AI within other scientific domains. The two groups have different understandings of key notions such as 'impact' and 'applied research', as well as different ways of integrating the impact agenda into their research and education activities. The study highlights the importance of flexible approaches to research policy and governance that are based on a deeper understanding of what motivates researchers, and that take into account academics' educational role. Greater holistic understanding of how academic identities and practices are accommodating the impact agenda is essential to maximise synergy across activities and avoid unintended consequences.</t>
  </si>
  <si>
    <t>[Cohen, Eliel] Kings Coll London, Policy Inst, London, England; [Williams, Kate] Univ Melbourne, Sch Social &amp; Polit Sci, Melbourne, Australia; [Grant, Jonathan] Different Angles Ltd, Cambridge, England</t>
  </si>
  <si>
    <t>University of London; King's College London; University of Melbourne</t>
  </si>
  <si>
    <t>Cohen, E (corresponding author), Kings Coll London, Policy Inst, London, England.</t>
  </si>
  <si>
    <t>eliel.cohen@kcl.ac.uk</t>
  </si>
  <si>
    <t>Cohen, Eliel/0000-0002-7064-4552</t>
  </si>
  <si>
    <t>Economic and Social Research Council (UK Research Innovation) [ES/V004123/1]</t>
  </si>
  <si>
    <t>Economic and Social Research Council (UK Research Innovation)</t>
  </si>
  <si>
    <t>The research was funded by the Economic and Social Research Council (UK Research &amp; Innovation), ES/V004123/1.</t>
  </si>
  <si>
    <t>0018-1560</t>
  </si>
  <si>
    <t>1573-174X</t>
  </si>
  <si>
    <t>HIGH EDUC</t>
  </si>
  <si>
    <t>High. Educ.</t>
  </si>
  <si>
    <t>2024 NOV 12</t>
  </si>
  <si>
    <t>10.1007/s10734-024-01356-1</t>
  </si>
  <si>
    <t>L8F7A</t>
  </si>
  <si>
    <t>WOS:001353030200001</t>
  </si>
  <si>
    <t>Subramaniam, Y; Loganathan, N; Khan, FNHT; Subramaniam, T</t>
  </si>
  <si>
    <t>Subramaniam, Yogeeswari; Loganathan, Nanthakumar; Khan, Fatin Nur Hidayah Taib; Subramaniam, Thirunaukarasu</t>
  </si>
  <si>
    <t>Exploring the Impact of Artificial Intelligence on Financial Inclusion: Cross-Country Analysis</t>
  </si>
  <si>
    <t>SOCIAL INDICATORS RESEARCH</t>
  </si>
  <si>
    <t>Artificial intelligence; Financial inclusion; Static panel estimation; Dynamic GMM</t>
  </si>
  <si>
    <t>PANEL-DATA; ACCESS</t>
  </si>
  <si>
    <t>This study uses panel data from 29 countries that were categorised from low to high in terms of AI adoption from 2017 to 2021 to investigate the impact of artificial intelligence on financial inclusion. The study employed both static and dynamic Generalized Method of Moments (GMM) panel data estimations to achieve the research objective. The findings show that artificial intelligence is a statistically significant determinant of financial inclusion and helps promote financial inclusion in countries that adopt artificial intelligence. Besides that, robustness analysis conducted for alternative measures of AI, and the results continue to demonstrate that AI contributes to financial inclusion by addressing some of the issues that have historically made it difficult for some groups to receive financial services. As a result, significant expansion, and the deployment of artificial intelligence in the finance sector are required to overcome existing financial exclusion and promote financial inclusion. and solve the existing financial exclusion issues.</t>
  </si>
  <si>
    <t>[Subramaniam, Yogeeswari; Loganathan, Nanthakumar] Univ Teknol Malaysia, Fac Management, Johor Baharu 81030, Johor, Malaysia; [Khan, Fatin Nur Hidayah Taib] Univ Malaysia Sarawak, Fac Econ &amp; Business, Kota Samarahan 94300, Sarawak, Malaysia; [Subramaniam, Thirunaukarasu] Univ Malaya, Fac Arts &amp; Social Sci, Kuala Lumpur 50603, Malaysia</t>
  </si>
  <si>
    <t>Universiti Teknologi Malaysia; University of Malaysia Sarawak; Universiti Malaya</t>
  </si>
  <si>
    <t>Subramaniam, Y (corresponding author), Univ Teknol Malaysia, Fac Management, Johor Baharu 81030, Johor, Malaysia.</t>
  </si>
  <si>
    <t>yogeeswari.s@utm.my; n4nantha@yahoo.com; tkfnhidayah@unimas.my; stkarasu@um.edu.my</t>
  </si>
  <si>
    <t>Loganathan, Nanthakumar/I-7325-2012; SUBRAMANIAM, THIRUNAUKARASU/B-9957-2010; subramaniam, yogeeswari/O-9874-2018</t>
  </si>
  <si>
    <t>subramaniam, yogeeswari/0000-0002-5513-0537</t>
  </si>
  <si>
    <t>0303-8300</t>
  </si>
  <si>
    <t>1573-0921</t>
  </si>
  <si>
    <t>SOC INDIC RES</t>
  </si>
  <si>
    <t>Soc. Indic. Res.</t>
  </si>
  <si>
    <t>2024 JUL 6</t>
  </si>
  <si>
    <t>10.1007/s11205-024-03380-1</t>
  </si>
  <si>
    <t>Social Sciences, Interdisciplinary; Sociology</t>
  </si>
  <si>
    <t>Social Sciences - Other Topics; Sociology</t>
  </si>
  <si>
    <t>XR6A1</t>
  </si>
  <si>
    <t>WOS:001263432600003</t>
  </si>
  <si>
    <t>Moller, LA; Skovsgaard, M; de Vreese, C</t>
  </si>
  <si>
    <t>Moller, Lynge Asbjorn; Skovsgaard, Morten; de Vreese, Claes</t>
  </si>
  <si>
    <t>Reinforce, readjust, reclaim: How artificial intelligence impacts journalism's professional claim</t>
  </si>
  <si>
    <t>JOURNALISM</t>
  </si>
  <si>
    <t>Artificial intelligence; automated journalism; news automation; news work; sociology of professions; system of professions</t>
  </si>
  <si>
    <t>AUTOMATED JOURNALISM; NEWS; FUTURE; MEDIA</t>
  </si>
  <si>
    <t>Major advances in artificial intelligence have fuelled a rapid increase in the automation and augmentation of journalistic work, challenging the centrality of journalists in the news production process. This article theoretically explores news automation by adopting a system of professions framework from the sociology of professions to provide a holistic perspective on the impact of artificial intelligence on journalistic work. This framework posits that different factors influence professional control over work, and problems caused by these factors have left journalism vulnerable to automation. The routine and mundane nature of a significant portion of journalistic tasks suggests that artificial intelligence may potentially replace many journalists in the future, thereby challenging the profession's claim to expertise. For journalism to uphold its professional authority in the future, it needs to brace for the impact of artificial intelligence. Building on this analysis, we explore strategies for journalism to do so. This involves reinforcing professional ideals in new algorithmic practices, readjusting knowledge and skill taught in education, and reclaiming specialised work practices in organisations. Rather than a threat, the emergence of artificial intelligence then presents an opportunity for journalism to reintroduce the distinctiveness of the profession and rejuvenate its professional promise.</t>
  </si>
  <si>
    <t>[Moller, Lynge Asbjorn] Univ Southern Denmark, Digital Democracy Ctr, Odense, Denmark; [Skovsgaard, Morten] Univ Southern Denmark, Ctr Journalism, Dept Polit Sci &amp; Publ Management, Odense, Denmark; [de Vreese, Claes] Univ Southern Denmark, Odense, Denmark; [de Vreese, Claes] Univ Amsterdam, AI &amp; Soc, Amsterdam, Netherlands</t>
  </si>
  <si>
    <t>University of Southern Denmark; University of Southern Denmark; University of Southern Denmark; University of Amsterdam</t>
  </si>
  <si>
    <t>Moller, LA (corresponding author), Univ Southern Denmark, Campusvej 55, DK-5230 Odense, Denmark.</t>
  </si>
  <si>
    <t>lymo@sam.sdu.dk</t>
  </si>
  <si>
    <t>Skovsgaard, Morten/JPY-2691-2023</t>
  </si>
  <si>
    <t>Skovsgaard, Morten/0000-0003-3577-0761; Moller, Lynge Asbjorn/0000-0002-1632-2253</t>
  </si>
  <si>
    <t>1464-8849</t>
  </si>
  <si>
    <t>1741-3001</t>
  </si>
  <si>
    <t>Journalism</t>
  </si>
  <si>
    <t>2024 JUL 30</t>
  </si>
  <si>
    <t>10.1177/14648849241269300</t>
  </si>
  <si>
    <t>Communication</t>
  </si>
  <si>
    <t>A4X4W</t>
  </si>
  <si>
    <t>WOS:001282577500001</t>
  </si>
  <si>
    <t>Diaz, J; Osorio, MA; Amadeo, AP</t>
  </si>
  <si>
    <t>Diaz, Javier; Osorio, Maria Alejandra; Amadeo, Ana Paola</t>
  </si>
  <si>
    <t>A look at Artificial Intelligence, from global impact to local effects</t>
  </si>
  <si>
    <t>QUESTION</t>
  </si>
  <si>
    <t>Artificial Intelligence; current definitions; legislation; applications and tools; impact; global and local development</t>
  </si>
  <si>
    <t>The large volume of data generated since the Internet boom of the 90s and social networks of the 2000s, added to the advancement of other technologies such as sensors, the Internet of Things and robotics; The great computing capacity of the available hardware that requires relatively little space among other characteristics, has given rise to a great boost to Artificial Intelligence. A concept that is not new and that currently generates a great debate regarding its definitions and scope due to its impact on various industries and society as a whole. It requires national and regional consensus, consistent legislation that promotes innovation, focuses on research without neglecting ethical and social aspects that promote a more inclusive and democratic society, putting technology at the service of people.</t>
  </si>
  <si>
    <t>[Diaz, Javier; Osorio, Maria Alejandra; Amadeo, Ana Paola] Lab Invest Nuevas Tecnol Informat UNLP, La Plata, Argentina</t>
  </si>
  <si>
    <t>Diaz, J (corresponding author), Lab Invest Nuevas Tecnol Informat UNLP, La Plata, Argentina.</t>
  </si>
  <si>
    <t>jdiaz@unlp.edu.ar; aosorio@unlp.edu.ar; pamadeo@linti.unlp.edu.ar</t>
  </si>
  <si>
    <t>Diaz, Javier/AAU-1101-2021</t>
  </si>
  <si>
    <t>UNIV NACIONAL PLATA, INST INVESTIGACIONES &amp; COMUNICACION-IICOM</t>
  </si>
  <si>
    <t>BUENOS AIRES</t>
  </si>
  <si>
    <t>FAC PERIODISMO &amp; COMUNICACION SOCIAL, AVE 44 NO 676, LA PLATA, BUENOS AIRES, 1900, ARGENTINA</t>
  </si>
  <si>
    <t>1669-6581</t>
  </si>
  <si>
    <t>Question</t>
  </si>
  <si>
    <t>e862</t>
  </si>
  <si>
    <t>10.24215/16696581e862</t>
  </si>
  <si>
    <t>DT5J0</t>
  </si>
  <si>
    <t>Green Submitted, gold</t>
  </si>
  <si>
    <t>WOS:001134335300001</t>
  </si>
  <si>
    <t>Seethamraju, R; Hecimovic, A</t>
  </si>
  <si>
    <t>Assoc Informat Syst</t>
  </si>
  <si>
    <t>Seethamraju, Ravi; Hecimovic, Angela</t>
  </si>
  <si>
    <t>Impact of Artificial Intelligence on Auditing - An Exploratory Study</t>
  </si>
  <si>
    <t>AMCIS 2020 PROCEEDINGS</t>
  </si>
  <si>
    <t>Conference of the Association-for-Information-Systems (AMCIS)</t>
  </si>
  <si>
    <t>AUG 10-14, 2020</t>
  </si>
  <si>
    <t>Auditing; Artificial Intelligence (AI); TOE framework</t>
  </si>
  <si>
    <t>Artificial Intelligence (AI) assisted by the massive processing power and big data, though is poised to influence the auditing profession, empirical evidence is sketchy. This exploratory cross-sectional qualitative field study, using the Technology-Organization-Environment (TOE) framework as its broad theoretical lens, and semi-structured interviews as the data collection strategy, investigates the adoption of Artificial Intelligence (AI) in auditing and identifies the factors influencing the adoption. Adoption of AI by auditing firms, our study found, would not only result in improvement in audit quality and decision making but also helps them build capabilities to deliver value-adding AI consultancy services that are more profitable than traditional auditing. Apart from improving audit quality, challenges auditing firms face include conservative approach of external regulatory bodies, inability to document the use of technology for verification by regulators and perceived legal and reputational risk of financial auditing work that limits the potential use of AI.</t>
  </si>
  <si>
    <t>[Seethamraju, Ravi; Hecimovic, Angela] Univ Sydney, Business Sch, Sydney, NSW, Australia</t>
  </si>
  <si>
    <t>University of Sydney</t>
  </si>
  <si>
    <t>Seethamraju, R (corresponding author), Univ Sydney, Business Sch, Sydney, NSW, Australia.</t>
  </si>
  <si>
    <t>Ravi.seethamraju@sydney.edu.au; angela.hecimovic@sydney.edu.au</t>
  </si>
  <si>
    <t>P.O. BOX 2712, ATLANTA, GA 30301-2712 USA</t>
  </si>
  <si>
    <t>978-1-7336325-4-6</t>
  </si>
  <si>
    <t>Computer Science, Theory &amp; Methods</t>
  </si>
  <si>
    <t>BP6LR</t>
  </si>
  <si>
    <t>WOS:000559924502005</t>
  </si>
  <si>
    <t>Malatji, M; Marnewick, A; von Solms, S</t>
  </si>
  <si>
    <t>Clarke, N; Furnell, S</t>
  </si>
  <si>
    <t>Malatji, M.; Marnewick, A.; von Solms, S.</t>
  </si>
  <si>
    <t>The Impact of Artificial Intelligence on the Human Aspects of Information and Cybersecurity</t>
  </si>
  <si>
    <t>PROCEEDINGS OF THE TWELFTH INTERNATIONAL SYMPOSIUM ON HUMAN ASPECTS OF INFORMATION SECURITY &amp; ASSURANCE (HAISA 2018)</t>
  </si>
  <si>
    <t>12th International Symposium on Human Aspects of Information Security and Assurance (HAISA)</t>
  </si>
  <si>
    <t>AUG 29-31, 2018</t>
  </si>
  <si>
    <t>Dundee, SCOTLAND</t>
  </si>
  <si>
    <t>Univ Plymouth, Ctr Secur Commun &amp; Network Res</t>
  </si>
  <si>
    <t>Artificial intelligence; cybersecurity; human aspect; information security; machine learning; socio-technical system</t>
  </si>
  <si>
    <t>This paper presents the results of a literature survey on the impact of artificial intelligence on the human aspects of information and cybersecurity. Artificial intelligence and its two subfields, machine learning and deep learning, are briefly described though much emphasis is placed on the impact of their applications to the human aspects of information and cybersecurity. In addition, the paper presents arguments by those in favour of autonomous artificial intelligence designs that do not require human interventions as well as counter-arguments by those opposed to the idea for ethical and other reasons. The current and future security trends of the human-artificial intelligence integration are explored. The findings reveal that artificial intelligence is currently utilised only for augmenting human capacity in information and cybersecurity activities whereas the future trends are unknown. The study proposes the socio-technical systems approach for attaining the optimal security results through the human-artificial intelligence integration.</t>
  </si>
  <si>
    <t>[Malatji, M.; Marnewick, A.] Univ Johannesburg, Postgrad Sch Engn Management, Johannesburg, South Africa; [von Solms, S.] Univ Johannesburg, Dept Elect &amp; Elect Engn, Johannesburg, South Africa</t>
  </si>
  <si>
    <t>University of Johannesburg; University of Johannesburg</t>
  </si>
  <si>
    <t>Malatji, M (corresponding author), Univ Johannesburg, Postgrad Sch Engn Management, Johannesburg, South Africa.</t>
  </si>
  <si>
    <t>masikem@gmail.com; amarnewick@uj.ac.za; svonsolms@uj.ac.za</t>
  </si>
  <si>
    <t>Malatji, Masike/ITU-6420-2023</t>
  </si>
  <si>
    <t>Malatji, Masike/0000-0002-9893-9598</t>
  </si>
  <si>
    <t>PLYMOUTH UNIV</t>
  </si>
  <si>
    <t>PLYMOUTH</t>
  </si>
  <si>
    <t>DRAKE CIRCUS, PLYMOUTH, PL4 8AA, ENGLAND</t>
  </si>
  <si>
    <t>978-0-244-40254-9</t>
  </si>
  <si>
    <t>Computer Science, Cybernetics; Computer Science, Theory &amp; Methods</t>
  </si>
  <si>
    <t>BN6HW</t>
  </si>
  <si>
    <t>WOS:000485186600015</t>
  </si>
  <si>
    <t>Asfahani, AM</t>
  </si>
  <si>
    <t>Asfahani, Ahmed M.</t>
  </si>
  <si>
    <t>The Impact of Artificial Intelligence on Industrial-Organizational Psychology: A Systematic Review</t>
  </si>
  <si>
    <t>JOURNAL OF BEHAVIORAL SCIENCE</t>
  </si>
  <si>
    <t>Artificial intelligence; industrial-organizational psychology; systematic review; meta-analysis; PRISMA</t>
  </si>
  <si>
    <t>HEALTH; TECHNOLOGIES; GUIDELINES; ADOPTION; WORK</t>
  </si>
  <si>
    <t>Current trends indicate that the pace of artificial intelligence and machine learning technology innovations will continue to increase in the foreseeable future. The objective of this study was to conduct a systematic review of the relevant literature as well as a qualitative meta-analysis of recent studies on the impact of artificial intelligence and big data on industrial-organizational psychology. Following the guidelines for preferred reporting items for systematic reviews (PRISMA) and meta-analyses, the researcher conducted a literature search within various main electronic databases. The results of the meta-analysis showed a positive association between artificial intelligence and different aspects of industrial-organizational psychology. In addition, results showed that artificial intelligence -enabled automation and robotics are going to play a great role in the future. Furthermore, this study provides several directions for future studies and discussion on both academic and professional implications.</t>
  </si>
  <si>
    <t>[Asfahani, Ahmed M.] Univ Business &amp; Technol, Coll Business Adm, Jeddah, Saudi Arabia</t>
  </si>
  <si>
    <t>University of Business &amp; Technology</t>
  </si>
  <si>
    <t>Asfahani, AM (corresponding author), Univ Business &amp; Technol, Coll Business Adm, Jeddah, Saudi Arabia.</t>
  </si>
  <si>
    <t>a.asfahani@ubt.edu.sa</t>
  </si>
  <si>
    <t>Asfahani, Ahmed/ACF-6751-2022</t>
  </si>
  <si>
    <t>Asfahani, Ahmed/0000-0002-7302-2820</t>
  </si>
  <si>
    <t>BEHAVIORAL SCIENCE RESEARCH INST, SRINAKHARINWIROT UNIV</t>
  </si>
  <si>
    <t>BANGKOK</t>
  </si>
  <si>
    <t>114 SUKHUMVIT 23, WATTANA, BANGKOK, 10110, THAILAND</t>
  </si>
  <si>
    <t>1906-4675</t>
  </si>
  <si>
    <t>J BEHAV SCI</t>
  </si>
  <si>
    <t>J. Behav. Sci.</t>
  </si>
  <si>
    <t>10.4540/behav.87415</t>
  </si>
  <si>
    <t>5K8UQ</t>
  </si>
  <si>
    <t>WOS:000869995800009</t>
  </si>
  <si>
    <t>Ishiwata, T; Yasufuku, K</t>
  </si>
  <si>
    <t>Ishiwata, Tsukasa; Yasufuku, Kazuhiro</t>
  </si>
  <si>
    <t>Artificial intelligence in interventional pulmonology</t>
  </si>
  <si>
    <t>CURRENT OPINION IN PULMONARY MEDICINE</t>
  </si>
  <si>
    <t>artificial intelligence; bronchoscopy; deep learning; endobronchial ultrasound; interventional pulmonology</t>
  </si>
  <si>
    <t>TRANSBRONCHIAL NEEDLE ASPIRATION; COMPUTER-AIDED DETECTION; ON-SITE EVALUATION; ENDOBRONCHIAL ULTRASOUND; LUNG-CANCER; NEURAL-NETWORKS; DIAGNOSIS; IMAGES; PREDICTION; ACCURACY</t>
  </si>
  <si>
    <t>Purpose of reviewIn recent years, there has been remarkable progress in the field of artificial intelligence technology. Artificial intelligence applications have been extensively researched and actively implemented across various domains within healthcare. This study reviews the current state of artificial intelligence research in interventional pulmonology and engages in a discussion to comprehend its capabilities and implications.Recent findingsDeep learning, a subset of artificial intelligence, has found extensive applications in recent years, enabling highly accurate identification and labeling of bronchial segments solely from intraluminal bronchial images. Furthermore, research has explored the use of artificial intelligence for the analysis of endobronchial ultrasound images, achieving a high degree of accuracy in distinguishing between benign and malignant targets within ultrasound images. These advancements have become possible due to the increased computational power of modern systems and the utilization of vast datasets, facilitating detections and predictions with greater precision and speed.SummaryArtificial intelligence integration into interventional pulmonology has the potential to enhance diagnostic accuracy and patient safety, ultimately leading to improved patient outcomes. However, the clinical impacts of artificial intelligence enhanced procedures remain unassessed. Additional research is necessary to evaluate both the advantages and disadvantages of artificial intelligence in the field of interventional pulmonology.</t>
  </si>
  <si>
    <t>[Ishiwata, Tsukasa; Yasufuku, Kazuhiro] Univ Hlth Network, Toronto Gen Hosp, Div Thorac Surg, Toronto, ON, Canada; [Yasufuku, Kazuhiro] 200 Elizabeth St, 9N-957, Toronto, ON M5G 2C4, Canada</t>
  </si>
  <si>
    <t>University of Toronto; University Health Network Toronto; Toronto General Hospital</t>
  </si>
  <si>
    <t>Yasufuku, K (corresponding author), 200 Elizabeth St, 9N-957, Toronto, ON M5G 2C4, Canada.</t>
  </si>
  <si>
    <t>kazuhiro.yasufuku@uhn.ca</t>
  </si>
  <si>
    <t>1070-5287</t>
  </si>
  <si>
    <t>1531-6971</t>
  </si>
  <si>
    <t>CURR OPIN PULM MED</t>
  </si>
  <si>
    <t>Curr. Opin. Pulm. Med.</t>
  </si>
  <si>
    <t>10.1097/MCP.0000000000001024</t>
  </si>
  <si>
    <t>Respiratory System</t>
  </si>
  <si>
    <t>HY8Z1</t>
  </si>
  <si>
    <t>WOS:001163176900006</t>
  </si>
  <si>
    <t>Guillory, T; Tilmant, C; Trecourt, A; Gaillot-Durand, L</t>
  </si>
  <si>
    <t>Guillory, Thomas; Tilmant, Cyprien; Trecourt, Alexis; Gaillot-Durand, Lucie</t>
  </si>
  <si>
    <t>Egide Collectif Transformation Ecologique Anat Cytopathologie TEAP</t>
  </si>
  <si>
    <t>The environmental impact of digital technology and artificial intelligence, in the era of digital pathology</t>
  </si>
  <si>
    <t>ANNALES DE PATHOLOGIE</t>
  </si>
  <si>
    <t>French</t>
  </si>
  <si>
    <t>Digital Pathology; Eco-responsibility; Sustainability; Environmental impacts; Artificial intelligence; Global warming</t>
  </si>
  <si>
    <t>While digitization and artificial intelligence represent the future of our specialty, future is also constrained by global warming and overstepping of planetary limits, threatening human health and the functioning of the healthcare system. The report by the D &amp; eacute;l &amp; eacute;gation minist &amp; eacute;rielle du num &amp; eacute;rique en sant &amp; eacute; and the French government's ecological planning of the healthcare system confirm the need to control the environmental impact of digital technology. Indeed, despite the promises of dematerialization, digital technology is a very material industry, generating greenhouse gas emissions, problematic consumption of water and mineral resources, and social impacts. The digital sector is impacting at every stage: (i) manufacture of equipment; (ii) use; and (iii) end-of-life of equipment, which, when recycled, can only be recycled to a very limited extent. This is a fast-growing sector, and the digitization of our specialty is part of its acceleration and its impact. Understanding the consequences of digitalization and artificial intelligence, and phenomena such as the rebound effect, is an essential prerequisite for the implementation of a sober, responsible, and sustainable digital pathology. The aim of this update is to help pathologists better understand the environmental impact of digital technology. As healthcare professionals, we have a responsibility to combine technological advances with an awareness of their impact, within a systemic vision of human health. (c) 2024 Published by Elsevier Masson SAS.</t>
  </si>
  <si>
    <t>[Guillory, Thomas] Fresque Numer, 40 Rue Grands Champs, F-75020 Paris, France; [Tilmant, Cyprien] Grt Hop Inst Catholique Lille, Serv Pathol, 51 Blvd Belfort, F-59000 Lille, France; [Trecourt, Alexis; Gaillot-Durand, Lucie] Hosp Civils Lyon, Hop Lyon Sud, Serv Pathol Multisite, 165 Chemin Grand Revoyet, F-69495 Oullins Pierre Benite, France; [Trecourt, Alexis] Univ Claude Bernard Lyon I, Fac Med &amp; Maieut Lyon Sud Charles Merieux, 165 Chemin Petit Revoyet, F-69921 Oullins, France</t>
  </si>
  <si>
    <t>CHU Lyon; Universite Claude Bernard Lyon 1</t>
  </si>
  <si>
    <t>Gaillot-Durand, L (corresponding author), Hosp Civils Lyon, Hop Lyon Sud, Serv Pathol Multisite, 165 Chemin Grand Revoyet, F-69495 Oullins Pierre Benite, France.</t>
  </si>
  <si>
    <t>lucie.gaillot-durand@chu-lyon.fr</t>
  </si>
  <si>
    <t>Trecourt, Alexis/AFI-8056-2022</t>
  </si>
  <si>
    <t>MASSON EDITEUR</t>
  </si>
  <si>
    <t>MOULINEAUX CEDEX 9</t>
  </si>
  <si>
    <t>21 STREET CAMILLE DESMOULINS, ISSY, 92789 MOULINEAUX CEDEX 9, FRANCE</t>
  </si>
  <si>
    <t>0242-6498</t>
  </si>
  <si>
    <t>2213-008X</t>
  </si>
  <si>
    <t>ANN PATHOL</t>
  </si>
  <si>
    <t>Ann. Pathol.</t>
  </si>
  <si>
    <t>10.1016/j.annpat.2024.05.006</t>
  </si>
  <si>
    <t>Pathology</t>
  </si>
  <si>
    <t>G4X4F</t>
  </si>
  <si>
    <t>WOS:001316683000001</t>
  </si>
  <si>
    <t>Gou, FF; Liu, J; Xiao, CW; Wu, J</t>
  </si>
  <si>
    <t>Gou, Fangfang; Liu, Jun; Xiao, Chunwen; Wu, Jia</t>
  </si>
  <si>
    <t>Research on Artificial-Intelligence-Assisted Medicine: A Survey on Medical Artificial Intelligence</t>
  </si>
  <si>
    <t>DIAGNOSTICS</t>
  </si>
  <si>
    <t>artificial intelligence in medicine; assisted diagnosis; genomics; drug development; medical imaging; health care management</t>
  </si>
  <si>
    <t>SEGMENTATION; REGISTRATION; PREDICTION; NETWORK; CLASSIFICATION; REPRESENTATION; ALIGNMENT</t>
  </si>
  <si>
    <t>With the improvement of economic conditions and the increase in living standards, people's attention in regard to health is also continuously increasing. They are beginning to place their hopes on machines, expecting artificial intelligence (AI) to provide a more humanized medical environment and personalized services, thus greatly expanding the supply and bridging the gap between resource supply and demand. With the development of IoT technology, the arrival of the 5G and 6G communication era, and the enhancement of computing capabilities in particular, the development and application of AI-assisted healthcare have been further promoted. Currently, research on and the application of artificial intelligence in the field of medical assistance are continuously deepening and expanding. AI holds immense economic value and has many potential applications in regard to medical institutions, patients, and healthcare professionals. It has the ability to enhance medical efficiency, reduce healthcare costs, improve the quality of healthcare services, and provide a more intelligent and humanized service experience for healthcare professionals and patients. This study elaborates on AI development history and development timelines in the medical field, types of AI technologies in healthcare informatics, the application of AI in the medical field, and opportunities and challenges of AI in the field of medicine. The combination of healthcare and artificial intelligence has a profound impact on human life, improving human health levels and quality of life and changing human lifestyles.</t>
  </si>
  <si>
    <t>[Gou, Fangfang; Wu, Jia] Guizhou Univ, Coll Comp Sci &amp; Technol, State Key Lab Publ Big Data, Guiyang 550025, Peoples R China; [Liu, Jun; Xiao, Chunwen] Second Peoples Hosp Huaihua, Huaihua 418000, Peoples R China; [Wu, Jia] Monash Univ Melbourne, Res Ctr Artificial Intelligence, Clayton, Vic 3800, Australia</t>
  </si>
  <si>
    <t>Guizhou University; Monash University</t>
  </si>
  <si>
    <t>Wu, J (corresponding author), Guizhou Univ, Coll Comp Sci &amp; Technol, State Key Lab Publ Big Data, Guiyang 550025, Peoples R China.;Xiao, CW (corresponding author), Second Peoples Hosp Huaihua, Huaihua 418000, Peoples R China.;Wu, J (corresponding author), Monash Univ Melbourne, Res Ctr Artificial Intelligence, Clayton, Vic 3800, Australia.</t>
  </si>
  <si>
    <t>gff8221@163.com; markliu8899@163.com; xcw6123302@sina.com; jiawu5110@163.com</t>
  </si>
  <si>
    <t>WU, Jia/V-1766-2019; Gou, Fangfang/LFR-5661-2024</t>
  </si>
  <si>
    <t>WU, Jia/0000-0001-9013-0818</t>
  </si>
  <si>
    <t>2075-4418</t>
  </si>
  <si>
    <t>Diagnostics</t>
  </si>
  <si>
    <t>10.3390/diagnostics14141472</t>
  </si>
  <si>
    <t>ZQ0C6</t>
  </si>
  <si>
    <t>WOS:001276633600001</t>
  </si>
  <si>
    <t>Boyer, B</t>
  </si>
  <si>
    <t>Boyer, Bruno</t>
  </si>
  <si>
    <t>Screening mammography: What place for artificial intelligence?</t>
  </si>
  <si>
    <t>IMAGERIE DE LA FEMME</t>
  </si>
  <si>
    <t>Mammography; Artificial intelligence; AI; Screening; Cancer; Breast</t>
  </si>
  <si>
    <t>COMPUTER-AIDED DETECTION; CANCER</t>
  </si>
  <si>
    <t>The purpose of artificial intelligence in mammography is to improve the radiologist's performance. In this article, organized in questions and answers, the author reminds recent progress of artificial intelligence compared with computer -aided detection. The impact of artificial intelligence on two- and three-dimensional imaging is evaluated and scenarios of integration of artificial intelligence in breast cancer screening is described. (c) 2024 Elsevier Masson SAS. All rights reserved.</t>
  </si>
  <si>
    <t>[Boyer, Bruno] Cabinet Radiol, 6 Pl Italie, F-75013 Paris, France</t>
  </si>
  <si>
    <t>Boyer, B (corresponding author), Cabinet Radiol, 6 Pl Italie, F-75013 Paris, France.</t>
  </si>
  <si>
    <t>bboyer6120@gmail.com</t>
  </si>
  <si>
    <t>ELSEVIER MASSON, CORP OFF</t>
  </si>
  <si>
    <t>65 CAMILLE DESMOULINS CS50083 ISSY-LES-MOULINEAUX, 92442 PARIS, FRANCE</t>
  </si>
  <si>
    <t>1776-9817</t>
  </si>
  <si>
    <t>2214-8485</t>
  </si>
  <si>
    <t>IMAG FEMME</t>
  </si>
  <si>
    <t>Imag. Femme</t>
  </si>
  <si>
    <t>10.1016/j.femme.2023.12.002</t>
  </si>
  <si>
    <t>NC3W4</t>
  </si>
  <si>
    <t>WOS:001198220800001</t>
  </si>
  <si>
    <t>Gojakovic, AL; Graca, N</t>
  </si>
  <si>
    <t>Gojakovic, Ana Lucija; Graca, Nebojsa</t>
  </si>
  <si>
    <t>The Impact of Human-Artificial Intelligence Collaboration on Innovation Activities in Knowledge-Intensive Companies</t>
  </si>
  <si>
    <t>artificial intelligence; knowledge-intensive companies; research and development; innovation; knowledge management</t>
  </si>
  <si>
    <t>BUSINESS SERVICES; BEHAVIOR</t>
  </si>
  <si>
    <t>Researching the impact of artificial intelligence (AI) on innovation activities in knowledge-intensive companies (KICs), the authors use a systematic approach in observing innovative entities. Scientific observation begins with an innovation ecosystem that is treated as a global innovative entity. In addition to the innovation ecosystem, the first part of the paper focuses on KICs. KICs are analysed as a subsystem of the global innovation ecosystem, on the one hand, and as a unique innovation system made up of numerous subsystems, on the other hand. Innovation activities in KICs are the next innovative entity of scientific observation. At the same time, they represent a subsystem in KICs and a special system made up of interconnected subsystems. Subsystems of innovation activities are also treated as unique systems made up of other subsystems. In order to respond to the requirements defined in the title of the paper, the authors specifically analyse research and development (R&amp;D), and newly created knowledge (innovative output) as subsystems of innovation activities. At the end of the first part of the paper, the authors sublimate the conclusions related to AI as an innovative entity. AI is also viewed dual: as a subsystem of innovation activities (part of newly created knowledge), and as a resource for generating new inventions. Using this finding, in the second part of the paper, the authors state that AI will certainly cause changes in all subsystems in KICs. The most dominant will be changes in: human capital, knowledge and skills of knowledge workers, and the structure of team. The aforementioned changes will redefine innovation activities and their subsystems. Influenced by the trend of these changes, AI will influence changes in management practices in KICs. The impact of AI as a new resource in generating new inventions will have effects not only on KICs, but also on the global innovation ecosystem, as a starting point for researching the impact of human-AI collaboration on innovation activities in KICs.</t>
  </si>
  <si>
    <t>10.34190/EAIR.21.038</t>
  </si>
  <si>
    <t>WOS:000838033200006</t>
  </si>
  <si>
    <t>Stancu, MS; Dutescu, A</t>
  </si>
  <si>
    <t>Stancu, Mirela Simina; Dutescu, Adriana</t>
  </si>
  <si>
    <t>The impact of the Artificial Intelligence on the accounting profession, a literature's assessment</t>
  </si>
  <si>
    <t>PROCEEDINGS OF THE INTERNATIONAL CONFERENCE ON BUSINESS EXCELLENCE</t>
  </si>
  <si>
    <t>15th International Conference on Business Excellence (ICBE) - Digital Economy and New Value Creation</t>
  </si>
  <si>
    <t>MAR 18-19, 2021</t>
  </si>
  <si>
    <t>Bucharest Univ Econ Studies, UNESCO Dept Business Adm, Fac Business Adm</t>
  </si>
  <si>
    <t>Artificial Intelligence; Accounting profession; Accounting education; Digitalization</t>
  </si>
  <si>
    <t>Artificial Intelligence is changing the reality of the accounting field, on a rapid way, due to the benefit of improving and reshaping the actual way of performing activities on this domain. Over the years accounting has changed significantly by replacing the work with paper and pencil first with computers, but more importantly with programmes able to decrease time spend on repetitive work that reduce the amount of errors. The interest on Artificial Intelligence solutions in this domain is not new but on the last years researchers become more focused on it. Despite the material progress there seems to be not enough data to support companies' willingness to embed Artificial Intelligence solutions into their accounting activities. Also, an important aspect of this reality is the capability of experts to adapt faster to the new status quo and to acquire the necessary skills to be able to work with Artificial Intelligence solutions and to overcome the fear of losing their jobs. This paper is focusing on understanding the impact of Artificial Intelligence solution in accounting by conducting a qualitative research based on relevant literature review, of the last years. This paper is highlighting the potential changes Artificial Intelligence can bring to the accounting jobs and the necessary steps to be taken in order to prepare for the new jobs, in which Artificial Intelligence solutions will be more present.</t>
  </si>
  <si>
    <t>[Stancu, Mirela Simina; Dutescu, Adriana] Bucharest Univ Econ Studies, Bucharest, Romania</t>
  </si>
  <si>
    <t>Stancu, MS (corresponding author), Bucharest Univ Econ Studies, Bucharest, Romania.</t>
  </si>
  <si>
    <t>mihaimirela15@stud.ase.ro; adriana.dutescu@ase.ro</t>
  </si>
  <si>
    <t>DUTESCU, ADRIANA/AAE-2034-2020</t>
  </si>
  <si>
    <t>Mihai, Mirela Simina/0000-0003-0875-3114</t>
  </si>
  <si>
    <t>BOGUMILA ZUGA 32A, WARSAW, MAZOVIA, POLAND</t>
  </si>
  <si>
    <t>2502-0226</t>
  </si>
  <si>
    <t>2558-9652</t>
  </si>
  <si>
    <t>P INT CONF BUS EXCEL</t>
  </si>
  <si>
    <t>Proc. Int. Conf. Bus. Excell.</t>
  </si>
  <si>
    <t>DEC 1</t>
  </si>
  <si>
    <t>10.2478/picbe-2021-0070</t>
  </si>
  <si>
    <t>YO5NF</t>
  </si>
  <si>
    <t>WOS:000747987000031</t>
  </si>
  <si>
    <t>Alansari, AK; Hamdan, A; Alareeni, B</t>
  </si>
  <si>
    <t>Alareeni, B; Hamdan, A</t>
  </si>
  <si>
    <t>Alansari, Atheer Khalid; Hamdan, Allam; Alareeni, Bahaaeddin</t>
  </si>
  <si>
    <t>How Artificial Intelligence Revolutionizing Digital Marketing</t>
  </si>
  <si>
    <t>IMPACT OF ARTIFICIAL INTELLIGENCE, AND THE FOURTH INDUSTRIAL REVOLUTION ON BUSINESS SUCCESS</t>
  </si>
  <si>
    <t>Lecture Notes in Networks and Systems</t>
  </si>
  <si>
    <t>International Conference on Business and Technology (ICBT)</t>
  </si>
  <si>
    <t>NOV 06-07, 2021</t>
  </si>
  <si>
    <t>EuroMid Acad Business &amp; Technol</t>
  </si>
  <si>
    <t>Artificial intelligence; Digital marketing; Bahrain</t>
  </si>
  <si>
    <t>In the last decade, the use of Artificial intelligence in the digitalmarketing has remarkably increased. Although it is a push for digital marketers, in fact, all applications of artificial intelligence affected the complexity of maintaining business competitiveness. The author aim to investigate the new techniques of maintaining competition and insure efficient usage of AI at its full potential. Thus, this qualitative study analyses what strategies could be used to succeed and standout from other digital marketers while considering what AI brought in new insights into the digital marketing field.</t>
  </si>
  <si>
    <t>[Alansari, Atheer Khalid] Coll Business &amp; Finance, MBA, Manama, Bahrain; [Hamdan, Allam] Ahlia Univ, Manama, Bahrain; [Alareeni, Bahaaeddin] Middle East Tech Univ METU Turkey, Northern Cyprus Campus, Kapouti, Turkiye</t>
  </si>
  <si>
    <t>Ahlia University Bahrain</t>
  </si>
  <si>
    <t>Hamdan, A (corresponding author), Ahlia Univ, Manama, Bahrain.</t>
  </si>
  <si>
    <t>allamh3@hotmail.com</t>
  </si>
  <si>
    <t>Hamdan, Allam/T-5157-2019; Alareeni, Bahaaeddin/M-5896-2014</t>
  </si>
  <si>
    <t>Alansari, Prof. Khalid/0000-0001-8173-541X</t>
  </si>
  <si>
    <t>2367-3370</t>
  </si>
  <si>
    <t>2367-3389</t>
  </si>
  <si>
    <t>978-3-031-08093-7; 978-3-031-08092-0</t>
  </si>
  <si>
    <t>LECT NOTE NETW SYST</t>
  </si>
  <si>
    <t>10.1007/978-3-031-08093-7_13</t>
  </si>
  <si>
    <t>Business; Computer Science, Artificial Intelligence; Computer Science, Software Engineering; Management</t>
  </si>
  <si>
    <t>BU4AZ</t>
  </si>
  <si>
    <t>WOS:000894628000013</t>
  </si>
  <si>
    <t>Freire, A; Porcaro, L; Gómez, E</t>
  </si>
  <si>
    <t>Lamba, D; Hsu, WH</t>
  </si>
  <si>
    <t>Freire, Ana; Porcaro, Lorenzo; Gomez, Emilia</t>
  </si>
  <si>
    <t>Measuring Diversity of Artificial Intelligence Conferences</t>
  </si>
  <si>
    <t>ARTIFICIAL INTELLIGENCE DIVERSITY, BELONGING, EQUITY, AND INCLUSION, VOL 142</t>
  </si>
  <si>
    <t>Proceedings of Machine Learning Research</t>
  </si>
  <si>
    <t>2nd Workshop on Artificial Intelligence Diversity, Belonging, Equity, and Inclusion (AIDBEI)</t>
  </si>
  <si>
    <t>FEB09, 2021</t>
  </si>
  <si>
    <t>Diversity; Artificial Intelligence; Diversity Indicators; Gender</t>
  </si>
  <si>
    <t>The lack of diversity of the Artificial Intelligence (AI) field is nowadays a concern, and several initiatives such as funding schemes and mentoring programs have been designed to overcome it. However, there is no indication on how these initiatives actually impact AI diversity in the short and long term. This work studies the concept of diversity in this particular context and proposes a small set of diversity indicators (i.e. indexes) of AI scientific events. These indicators are designed to quantify the diversity of the AI field and monitor its evolution. We consider diversity in terms of gender, geographical location and business (understood as the presence of academia versus industry). We compute these indicators for the different communities of a conference: authors, keynote speakers and organizing committee. From these components we compute a summarized diversity indicator for each AI event. We evaluate the proposed indexes for a set of recent major AI conferences and we discuss their values and limitations.</t>
  </si>
  <si>
    <t>[Freire, Ana; Porcaro, Lorenzo] Univ Pompeu Fabra, Roc Boronat 138, Barcelona 08018, Spain; [Gomez, Emilia] European Commiss, Joint Res Ctr, Edificio Expo,Calle Inca Garcilaso 3, Seville 41092, Spain</t>
  </si>
  <si>
    <t>Pompeu Fabra University</t>
  </si>
  <si>
    <t>Freire, A (corresponding author), Univ Pompeu Fabra, Roc Boronat 138, Barcelona 08018, Spain.</t>
  </si>
  <si>
    <t>ana.freire@upf.edu; lorenzo.porcaro@upf.edu; emilia.gomez@upf.edu</t>
  </si>
  <si>
    <t>Porcaro, Lorenzo/JBS-7521-2023</t>
  </si>
  <si>
    <t>Duque, Jorge/0000-0003-4939-6176; Porcaro, Lorenzo/0000-0003-0218-5187</t>
  </si>
  <si>
    <t>HUMAINT programme (Human Behaviour and Machine Intelligence); Centre for Advanced Studies, Joint Research Centre; European Commission (EC); Spanish Ministry of Economy and Competitiveness under the Maria de Maeztu Units of Excellence Programme [MDM-2015-0502]; EC under the TROMPA project [H2020 770376]</t>
  </si>
  <si>
    <t>HUMAINT programme (Human Behaviour and Machine Intelligence); Centre for Advanced Studies, Joint Research Centre; European Commission (EC)(European Union (EU)European Commission Joint Research Centre); Spanish Ministry of Economy and Competitiveness under the Maria de Maeztu Units of Excellence Programme(Spanish Government); EC under the TROMPA project</t>
  </si>
  <si>
    <t>This work has been partially supported by the HUMAINT programme (Human Behaviour and Machine Intelligence), Centre for Advanced Studies, Joint Research Centre, European Commission (EC) and the Spanish Ministry of Economy and Competitiveness under the Maria de Maeztu Units of Excellence Programme (MDM-2015-0502). Lorenzo Porcaro acknowledges financial support from the EC under the TROMPA project (H2020 770376).</t>
  </si>
  <si>
    <t>JMLR-JOURNAL MACHINE LEARNING RESEARCH</t>
  </si>
  <si>
    <t>SAN DIEGO</t>
  </si>
  <si>
    <t>1269 LAW ST, SAN DIEGO, CA, UNITED STATES</t>
  </si>
  <si>
    <t>2640-3498</t>
  </si>
  <si>
    <t>PR MACH LEARN RES</t>
  </si>
  <si>
    <t>Computer Science, Artificial Intelligence; Computer Science, Interdisciplinary Applications; Education, Scientific Disciplines</t>
  </si>
  <si>
    <t>BX0XZ</t>
  </si>
  <si>
    <t>WOS:001239929200005</t>
  </si>
  <si>
    <t>Guerrero-Solé, F; Ballester, C</t>
  </si>
  <si>
    <t>Guerrero-Sole, Frederic; Ballester, Coloma</t>
  </si>
  <si>
    <t>The impact of Generative Artificial Intelligence on the discipline of communication</t>
  </si>
  <si>
    <t>HIPERTEXT NET</t>
  </si>
  <si>
    <t>Artificial Intelligence; Communication; Digital creation; Generative Artificial Intelligence; OpenAI; ChatGPT; GenAI</t>
  </si>
  <si>
    <t>Artificial intelligence (AI) has made a radical breakthrough in the field of communication. From the release of Stability. ai's Stable Diffusion text-to-image program code and the popularization of other similar programs such as OpenAI's Dall-e, or MidJourney, to the development of editing tools such as Runway, sound creation tools such as Harmonai, or text and dialog creation tools such as GPT-3/4 and its most popular form, ChatGPT, the world of communication has experienced an intense shake-up, both at the academic and professional levels. There are many open debates about how AI will impact the future of audiovisual creation and production. This letters' monography aims to bring together the works of communication researchers who address the debate on how AI is transforming all aspects of digital content creation.</t>
  </si>
  <si>
    <t>[Guerrero-Sole, Frederic; Ballester, Coloma] Univ Pompeu Fabra, Barcelona, Spain</t>
  </si>
  <si>
    <t>Guerrero-Solé, F (corresponding author), Univ Pompeu Fabra, Barcelona, Spain.</t>
  </si>
  <si>
    <t>frederic.guerrero@upf.edu; coloma.ballester@upf.edu</t>
  </si>
  <si>
    <t>Ballester, Coloma/H-5255-2015</t>
  </si>
  <si>
    <t>Univ Pompeu Fabra, Dept Comunicacio</t>
  </si>
  <si>
    <t>Barcelona</t>
  </si>
  <si>
    <t>Roc Boronat 138, Barcelona, SPAIN</t>
  </si>
  <si>
    <t>1695-5498</t>
  </si>
  <si>
    <t>Hipertext Net</t>
  </si>
  <si>
    <t>10.31009/hipertext.net.2023.i26.01</t>
  </si>
  <si>
    <t>Communication; Information Science &amp; Library Science</t>
  </si>
  <si>
    <t>P5O3P</t>
  </si>
  <si>
    <t>WOS:001378397300001</t>
  </si>
  <si>
    <t>Hadzovic, S; Becirspahic, L; Mrdovic, S</t>
  </si>
  <si>
    <t>Hadzovic, Suada; Becirspahic, Lejla; Mrdovic, Sasa</t>
  </si>
  <si>
    <t>It's time for artificial intelligence governance</t>
  </si>
  <si>
    <t>INTERNET OF THINGS</t>
  </si>
  <si>
    <t>Artificial intelligence; Internet of Things; Governance; Regulatory framework; AI strategy; Analytical hierarchy method; Regulatory impact assessment</t>
  </si>
  <si>
    <t>Advances in Internet of Things and Artificial Intelligence have transformed society with the po-tential to foster the prosperity of human beings and improving societal welfare. However, at the same time, there are concerns about their potential negative impact. In this regard, it is of utmost importance to establish a regulatory framework for the Artificial Intelligence and the Internet of Things that will ensure that human rights and fundamental freedoms are respected, promoted, and protected. In this sense, the goal of this article is to propose the Artificial Intelligence and the Internet of Things Governance model. To achieve a better regulation concept, for the Regulatory Impact Assessment we used the Analytical Hierarchy Process method.</t>
  </si>
  <si>
    <t>[Hadzovic, Suada; Becirspahic, Lejla; Mrdovic, Sasa] Fac Elect Engn, Sarajevo 71000, Bosnia &amp; Herceg</t>
  </si>
  <si>
    <t>University of Sarajevo</t>
  </si>
  <si>
    <t>Hadzovic, S (corresponding author), Fac Elect Engn, Sarajevo 71000, Bosnia &amp; Herceg.</t>
  </si>
  <si>
    <t>shadzovic@rak.ba</t>
  </si>
  <si>
    <t>Hadzovic, Suada/AAP-6252-2021; Mrdovic, Sasa/AAD-5169-2019</t>
  </si>
  <si>
    <t>Hadzovic, Suada/0000-0002-1204-6175; Mrdovic, Sasa/0000-0001-9783-4818</t>
  </si>
  <si>
    <t>Declaration of competing interest The authors declare that they have no known competing financial interests or personal relationships that could have appeared to influence the work reported in this paper</t>
  </si>
  <si>
    <t>2543-1536</t>
  </si>
  <si>
    <t>2542-6605</t>
  </si>
  <si>
    <t>INTERNET THINGS-NETH</t>
  </si>
  <si>
    <t>Internet Things</t>
  </si>
  <si>
    <t>OCT</t>
  </si>
  <si>
    <t>10.1016/j.iot.2024.101292</t>
  </si>
  <si>
    <t>A2O0S</t>
  </si>
  <si>
    <t>WOS:001280963100001</t>
  </si>
  <si>
    <t>Li, XL; Zhang, XY; Liu, Y; Mi, YY; Chen, Y</t>
  </si>
  <si>
    <t>Li, Xueling; Zhang, Xiaoyan; Liu, Yuan; Mi, Yuanying; Chen, Yong</t>
  </si>
  <si>
    <t>The impact of artificial intelligence on users' entrepreneurial activities</t>
  </si>
  <si>
    <t>artificial intelligence; entrepreneurial activities; user entrepreneurship</t>
  </si>
  <si>
    <t>BIG DATA; DATA ANALYTICS; INNOVATION; FUTURE; PRODUCTS; IDEAS</t>
  </si>
  <si>
    <t>This study explores the impact of artificial intelligence (AI) on user entrepreneurs, driving factors and user entrepreneurship process combined with its characteristics and development trends. Moreover, this study sorts out the logic of user entrepreneurship change in the AI era. This study achieves four findings. First, AI contributes to entrepreneurs by collecting large user data and intelligently analysing them to obtain optimal entrepreneurial judgements and decisions. Second, entrepreneurs may use AI systems to understand users' potential needs and get user demand information (e.g. more accurate and more major shortcomings of the products). Third, AI assists entrepreneurs in obtaining robust data of product users, including leading and ordinary users, for a wider audience. Fourth, AI replaces the original intergenerational product replacement model with intermittent and periodic characteristics for entrepreneurial activities and reforms the three-stage user entrepreneurial process: product element deconstruction, product verification matching and innovative product commercialization. This study provides a feasible direction for the key research issues.</t>
  </si>
  <si>
    <t>[Li, Xueling; Zhang, Xiaoyan; Liu, Yuan; Mi, Yuanying] Jilin Univ, Sch Business &amp; Management, 2699 Qianjin St, Changchun 130022, Peoples R China; [Chen, Yong] Texas A&amp;M Int Univ, Sch Business, Laredo, TX USA</t>
  </si>
  <si>
    <t>Jilin University; Texas A&amp;M University System; Texas A&amp;M International University</t>
  </si>
  <si>
    <t>Zhang, XY (corresponding author), Jilin Univ, Sch Business &amp; Management, 2699 Qianjin St, Changchun 130022, Peoples R China.</t>
  </si>
  <si>
    <t>1135025259@qq.com</t>
  </si>
  <si>
    <t>Zhang, Xiaoyan/0000-0001-5367-3223</t>
  </si>
  <si>
    <t>Natural Science Foundation of China [71872068, 72091310-72091315]; Social Science Foundation of Jilin Province [2020A06]; 2021 Jilin University New Liberal Arts Innovation Team Project Postgraduate Education and Teaching Reform Project of Jilin University [2021JGZ11]</t>
  </si>
  <si>
    <t>Natural Science Foundation of China(National Natural Science Foundation of China (NSFC)); Social Science Foundation of Jilin Province; 2021 Jilin University New Liberal Arts Innovation Team Project Postgraduate Education and Teaching Reform Project of Jilin University</t>
  </si>
  <si>
    <t>This research was supported by the Natural Science Foundation of China (Grants 71872068 and 72091310-72091315), Social Science Foundation of Jilin Province (Grant 2020A06), the 2021 Jilin University New Liberal Arts Innovation Team Project Postgraduate Education and Teaching Reform Project of Jilin University (Grant 2021JGZ11).</t>
  </si>
  <si>
    <t>10.1002/sres.2854</t>
  </si>
  <si>
    <t>WOS:000802001800001</t>
  </si>
  <si>
    <t>Al-Sayed, R; Yang, JH</t>
  </si>
  <si>
    <t>Al-Sayed, Rafif; Yang, Jianhua</t>
  </si>
  <si>
    <t>Artificial Intelligence Policy in China: Implications and Challenges</t>
  </si>
  <si>
    <t>Artificial Intelligence; Chinese Innovation Policy; Made in China 2025; Chinese Robotics Industry</t>
  </si>
  <si>
    <t>The paper investigates China's ambitious policy to build a solid foundation for the development of Artificial Intelligence and its applications, thus aspiring to become the world's premier innovation center by 2030. However, several challenges affect China's potential to enhance its capabilities and international competitiveness. The core theme of the study is to develop a better understanding of China's policy for the development of Artificial Intelligence, its implications and the factors affecting this policy. The methodology used quantitative approach to analyze the development in this sector, extract the most important factors affecting its policy and define the ecosystem framework. The paper also discusses China's development of robotics in a smart manufacturing ecosystem as a key policy element in achieving a competitive edge in this domain.</t>
  </si>
  <si>
    <t>[Al-Sayed, Rafif; Yang, Jianhua] Univ Sci &amp; Technol Beijing, Beijing, Peoples R China</t>
  </si>
  <si>
    <t>University of Science &amp; Technology Beijing</t>
  </si>
  <si>
    <t>Al-Sayed, R (corresponding author), Univ Sci &amp; Technol Beijing, Beijing, Peoples R China.</t>
  </si>
  <si>
    <t>raf@rafifalsayed.net; yangjh@ustb.edi.cn</t>
  </si>
  <si>
    <t>10.34190/ECIAIR.19.079</t>
  </si>
  <si>
    <t>WOS:000539633500002</t>
  </si>
  <si>
    <t>Yeasmin, S</t>
  </si>
  <si>
    <t>Yeasmin, Samira</t>
  </si>
  <si>
    <t>Benefits of Artificial Intelligence in Medicine</t>
  </si>
  <si>
    <t>2019 2ND INTERNATIONAL CONFERENCE ON COMPUTER APPLICATIONS &amp; INFORMATION SECURITY (ICCAIS)</t>
  </si>
  <si>
    <t>2nd International Conference on Computer Applications and Information Security (ICCAIS)</t>
  </si>
  <si>
    <t>MAY 01-03, 2019</t>
  </si>
  <si>
    <t>Riyadh, SAUDI ARABIA</t>
  </si>
  <si>
    <t>IEEE,IEEE Reg 8,Saudi Comp Soc,IEEE Saudi Arabia Sect</t>
  </si>
  <si>
    <t>artificial intelligence; medicine; clinical diagnosis; treatment; human errors; health</t>
  </si>
  <si>
    <t>Artificial intelligence is one of the most discussed topics of the present time. The burning question of today about artificial intelligence is will it be beneficial or dangerous for a human being. This research paper analyzes the benefits of artificial intelligence in medicine. It examines how artificial intelligence assists the medical field as well as how patient's health is affected using this popular phenomenon in diagnosing diseases, patient's treatment, reducing errors, and virtually being present with the patients. Finally, the paper reveals how artificial intelligence may have an impact on medical science. A survey was conducted to learn about people's perspective towards artificial intelligence in medicine and the results are shared in the paper.</t>
  </si>
  <si>
    <t>[Yeasmin, Samira] Al Yamamah Univ Riyadh, Coll Engn &amp; Architecture, Riyadh, Saudi Arabia</t>
  </si>
  <si>
    <t>Al-Yamamah University</t>
  </si>
  <si>
    <t>Yeasmin, S (corresponding author), Al Yamamah Univ Riyadh, Coll Engn &amp; Architecture, Riyadh, Saudi Arabia.</t>
  </si>
  <si>
    <t>samira.yeasmin@ieee.org</t>
  </si>
  <si>
    <t>Yeasmin, Samira/AAI-4617-2020</t>
  </si>
  <si>
    <t>Yeasmin, Samira/0000-0001-8547-6320</t>
  </si>
  <si>
    <t>978-1-7281-0108-8</t>
  </si>
  <si>
    <t>Computer Science, Information Systems; Computer Science, Interdisciplinary Applications</t>
  </si>
  <si>
    <t>BO0SK</t>
  </si>
  <si>
    <t>WOS:000493114600107</t>
  </si>
  <si>
    <t>Li, H; Xu, Y; Duan, WH; Xiao, RJ; Weng, HM</t>
  </si>
  <si>
    <t>Li, He; Xu, Yong; Duan, Wenhui; Xiao, Ruijuan; Weng, Hongming</t>
  </si>
  <si>
    <t>Artificial intelligence and data-driven computational simulation</t>
  </si>
  <si>
    <t>SCIENTIA SINICA-PHYSICA MECHANICA &amp; ASTRONOMICA</t>
  </si>
  <si>
    <t>Chinese</t>
  </si>
  <si>
    <t>computational physics; artificial intelligence; data-driven</t>
  </si>
  <si>
    <t>Big data + artificial intelligence represents a novel research paradigm that will have a profound impact on future scientific research. In the field of computational physics, artificial intelligence and data-driven approaches are fostering the formation of new methodologies, and consequently giving rise to new significant scientific problems. This article will explore the emerging research area of artificial intelligence and data-driven computational simulations, review related research progress, and provide a perspective on future developments.</t>
  </si>
  <si>
    <t>[Li, He; Xu, Yong; Duan, Wenhui] Tsinghua Univ, Dept Phys, Beijing 100084, Peoples R China; [Xiao, Ruijuan; Weng, Hongming] Chinese Acad Sci, Inst Phys, Beijing 100190, Peoples R China</t>
  </si>
  <si>
    <t>Tsinghua University; Chinese Academy of Sciences; Institute of Physics, CAS</t>
  </si>
  <si>
    <t>Xu, Y (corresponding author), Tsinghua Univ, Dept Phys, Beijing 100084, Peoples R China.;Xiao, RJ; Weng, HM (corresponding author), Chinese Acad Sci, Inst Phys, Beijing 100190, Peoples R China.</t>
  </si>
  <si>
    <t>yongxu@mail.tsinghua.edu.cn; rjxiao@iphy.ac.cn; hmweng@iphy.ac.cn</t>
  </si>
  <si>
    <t>Xiao, Ruijuan/B-4739-2010; Li, He/G-8294-2018</t>
  </si>
  <si>
    <t>SCIENCE PRESS</t>
  </si>
  <si>
    <t>BEIJING</t>
  </si>
  <si>
    <t>16 DONGHUANGCHENGGEN NORTH ST, BEIJING 100717, PEOPLES R CHINA</t>
  </si>
  <si>
    <t>1674-7275</t>
  </si>
  <si>
    <t>2095-9478</t>
  </si>
  <si>
    <t>SCI SIN-PHYS MECH AS</t>
  </si>
  <si>
    <t>Sci. Sin.-Phys. Mech. Astron.</t>
  </si>
  <si>
    <t>10.1360/SSPMA-2024-0030</t>
  </si>
  <si>
    <t>Astronomy &amp; Astrophysics; Physics, Multidisciplinary</t>
  </si>
  <si>
    <t>Astronomy &amp; Astrophysics; Physics</t>
  </si>
  <si>
    <t>A0J5I</t>
  </si>
  <si>
    <t>WOS:001279489400001</t>
  </si>
  <si>
    <t>Wang, YJ</t>
  </si>
  <si>
    <t>Liang, Z; Li, X</t>
  </si>
  <si>
    <t>Wang, Yingjie</t>
  </si>
  <si>
    <t>Development and Application of Artificial Intelligence</t>
  </si>
  <si>
    <t>PROCEEDINGS OF THE 4TH INTERNATIONAL CONFERENCE ON MECHATRONICS, MATERIALS, CHEMISTRY AND COMPUTER ENGINEERING 2015 (ICMMCCE 2015)</t>
  </si>
  <si>
    <t>ACSR-Advances in Computer Science Research</t>
  </si>
  <si>
    <t>4th International Conference on Mechatronics, Materials, Chemistry and Computer Engineering (ICMMCCE)</t>
  </si>
  <si>
    <t>DEC 12-13, 2015</t>
  </si>
  <si>
    <t>Xian, PEOPLES R CHINA</t>
  </si>
  <si>
    <t>Artificial Intelligence; Robotics; Learning System</t>
  </si>
  <si>
    <t>Since the successes of the Artificial Intelligence might increasingly impact on multiple subjects in new millennium, it is necessary to write a summary of the recent development of this technology. This paper refined four essential and important aspects of the Artificial Intelligence, summarized both successful cases and the viewpoints of researchers, and evaluated the cases on different laterals. Development of autonomous agent in the application areas, such as self-driving car and robotics should improve their performance. Biological computer technology with intelligence might be playing a key role in Computer Science area in future.</t>
  </si>
  <si>
    <t>[Wang, Yingjie] Dalian Univ, Coll Informat Engn, Dalian 116622, Peoples R China; [Wang, Yingjie] Dalian Univ Technol, Software Sch, Dalian 116621, Peoples R China</t>
  </si>
  <si>
    <t>Dalian University; Dalian University of Technology</t>
  </si>
  <si>
    <t>Wang, YJ (corresponding author), Dalian Univ, Coll Informat Engn, Dalian 116622, Peoples R China.</t>
  </si>
  <si>
    <t>yingjiewang2008@163.com</t>
  </si>
  <si>
    <t>2352-538X</t>
  </si>
  <si>
    <t>978-94-6252-133-9</t>
  </si>
  <si>
    <t>ACSR ADV COMPUT</t>
  </si>
  <si>
    <t>Engineering, Electrical &amp; Electronic; Engineering, Mechanical; Materials Science, Multidisciplinary</t>
  </si>
  <si>
    <t>Engineering; Materials Science</t>
  </si>
  <si>
    <t>BE5OR</t>
  </si>
  <si>
    <t>WOS:000373157301057</t>
  </si>
  <si>
    <t>Leao, CP; Gonçalves, P; Cepeda, T; Botelho, L; Silva, C</t>
  </si>
  <si>
    <t>JardimGoncalves, R; Mendonca, JP; Jotsov, V; Marques, M; Martins, J; Bierwolf, R</t>
  </si>
  <si>
    <t>Leao, Celina Pinto; Goncalves, Pedro; Cepeda, Tiago; Botelho, Lourenco; Silva, Carlos</t>
  </si>
  <si>
    <t>Study of the Knowledge and Impact of Artificial Intelligence on an Academic Community</t>
  </si>
  <si>
    <t>2018 9TH INTERNATIONAL CONFERENCE ON INTELLIGENT SYSTEMS (IS)</t>
  </si>
  <si>
    <t>9th International Conference on Intelligent Systems (IS)</t>
  </si>
  <si>
    <t>SEP 25-27, 2018</t>
  </si>
  <si>
    <t>Funchal, PORTUGAL</t>
  </si>
  <si>
    <t>IEEE Technol &amp; Engn Management Soc,Univ NOVA Lisboa, Faculdade Ciencias Tecnologia,Uninova,GRIS,Energy Efficiency Res Grp,Univ Minho</t>
  </si>
  <si>
    <t>Artificial Intelligence; Survey; Gender; Academic community</t>
  </si>
  <si>
    <t>The lack of an established and universally accepted definition for Artificial Intelligence (AI) leads to a nonexistence of ideological boundaries which, by itself, partly explains its current fast-growing rate. The Nils J. Nilsson AI's definition stated that Artificial Intelligence is ... an activity dedicated to the construction of intelligent machines while Intelligence itself is (...) the quality that allows an entity to work properly provisioned within its environment. However, the lack of consensus related to the definition of AI does not mean by itself that public opinion on the matter is also divided. In that sense, the present paper aims to study the knowledge and impact of AI on an academic community. The objectives of the study are to (i) understand which are the means used to collect information regarding AI (ii) identify the depth of knowledge amongst the respondents, (iii) identify the perceptions about AI's applications and impacts on society. Based on a sample of 89 respondents, the results highlighted a connection between the educational stage and the AI knowledge. In fact, respondents with higher academic backgrounds showed deeper knowledge on AI, also recognizing current worldwide projects on Robotics. At the same time, and about AI's social, economical and technological aspects, different views towards the awareness were obtained. No association of these characteristics with gender. The preliminary results show that Artificial Intelligence is relevant for further studies and, with a large sample, could enable a deeper understanding of the impacts of technological evolution in the field of robotics.</t>
  </si>
  <si>
    <t>[Leao, Celina Pinto] Univ Minho, ALGORITMI Res Ctr, Guimaraes, Portugal; [Goncalves, Pedro; Cepeda, Tiago; Botelho, Lourenco; Silva, Carlos] Univ Minho, Guimaraes, Portugal</t>
  </si>
  <si>
    <t>Universidade do Minho; Universidade do Minho</t>
  </si>
  <si>
    <t>Leao, CP (corresponding author), Univ Minho, ALGORITMI Res Ctr, Guimaraes, Portugal.</t>
  </si>
  <si>
    <t>celinapleao@ieee.org; pg23834@alunos.uminho.pt; pg33029@alunos.uminho.pt; pg30343@alunos.uminho.pt; pg33026@alunos.uminho.pt</t>
  </si>
  <si>
    <t>Leao, Celina P./A-1673-2012</t>
  </si>
  <si>
    <t>Leao, Celina P./0000-0003-3725-5771</t>
  </si>
  <si>
    <t>978-1-5386-7097-2</t>
  </si>
  <si>
    <t>Computer Science, Artificial Intelligence; Computer Science, Information Systems; Computer Science, Theory &amp; Methods</t>
  </si>
  <si>
    <t>BM8LN</t>
  </si>
  <si>
    <t>WOS:000469337900130</t>
  </si>
  <si>
    <t>Liu, J</t>
  </si>
  <si>
    <t>Liu, Joe</t>
  </si>
  <si>
    <t>THE HUMAN IMPACT ON ARBITRATION IN THE EMERGING ERA OF ARTIFICIAL INTELLIGENCE</t>
  </si>
  <si>
    <t>CONTEMPORARY ASIA ARBITRATION JOURNAL</t>
  </si>
  <si>
    <t>artificial intelligence; AI; human impact; human input; human value; legal counsel; arbitrators; arbitration</t>
  </si>
  <si>
    <t>This paper addresses the value of human input in arbitration while recognizing the growing impact of artificial intelligence (hereinafter AI) on legal work. In doing so, this article examines the benefits and risks of using AI in arbitration, followed by a detailed analysis of how different human qualities of legal counsel and arbitrators contribute to the positive impact they make on the arbitral process and outcome. Based on this analysis, the article considers the practicality of relying on AI in replacement of various human roles in arbitration and concludes that it is infeasible and challenging to do so, particularly in complex disputes, given the inherent limitations of AI. The key point is that certain human inputs are essential and irreplicable in arbitration but there is scope for using AI technology to enhance human capabilities and improve the overall arbitration system.</t>
  </si>
  <si>
    <t>[Liu, Joe] vice chair ARIAS Asia, Tashkent, Uzbekistan; [Liu, Joe] Court Arbitrat Tashkent Int Arbitrat Ctr, Tashkent, Uzbekistan; [Liu, Joe] ERA Pledge Asia Pacific Subcommitte, Kuala Lumpur, Malaysia; [Liu, Joe] eBRAM Int Online Dispute Resolut Ctr, Rules Comm, Hong Kong, Peoples R China; [Liu, Joe] Gen Hong Kong Int Arbitrat Ctr, Hong Kong, Peoples R China</t>
  </si>
  <si>
    <t>Liu, J (corresponding author), vice chair ARIAS Asia, Tashkent, Uzbekistan.;Liu, J (corresponding author), Court Arbitrat Tashkent Int Arbitrat Ctr, Tashkent, Uzbekistan.;Liu, J (corresponding author), ERA Pledge Asia Pacific Subcommitte, Kuala Lumpur, Malaysia.;Liu, J (corresponding author), eBRAM Int Online Dispute Resolut Ctr, Rules Comm, Hong Kong, Peoples R China.;Liu, J (corresponding author), Gen Hong Kong Int Arbitrat Ctr, Hong Kong, Peoples R China.</t>
  </si>
  <si>
    <t>jliu@jliudisputes.com</t>
  </si>
  <si>
    <t>ASIAN CENTER WTO &amp; INT HEALTH LAW &amp; POLICY, COLL LAW</t>
  </si>
  <si>
    <t>TAIPEI</t>
  </si>
  <si>
    <t>NATL TAIWAN UNIV-ACWH, NO 1, SEC 4, ROOSEVELT RD, TAIPEI, 106, TAIWAN</t>
  </si>
  <si>
    <t>1999-9747</t>
  </si>
  <si>
    <t>CONTEMP ASIA ARBITAT</t>
  </si>
  <si>
    <t>Contemp. Asia Arbitat. J.</t>
  </si>
  <si>
    <t>UT5A4</t>
  </si>
  <si>
    <t>WOS:001250310400004</t>
  </si>
  <si>
    <t>Iliescu, DMD</t>
  </si>
  <si>
    <t>Iliescu, Delia Monica Duca</t>
  </si>
  <si>
    <t>The Impact of Artificial Intelligence on the Chess World</t>
  </si>
  <si>
    <t>JMIR SERIOUS GAMES</t>
  </si>
  <si>
    <t>artificial intelligence; games; chess; AlphaZero; MuZero; cheat detection; coronavirus</t>
  </si>
  <si>
    <t>This paper focuses on key areas in which artificial intelligence has affected the chess world, including cheat detection methods, which are especially necessary recently, as there has been an unexpected rise in the popularity of online chess. Many major chess events that were to take place in 2020 have been canceled, but the global popularity of chess has in fact grown in recent months due to easier conversion of the game from offline to online formats compared with other games. Still, though a game of chess can be easily played online, there are some concerns about the increased chances of cheating. Artificial intelligence can address these concerns.</t>
  </si>
  <si>
    <t>[Iliescu, Delia Monica Duca] Transilvania Univ Brasov, Bdul Eroilor 29, Brasov, Romania</t>
  </si>
  <si>
    <t>Transylvania University of Brasov</t>
  </si>
  <si>
    <t>Iliescu, DMD (corresponding author), Transilvania Univ Brasov, Bdul Eroilor 29, Brasov, Romania.</t>
  </si>
  <si>
    <t>delia.duca@unitbv.ro</t>
  </si>
  <si>
    <t>Duca Iliescu, Delia/AAF-3813-2021</t>
  </si>
  <si>
    <t>DUCA ILIESCU, Delia Monica/0000-0001-6767-5561</t>
  </si>
  <si>
    <t>JMIR PUBLICATIONS, INC</t>
  </si>
  <si>
    <t>TORONTO</t>
  </si>
  <si>
    <t>130 QUEENS QUAY East, Unit 1100, TORONTO, ON M5A 0P6, CANADA</t>
  </si>
  <si>
    <t>2291-9279</t>
  </si>
  <si>
    <t>JMIR Serious Games</t>
  </si>
  <si>
    <t>e24049</t>
  </si>
  <si>
    <t>10.2196/24049</t>
  </si>
  <si>
    <t>Health Care Sciences &amp; Services; Public, Environmental &amp; Occupational Health; Medical Informatics</t>
  </si>
  <si>
    <t>RB7DQ</t>
  </si>
  <si>
    <t>WOS:000632268800010</t>
  </si>
  <si>
    <t>Vinichenko, MV; Frolova, EV; Nikiporets-Takigawa, GY; Karácsony, P</t>
  </si>
  <si>
    <t>Vinichenko, Mikhail Vasilievich; Frolova, Elena Viktorovna; Nikiporets-Takigawa, Galina Yurievna; Karacsony, Peter</t>
  </si>
  <si>
    <t>INTERPRETATION OF THE VIEWS OF EAST EUROPEAN CATHOLICS ON THE IMPACT OF ARTIFICIAL INTELLIGENCE ON THE SOCIAL ENVIRONMENT</t>
  </si>
  <si>
    <t>EUROPEAN JOURNAL OF SCIENCE AND THEOLOGY</t>
  </si>
  <si>
    <t>artificial intelligence; status; person; personal; space</t>
  </si>
  <si>
    <t>ORTHODOXY</t>
  </si>
  <si>
    <t>The article studies the impact of artificial intelligence on the social environment as seen by East European Catholics. The Hungarian, Russian and Slovak Catholics have both similar and different ideas on the impact of artificial intelligence on the social environment. The authors have revealed different views of the Russian and Hungarian-Slovak Catholics on the fundamental possibility of replacing a person with artificial intelligence. They have also found common ground between the supporters of artificial intelligence and its opponents. The article is the first to conduct a comparative analysis of the views of Catholics living in Eastern Europe on the impact of artificial intelligence on the person's status and personal space. The article is relevant since it strives to solve the problems related to the use of artificial intelligence in the social environment based on the opinion of the representatives of one of the world's leading religions - Catholicism.</t>
  </si>
  <si>
    <t>[Vinichenko, Mikhail Vasilievich; Frolova, Elena Viktorovna; Nikiporets-Takigawa, Galina Yurievna] Russian State Social Univ, Bldg 1 Wilhelm Pieck St 4, Moscow 129226, Russia; [Nikiporets-Takigawa, Galina Yurievna] Univ Cambridge, Old Sch, Trinity Lane, Cambridge CB2 1TN, England; [Karacsony, Peter] Univ Selye Janos, Fac Econ &amp; Informat, Bratislavska Cesta 3322, Komarno 94501, Slovakia</t>
  </si>
  <si>
    <t>Russian State Social University (RSSU); University of Cambridge; J. Selye University</t>
  </si>
  <si>
    <t>Vinichenko, MV (corresponding author), Russian State Social Univ, Bldg 1 Wilhelm Pieck St 4, Moscow 129226, Russia.</t>
  </si>
  <si>
    <t>m.v.vinichenko@mail.ru</t>
  </si>
  <si>
    <t>Karacsony, Peter/AAG-9892-2021; Nikiporets-Takigawa, Galina/M-1230-2015; Frolova, Elena/C-8429-2016</t>
  </si>
  <si>
    <t>Frolova, Elena/0000-0002-8958-4561; Karacsony, Peter/0000-0001-7559-0488</t>
  </si>
  <si>
    <t>ACAD ORGANISATION ENVIRONMENTAL ENGINEERING &amp; SUSTAINABLE DEV</t>
  </si>
  <si>
    <t>IASI</t>
  </si>
  <si>
    <t>MANGERON BLVD NO 71A, PO 10, BOX 2111, IASI, 700050, ROMANIA</t>
  </si>
  <si>
    <t>1841-0464</t>
  </si>
  <si>
    <t>1842-8517</t>
  </si>
  <si>
    <t>EUR J SCI THEOL</t>
  </si>
  <si>
    <t>Eur. J. Sci. Theol.</t>
  </si>
  <si>
    <t>Religion</t>
  </si>
  <si>
    <t>QA5VS</t>
  </si>
  <si>
    <t>WOS:000613514100002</t>
  </si>
  <si>
    <t>Gutman, MJ; Schroeder, GD; Murphy, H; Flanders, AE; Vaccaro, AR</t>
  </si>
  <si>
    <t>Gutman, Michael J.; Schroeder, Gregory D.; Murphy, Hamadi; Flanders, Adam E.; Vaccaro, Alexander R.</t>
  </si>
  <si>
    <t>Artificial Intelligence in Spine Care</t>
  </si>
  <si>
    <t>CLINICAL SPINE SURGERY</t>
  </si>
  <si>
    <t>artificial intelligence; machine learning; spine; orthopedics; trauma; radiology</t>
  </si>
  <si>
    <t>INJURY CLASSIFICATION-SYSTEM; COMPUTER-AIDED DETECTION; NEURAL-NETWORKS; THORACOLUMBAR SPINE; LUMBAR SPINE; AUTOMATED DETECTION; CANCER</t>
  </si>
  <si>
    <t>Artificial intelligence is an exciting and growing field in medicine to assist in the proper diagnosis of patients. Although the use of artificial intelligence in orthopedics is currently limited, its utility in other fields has been extremely valuable and could be useful in orthopedics, especially spine care. Automated systems have the ability to analyze complex patterns and images, which will allow for enhanced analysis of imaging. Although the potential impact of artificial intelligence integration into spine care is promising, there are several limitations that must be overcome. Our goal is to review current advances that machine learning has been used for in orthopedics, and discuss potential application to spine care in the clinical setting in which there is a need for the development of automated systems.</t>
  </si>
  <si>
    <t>[Gutman, Michael J.; Schroeder, Gregory D.; Murphy, Hamadi; Vaccaro, Alexander R.] Thomas Jefferson Univ, Dept Orthopaed Surg, Rothman Orthopaed Inst, Philadelphia, PA 19107 USA; [Flanders, Adam E.] Thomas Jefferson Univ, Dept Radiol, Philadelphia, PA 19107 USA</t>
  </si>
  <si>
    <t>Thomas Jefferson University; Rothman Institute; Thomas Jefferson University</t>
  </si>
  <si>
    <t>Schroeder, GD (corresponding author), Thomas Jefferson Univ Hosp, Dept Orthopaed Surg, Rothman Orthopaed Inst, 925 Chestnut St,5th Floor, Philadelphia, PA 19107 USA.</t>
  </si>
  <si>
    <t>gregdschroeder@gmail.com</t>
  </si>
  <si>
    <t>2380-0186</t>
  </si>
  <si>
    <t>CLIN SPINE SURG</t>
  </si>
  <si>
    <t>Clin. Spine Surg.</t>
  </si>
  <si>
    <t>10.1097/BSD.0000000000001082</t>
  </si>
  <si>
    <t>Clinical Neurology; Orthopedics</t>
  </si>
  <si>
    <t>Neurosciences &amp; Neurology; Orthopedics</t>
  </si>
  <si>
    <t>SJ7EJ</t>
  </si>
  <si>
    <t>WOS:000655693500002</t>
  </si>
  <si>
    <t>Amjad, M; Chavez, YR; Nayab, Z; Zhila, A; Sidorov, G; Gelbukh, A</t>
  </si>
  <si>
    <t>MartinezVillasenor, L; HerreraAlcantara, O; Ponce, H; CastroEspinoza, FA</t>
  </si>
  <si>
    <t>Amjad, Maaz; Rodriguez Chavez, Yuriria; Nayab, Zaryyab; Zhila, Alisa; Sidorov, Grigori; Gelbukh, Alexander</t>
  </si>
  <si>
    <t>Analysis of COVID-19 Pandemic Using Artificial Intelligence</t>
  </si>
  <si>
    <t>ADVANCES IN COMPUTATIONAL INTELLIGENCE, MICAI 2020, PT II</t>
  </si>
  <si>
    <t>19th Mexican International Conference on Artificial Intelligence (MICAI)</t>
  </si>
  <si>
    <t>OCT 12-17, 2020</t>
  </si>
  <si>
    <t>Mexican Soc Artificial Intelligence,Univ Panamericana,Univ Autonoma Estado Hidalgo,Univ Autonoma Metropolitana</t>
  </si>
  <si>
    <t>Pandemics; COVID-19; Artificial intelligence; SARS-CoV-2</t>
  </si>
  <si>
    <t>The emerging issue of COVID-19, which is caused by the coronavirus SARS-CoV-2 is a significant problematic issue. This disease has impacted worldwide and covered the globe in its threat. Scientists and physicians have been investigating pathophysiological aspects of this pandemic to understand the virus structure for the treatment development. In this mini review, we briefly discuss the characteristics of SARS-CoV-2, its origin, diagnosis, and treatment. This study will provide an understanding of the role of artificial intelligence in this emerging COVID-19 pandemic along with the impact in our society, economy, health, and industrial level.</t>
  </si>
  <si>
    <t>[Amjad, Maaz; Sidorov, Grigori; Gelbukh, Alexander] Inst Politecn Nacl IPN, Ctr Comp Res CIC, Mexico City, DF, Mexico; [Rodriguez Chavez, Yuriria] Inst Mexicano Seguro Social, IMSS, Mexico City, DF, Mexico; [Nayab, Zaryyab] Univ Vet &amp; Anim Sci, Kasur, Pakistan</t>
  </si>
  <si>
    <t>Instituto Mexicano del Seguro Social</t>
  </si>
  <si>
    <t>Amjad, M (corresponding author), Inst Politecn Nacl IPN, Ctr Comp Res CIC, Mexico City, DF, Mexico.</t>
  </si>
  <si>
    <t>maazamjad@phystech.edu; yuri21rch@gmail.com; Nayyab08@gmail.com; Sidorov@cic.ipn.mx; gelbukh@gelbukh.com</t>
  </si>
  <si>
    <t>Amjad, Maaz/AAD-1244-2022; Gelbukh, Alexander/A-8979-2008</t>
  </si>
  <si>
    <t>Amjad, Maaz/0000-0002-5969-9085</t>
  </si>
  <si>
    <t>978-3-030-60887-3; 978-3-030-60886-6</t>
  </si>
  <si>
    <t>10.1007/978-3-030-60887-3_6</t>
  </si>
  <si>
    <t>Computer Science, Artificial Intelligence; Computer Science, Interdisciplinary Applications; Operations Research &amp; Management Science; Mathematics, Applied</t>
  </si>
  <si>
    <t>Computer Science; Operations Research &amp; Management Science; Mathematics</t>
  </si>
  <si>
    <t>BS8FA</t>
  </si>
  <si>
    <t>WOS:000771896000006</t>
  </si>
  <si>
    <t>Jain, S; Gandhi, AV</t>
  </si>
  <si>
    <t>Jain, Shailesh; Gandhi, Aradhana Vikas</t>
  </si>
  <si>
    <t>Impact of artificial intelligence on impulse buying behaviour of Indian shoppers in fashion retail outlets</t>
  </si>
  <si>
    <t>INTERNATIONAL JOURNAL OF INNOVATION SCIENCE</t>
  </si>
  <si>
    <t>India; Artificial intelligence; Fashion retail; Impulse purchase; Modern technology</t>
  </si>
  <si>
    <t>ORGANIZATIONAL PERFORMANCE</t>
  </si>
  <si>
    <t>Purpose This paper aims to understand the impact of modern technologies such as artificial intelligence on impulse buying behaviour of Indian shoppers specifically in fashion retail outlets. Design/methodology/approach The empirical study on the effect of artificial intelligence on impulse purchase decisions was conducted through an e-survey of the Indian shoppers. The data collected was analysed using factor analysis and multiple regression analysis. Findings The impact of modern technologies which are used by the retailers to enhance sale and consumer engagement was studied. The relationship between use of artificial intelligence parameters such as the purchase duration, recommended products, product information and human interaction and its impact on Impulse Purchase was studied and the results revealed that all these factors except product information had a significant impact on the impulse purchase decision of the buyer. Practical implications This study will be useful to the fashion retailers to gauge the effect of incorporating artificial intelligence and its impact on driving sales by attracting shoppers to their outlets. Originality/value This study specifically focusses on the impact of modern technologies on impulse purchase of Indian shoppers in fashion retail outlets. Other research works have focussed on impact of visual merchandising, store layouts, store environment and promotional activities on impulse purchases. This is one of the few studies which deals with the impact of artificial intelligence on impulse buying behaviour of Indian shoppers specifically in the fashion retail segment.</t>
  </si>
  <si>
    <t>[Jain, Shailesh; Gandhi, Aradhana Vikas] Symbiosis Int Deemed Univ, Symbiosis Ctr Management &amp; Human Resource Dev, Dept Mkt, Pune, Maharashtra, India</t>
  </si>
  <si>
    <t>Symbiosis International University; Symbiosis Centre for Management &amp; Human Resource Development (SCMHRD)</t>
  </si>
  <si>
    <t>Gandhi, AV (corresponding author), Symbiosis Int Deemed Univ, Symbiosis Ctr Management &amp; Human Resource Dev, Dept Mkt, Pune, Maharashtra, India.</t>
  </si>
  <si>
    <t>shailesh_jain@scmhrd.edu; aradhana_gandhi@scmhrd.edu</t>
  </si>
  <si>
    <t>GAndhi, Aradhana/GLS-2109-2022</t>
  </si>
  <si>
    <t>Gandhi, Aradhana/0000-0002-8443-9111</t>
  </si>
  <si>
    <t>1757-2223</t>
  </si>
  <si>
    <t>1757-2231</t>
  </si>
  <si>
    <t>INT J INOV SCI</t>
  </si>
  <si>
    <t>Int. J. Innov. Sci.</t>
  </si>
  <si>
    <t>MAR 30</t>
  </si>
  <si>
    <t>10.1108/IJIS-10-2020-0181</t>
  </si>
  <si>
    <t>RG0DK</t>
  </si>
  <si>
    <t>WOS:000612951700001</t>
  </si>
  <si>
    <t>Ledzinski, L; Grzesk, G</t>
  </si>
  <si>
    <t>Ledzinski, Lukasz; Grzesk, Grzegorz</t>
  </si>
  <si>
    <t>Artificial Intelligence Technologies in Cardiology</t>
  </si>
  <si>
    <t>JOURNAL OF CARDIOVASCULAR DEVELOPMENT AND DISEASE</t>
  </si>
  <si>
    <t>artificial intelligence; cardiology; machine learning</t>
  </si>
  <si>
    <t>MULTIVARIABLE PREDICTION MODEL; INDIVIDUAL PROGNOSIS; DIAGNOSIS TRIPOD; HEALTH; REGISTRY; FUTURE; DISEASE; SYSTEM; RISK</t>
  </si>
  <si>
    <t>As the world produces exabytes of data, there is a growing need to find new methods that are more suitable for dealing with complex datasets. Artificial intelligence (AI) has significant potential to impact the healthcare industry, which is already on the road to change with the digital transformation of vast quantities of information. The implementation of AI has already achieved success in the domains of molecular chemistry and drug discoveries. The reduction in costs and in the time needed for experiments to predict the pharmacological activities of new molecules is a milestone in science. These successful applications of AI algorithms provide hope for a revolution in healthcare systems. A significant part of artificial intelligence is machine learning (ML), of which there are three main types-supervised learning, unsupervised learning, and reinforcement learning. In this review, the full scope of the AI workflow is presented, with explanations of the most-often-used ML algorithms and descriptions of performance metrics for both regression and classification. A brief introduction to explainable artificial intelligence (XAI) is provided, with examples of technologies that have developed for XAI. We review important AI implementations in cardiology for supervised, unsupervised, and reinforcement learning and natural language processing, emphasizing the used algorithm. Finally, we discuss the need to establish legal, ethical, and methodical requirements for the deployment of AI models in medicine.</t>
  </si>
  <si>
    <t>[Ledzinski, Lukasz; Grzesk, Grzegorz] Nicolaus Copernicus Univ Torun, Fac Hlth Sci, Dept Cardiol &amp; Clin Pharmacol, Coll Medicum Bydgoszcz, Ujejskiego 75, PL-85168 Bydgoszcz, Poland</t>
  </si>
  <si>
    <t>Nicolaus Copernicus University</t>
  </si>
  <si>
    <t>Grzesk, G (corresponding author), Nicolaus Copernicus Univ Torun, Fac Hlth Sci, Dept Cardiol &amp; Clin Pharmacol, Coll Medicum Bydgoszcz, Ujejskiego 75, PL-85168 Bydgoszcz, Poland.</t>
  </si>
  <si>
    <t>503345@doktorant.umk.pl; g.grzesk@cm.umk.pl</t>
  </si>
  <si>
    <t>Ledziński, Łukasz/ISA-1522-2023; Grześk, Grzegorz/AAS-6549-2021</t>
  </si>
  <si>
    <t>Grzesk, Grzegorz/0000-0001-6669-5931; Ledzinski, Lukasz/0000-0001-9812-4607</t>
  </si>
  <si>
    <t>2308-3425</t>
  </si>
  <si>
    <t>J CARDIOVASC DEV DIS</t>
  </si>
  <si>
    <t>J. Cardiovasc. Dev. Dis.</t>
  </si>
  <si>
    <t>MAY 6</t>
  </si>
  <si>
    <t>10.3390/jcdd10050202</t>
  </si>
  <si>
    <t>Cardiac &amp; Cardiovascular Systems</t>
  </si>
  <si>
    <t>Cardiovascular System &amp; Cardiology</t>
  </si>
  <si>
    <t>H7FK7</t>
  </si>
  <si>
    <t>WOS:000997576800001</t>
  </si>
  <si>
    <t>Lifshits, I; Rosenberg, D</t>
  </si>
  <si>
    <t>Lifshits, Igal; Rosenberg, Dennis</t>
  </si>
  <si>
    <t>Artificial intelligence in nursing education: A scoping review</t>
  </si>
  <si>
    <t>NURSE EDUCATION IN PRACTICE</t>
  </si>
  <si>
    <t>Artificial intelligence; Nursing education; SWOT</t>
  </si>
  <si>
    <t>VIRTUAL SIMULATION; STUDENTS</t>
  </si>
  <si>
    <t>Aim: To explore recent empirical studies on implementation of artificial intelligence in nursing education in hospital settings through the prism of the Strengths, Weaknesses, Opportunities and Threats (SWOT) model. Background: In the last decade, artificial intelligence has markedly influenced healthcare and nursing domains, particularly in improving care and educational processes for nursing staff. Despite its ongoing integration in nursing education, an understanding of its impact remained limited. Design: Scoping review. Methods: A systematic search using PubMed and ScienceDirect databases, following PRISMA guidelines, identified relevant studies. The main inclusion criteria were empirical studies from 2018 onwards and a focus on nursing students/registered nurses in hospital settings. The exclusion criteria were non-empirical documentation such as abstracts, editorials and opinion-related articles, as well as studies in surgical, pediatric, gynecological and mental health nursing. Results: In total, 15 articles were selected from a pool of 6517 documents. The aspects mentioned in the employed literature highlighted the positive impact of artificial intelligence on educational experiences, knowledge acquisition and mental safety. Challenges of the artificial intelligence implementation in the nursing education field, such as technical issues, language barriers and limited realistic experience were also identified. Conclusions: The findings of the review suggest that artificial intelligence provides significant benefits for nursing education. However, continuous evaluation managing weaknesses and maximizing the educational potential of artificial intelligence in the nursing field is crucial.</t>
  </si>
  <si>
    <t>[Lifshits, Igal] Varna Free Univ, Varna, Bulgaria; [Rosenberg, Dennis] Hebrew Univ Jerusalem, Israel Gerontol Data Ctr, Sch Social Work &amp; Social Welf, IL-9190501 Jerusalem, Israel</t>
  </si>
  <si>
    <t>Varna Free University; Hebrew University of Jerusalem</t>
  </si>
  <si>
    <t>Lifshits, I (corresponding author), Varna Free Univ, Varna, Bulgaria.</t>
  </si>
  <si>
    <t>lifshitsacademics@gmail.corm; denrosen2@gmail.com</t>
  </si>
  <si>
    <t>Lifshits, Igal/LYO-1340-2024</t>
  </si>
  <si>
    <t>ELSEVIER SCI LTD</t>
  </si>
  <si>
    <t>London</t>
  </si>
  <si>
    <t>125 London Wall, London, ENGLAND</t>
  </si>
  <si>
    <t>1471-5953</t>
  </si>
  <si>
    <t>1873-5223</t>
  </si>
  <si>
    <t>NURSE EDUC PRACT</t>
  </si>
  <si>
    <t>Nurse Educ. Pract.</t>
  </si>
  <si>
    <t>10.1016/j.nepr.2024.104148</t>
  </si>
  <si>
    <t>OCT 2024</t>
  </si>
  <si>
    <t>J3F0S</t>
  </si>
  <si>
    <t>WOS:001335944000001</t>
  </si>
  <si>
    <t>Pashentsev, E</t>
  </si>
  <si>
    <t>Pashentsev, Evgeny</t>
  </si>
  <si>
    <t>Malicious Use of Artificial Intelligence: Challenging International Psychological Security</t>
  </si>
  <si>
    <t>artificial intelligence; internet; international security; international psychological security; psychological warfare</t>
  </si>
  <si>
    <t>This paper analyses new threats to international psychological security (IPS) posed by the malicious use of artificial intelligence (MUAI) by aggressive state and non-state actors in international relations. Compared with the positive applications of artificial intelligence (AI), MUAI as related to security threats is a much less-studied area. The paper defines and establishes the IPS domain and provides possible MUAI classifications based on implementability, territorial coverage, degree of damage, and speed and forms of propagation. The author lays out current and prospective MUAI-based threats to IPS: the creation of 'deepfakes', the damage to reputation through bot activities, the setting and amplification of a manipulative agenda, the use of prognostic weapons, etc. Factors that complicate the minimisation of damage caused by state and non-state actors to IPS from MUAI are singled out. This study confirms that MUAI elevates threats to IPS to a qualitatively new level which requires an adequate assessment and reaction from society. There may be different classifications of MUAI threats (including the sphere of IPS). The comprehension of new threats-the number of which will only grow-lags behind the fast-changing realities of the modern world. With the goal of harming society, asocial actors can use AI systems that are rapidly spreading and becoming less expensive. MUAI is particularly dangerous in today's tense international environment when it is easier to manipulate the public consciousness experiencing the powerful impact of negative objective and subjective factors of social development. The methodology for this research is based on a systematic approach to the role of AI in psychological warfare. Comparative analysis and case studies are helpful to obtain findings which offer the basis for the efficiency criterion for MUAI and its neutralisation under unstable dynamic social equilibriums.</t>
  </si>
  <si>
    <t>[Pashentsev, Evgeny] Minist Foreign Affairs Russian Federat, Moscow, Russia; [Pashentsev, Evgeny] St Petersburg State Univ, Sch Int Relat, St Petersburg, Russia</t>
  </si>
  <si>
    <t>Saint Petersburg State University</t>
  </si>
  <si>
    <t>Pashentsev, E (corresponding author), Minist Foreign Affairs Russian Federat, Moscow, Russia.;Pashentsev, E (corresponding author), St Petersburg State Univ, Sch Int Relat, St Petersburg, Russia.</t>
  </si>
  <si>
    <t>icspsc@mail.ru</t>
  </si>
  <si>
    <t>Pashentsev, Evgeny/E-2464-2013</t>
  </si>
  <si>
    <t>Pashentsev, Evgeny/0000-0001-5487-4457</t>
  </si>
  <si>
    <t>Saint-Petersburg State University [26520757]</t>
  </si>
  <si>
    <t>Saint-Petersburg State University</t>
  </si>
  <si>
    <t>The author acknowledges Saint-Petersburg State University for a research grant 26520757.</t>
  </si>
  <si>
    <t>10.34190/ECIAIR.19.020</t>
  </si>
  <si>
    <t>WOS:000539633500028</t>
  </si>
  <si>
    <t>Chitranshi, J; Chopra, K; Banerjee, P</t>
  </si>
  <si>
    <t>Chitranshi, Jaya; Chopra, Komal; Banerjee, Pallabi</t>
  </si>
  <si>
    <t>Impact of artificial intelligence in transforming and replacing traditional learning and development of employees</t>
  </si>
  <si>
    <t>FORESIGHT</t>
  </si>
  <si>
    <t>Artificial intelligence; Training and development; Technology; Computer-based learning</t>
  </si>
  <si>
    <t>PurposeThe purpose of this study was to examine the impact of artificial intelligence interventions in transforming learning and development of organizations and to investigate whether artificial intelligence can replace traditional learning methods.Design/methodology/approachMixed method approach was adopted to conduct the study. The sample size for quantitative study was 300 employees belonging to domains of technology, finance, health care and manufacturing. Structural equation modeling was done to arrive at the results. The qualitative study was done on 25 employees by conducting in-depth interviews followed by thematic analysis.FindingsThe findings of quantitative study revealed that perceived usefulness, perceived experience and learning effectiveness significantly contributed to transformation of traditional learning. The same was validated by qualitative study, and it also indicated that respondents preferred blended learning and artificial intelligence cannot replace traditional learning.Originality/valueThe study contributes to research by highlighting the impact of artificial intelligence in transformation of traditional learning and development based on departmental and job-specific roles as well as sectors that require physical training in addition to knowledge-based training.</t>
  </si>
  <si>
    <t>[Chitranshi, Jaya; Chopra, Komal; Banerjee, Pallabi] Symbiosis Int Deemed Univ, Symbiosis Inst Management Studies, Pune, India</t>
  </si>
  <si>
    <t>Symbiosis International University; Symbiosis Institute of Management Studies (SIMS)</t>
  </si>
  <si>
    <t>Chitranshi, J (corresponding author), Symbiosis Int Deemed Univ, Symbiosis Inst Management Studies, Pune, India.</t>
  </si>
  <si>
    <t>jaya.chitranshi@sims.edu; chopra.k@sims.edu; pallabi.banerjee2023mbae@sims.edu</t>
  </si>
  <si>
    <t>Chopra, Komal/V-8505-2017; Chitranshi, Jaya/AAM-5274-2020</t>
  </si>
  <si>
    <t>1463-6689</t>
  </si>
  <si>
    <t>1465-9832</t>
  </si>
  <si>
    <t>Foresight</t>
  </si>
  <si>
    <t>2024 DEC 19</t>
  </si>
  <si>
    <t>10.1108/FS-05-2024-0109</t>
  </si>
  <si>
    <t>DEC 2024</t>
  </si>
  <si>
    <t>Regional &amp; Urban Planning</t>
  </si>
  <si>
    <t>Public Administration</t>
  </si>
  <si>
    <t>P6O9L</t>
  </si>
  <si>
    <t>WOS:001379089800001</t>
  </si>
  <si>
    <t>Duvnjak, K; Gregoric, M; Gorse, M</t>
  </si>
  <si>
    <t>Duvnjak, Kristina; Gregoric, Maja; Gorse, Mateja</t>
  </si>
  <si>
    <t>SUSTAINABLE DEVELOPMENT - AN ARTIFICIAL INTELLIGENCE APPROACH</t>
  </si>
  <si>
    <t>MANAGEMENT RESEARCH AND PRACTICE</t>
  </si>
  <si>
    <t>artificial intelligence; environment; sustainability; modelling; tourism</t>
  </si>
  <si>
    <t>DECISION-SUPPORT-SYSTEM; NEURAL-NETWORK APPROACH; CELLULAR-AUTOMATA; KNOWLEDGE; TOURISM; MODEL; PREDICTION; SOFTWARE</t>
  </si>
  <si>
    <t>In mid 20s Carson (1963) raised the question of environmental issues in economics as one that should be discussed by practitioners and researchers. From that point, the environmental issues from the analysis of exhaustible and productive resources to its economic role and consequentially its impact, were examined. Environment affects must be considered as human activity-based processes which repercussions effect economy in general. Thus, the long-term decision-making processes in economy must take into account future generations as well. Furthermore, tourism as an economic activity is growing rapidly and one must take into consideration, that it is based on, primarily, natural environment and man-made resources. Degradation of basic tourism resources can lead to decrease of tourism demand. Therefore, the analysis of environmental impact on tourism, and vice versa, the impact of tourism on environment is crucial. With the development of information technology sector, new and innovative methods for analysis and forecasting have emerged such as artificial intelligence. The main hypothesis of this paper is to research how artificial intelligence can contribute to analysis and investigating environmental aspect of tourism. Therefore, the paper provides a theoretical overview of possible fields of artificial intelligence usage in sustainability, in the context of tourism development.</t>
  </si>
  <si>
    <t>[Duvnjak, Kristina; Gregoric, Maja; Gorse, Mateja] Univ Rijeka, Fac Tourism &amp; Hospitality Management, Opatija, Croatia</t>
  </si>
  <si>
    <t>University of Rijeka</t>
  </si>
  <si>
    <t>Duvnjak, K (corresponding author), Univ Rijeka, Fac Tourism &amp; Hospitality Management, Opatija, Croatia.</t>
  </si>
  <si>
    <t>kri.duvnjak@gmail.com; majam@fthm.hr; mateja3007@gmail.com</t>
  </si>
  <si>
    <t>Gregoric, Maja/N-7430-2018</t>
  </si>
  <si>
    <t>University of Rijeka [ZP UNIRI 4/17]</t>
  </si>
  <si>
    <t>This paper has been financially supported by the University of Rijeka, for the project ZP UNIRI 4/17.</t>
  </si>
  <si>
    <t>RESEARCH CENTER PUBLIC ADM &amp; PUBLIC SERVICE</t>
  </si>
  <si>
    <t>BUCHAREST</t>
  </si>
  <si>
    <t>CALEA SERBAN VODA 22-24, BUCHAREST, 040211, ROMANIA</t>
  </si>
  <si>
    <t>2067-2462</t>
  </si>
  <si>
    <t>MANAG RES PRACT</t>
  </si>
  <si>
    <t>Manag. Res. Pract.</t>
  </si>
  <si>
    <t>OZ5ZG</t>
  </si>
  <si>
    <t>WOS:000595003300002</t>
  </si>
  <si>
    <t>Rani, TS; Garg, U; Kalyani, P</t>
  </si>
  <si>
    <t>Rani, T. Suchitra; Garg, Umang; Kalyani, P.</t>
  </si>
  <si>
    <t>Artificial Intelligence and its Role in Transforming Marketing and Impact on Consumer Perception</t>
  </si>
  <si>
    <t>PACIFIC BUSINESS REVIEW INTERNATIONAL</t>
  </si>
  <si>
    <t>Artificial Intelligence; Consumer Buying; Transforming Marketing; Chatbots; Marketing Automation</t>
  </si>
  <si>
    <t>With every changing product and service landscape the customer needs and their expectations are also evolving. In terms of quick delivery and quick response to customer queries an organization is left with no choice but to adapt to the latest technologies like Artificial Intelligence (AI). Artificial Intelligence is the capacity of machines to recognize, learn and make decision from its surrounding environment. This paper is an attempt to identify the ways how artificial intelligence is transforming marketing. It also aims to study the impact of awareness of AI on perception of use of AI with reference to different uses of AI during the customer journey. The select sample belongs to the area of Hyderabad and Secunderabad. Correlation and regression results showed that impact of awareness of AI on perception of use of AI with reference to voice search was found to be having significant influence. However, it was found that there was no impact of awareness of AI on perception of other four uses in the study. AI is one among the emerging technologies which is still in the introduction stage and to some extent an inscrutable event though AI is already impacting the customers lives in a big way.</t>
  </si>
  <si>
    <t>[Rani, T. Suchitra; Garg, Umang; Kalyani, P.] Amity Global Business Sch, Hyderabad, India</t>
  </si>
  <si>
    <t>Rani, TS (corresponding author), Amity Global Business Sch, Hyderabad, India.</t>
  </si>
  <si>
    <t>PACIFIC INST MANAGEMENT</t>
  </si>
  <si>
    <t>RAJASTHAN</t>
  </si>
  <si>
    <t>PACIFIC HILLS, PRATAP NAGAR EXTENSION, AIR PORT RD, UDAIPUR, RAJASTHAN, 313 001, INDIA</t>
  </si>
  <si>
    <t>0974-438X</t>
  </si>
  <si>
    <t>PAC BUS REV INT</t>
  </si>
  <si>
    <t>Pac. Bus. Rev. Int.</t>
  </si>
  <si>
    <t>5A5RM</t>
  </si>
  <si>
    <t>WOS:000862944700001</t>
  </si>
  <si>
    <t>Wang, XY; He, TY; Wang, SZ; Zhao, HX</t>
  </si>
  <si>
    <t>Wang, Xueyi; He, Taiyi; Wang, Shengzhe; Zhao, Haoxiang</t>
  </si>
  <si>
    <t>The Impact of Artificial Intelligence on Economic Growth From the Perspective of Population External System</t>
  </si>
  <si>
    <t>SOCIAL SCIENCE COMPUTER REVIEW</t>
  </si>
  <si>
    <t>Artificial intelligence; economic growth; population external system; sustainable development</t>
  </si>
  <si>
    <t>DIGITAL TRANSFORMATION</t>
  </si>
  <si>
    <t>Artificial intelligence has sophisticated social and economic effects that cannot be ignored. Based on a thorough review of the development of artificial intelligence, this paper systematically explores the mechanism of the impact of artificial intelligence on economic growth through technology, value and application three paths, which is starting from the perspective of the population external system. In order to verify the rationality of the paths, the effect of artificial intelligence on economic growth from the perspective of population external system is rigorously estimated using artificial intelligence and macroeconomic data for China from 2011 to 2019. The findings are as follows. Firstly, there is a significant positive effect of artificial intelligence on the economic growth from the perspective of the population external system. This positive effect is sufficiently robust over the sample-wide period. Secondly, there is significant regional heterogeneity in the effect of artificial intelligence on economic growth from the perspective of the population external system. The low levels of artificial intelligence development impeded the economic growth, the middle levels of artificial intelligence development contributed significantly to the economic growth, and the high levels of artificial intelligence development did not show a significant contribution to the economic growth. In view of this, future policies should be designed in terms of revitalizing the value of the artificial intelligence stock, exploring the value potential of artificial intelligence and regulating it in a hierarchical manner.</t>
  </si>
  <si>
    <t>[Wang, Xueyi; He, Taiyi] Southwestern Univ Finance &amp; Econ, Res Inst Social Dev, Chengdu, Peoples R China; [Wang, Shengzhe] Southwest Petr Univ, Law Sch, Chengdu, Peoples R China; [Zhao, Haoxiang] Jiangxi Agr Univ, Sch Land Resources &amp; Environm, Nanchang, Peoples R China; [He, Taiyi] Southwestern Univ Finance &amp; Econ, Res Inst Social Dev, 555 Liutai Ave, Chengdu 610074, Sichuan, Peoples R China</t>
  </si>
  <si>
    <t>Southwestern University of Finance &amp; Economics - China; Southwest Petroleum University; Jiangxi Agricultural University; Southwestern University of Finance &amp; Economics - China</t>
  </si>
  <si>
    <t>He, TY (corresponding author), Southwestern Univ Finance &amp; Econ, Res Inst Social Dev, 555 Liutai Ave, Chengdu 610074, Sichuan, Peoples R China.</t>
  </si>
  <si>
    <t>1220526123@qq.com</t>
  </si>
  <si>
    <t>Zhao, Haoxiang/GNM-8266-2022; Taiyi, He/GOE-5564-2022</t>
  </si>
  <si>
    <t>Zhao, Haoxiang/0000-0003-4029-4712; Taiyi, He/0000-0002-1721-9784</t>
  </si>
  <si>
    <t>Key Project of the Sichuan Social Science Fund [SCJJ23ND51]; Youth Project of Humanities and Social Sciences of Ministry of Education [19YJCZH170]; General Project of the National Social Science Fund, China [23BRK004]</t>
  </si>
  <si>
    <t>Key Project of the Sichuan Social Science Fund; Youth Project of Humanities and Social Sciences of Ministry of Education; General Project of the National Social Science Fund, China</t>
  </si>
  <si>
    <t>The author(s) disclosed receipt of the following financial support for the research, authorship, and/or publication of this article: This study is supported by Key Project of the Sichuan Social Science Fund (SCJJ23ND51), Youth Project of Humanities and Social Sciences of Ministry of Education (19YJCZH170), and General Project of the National Social Science Fund, China (23BRK004).</t>
  </si>
  <si>
    <t>0894-4393</t>
  </si>
  <si>
    <t>1552-8286</t>
  </si>
  <si>
    <t>SOC SCI COMPUT REV</t>
  </si>
  <si>
    <t>Soc. Sci. Comput. Rev.</t>
  </si>
  <si>
    <t>10.1177/08944393241246100</t>
  </si>
  <si>
    <t>Computer Science, Interdisciplinary Applications; Information Science &amp; Library Science; Social Sciences, Interdisciplinary</t>
  </si>
  <si>
    <t>Computer Science; Information Science &amp; Library Science; Social Sciences - Other Topics</t>
  </si>
  <si>
    <t>T5M2Z</t>
  </si>
  <si>
    <t>WOS:001200126800001</t>
  </si>
  <si>
    <t>Nadim, MA; Di Fuccio, R</t>
  </si>
  <si>
    <t>Nadim, Muhammad Amin; Di Fuccio, Raffaele</t>
  </si>
  <si>
    <t>Unveiling the Potential: Artificial Intelligence's Negative Impact on Teaching and Research Considering Ethics in Higher Education</t>
  </si>
  <si>
    <t>EUROPEAN JOURNAL OF EDUCATION</t>
  </si>
  <si>
    <t>artificial intelligence impact; artificial intelligence technology; bias in teaching; creativity impact; ethical consideration; unquestioning adoption</t>
  </si>
  <si>
    <t>Higher education has witnessed remarkable technological advancements; however, the rapid rise of generative artificial intelligence (Gen AI) presents substantial challenges for teaching and research. This growing reliance has expanded educators' roles, underscoring the need for ethical and selective AI integration while preparing students and researchers for an AI-driven future. Adopting an argumentative perspective, this article analyzes core insights from comparative literature and key reports that highlight Gen AI's potential to diminish critical thinking and negatively impact educational outcomes. Although Gen AI holds transformative promise, its swift expansion raises significant concerns about its long-term implications for education. This research emphasises the need to address Gen AI's drawbacks, advocating for greater awareness and equitable educational practices that support both teaching and learning in academic contexts. Ultimately, the article calls for professional development to equip educators with responsible AI skills, fostering a balanced and ethical approach to Gen AI integration in higher education.</t>
  </si>
  <si>
    <t>[Nadim, Muhammad Amin; Di Fuccio, Raffaele] Univ Foggia, Dept Learning Sci &amp; Digital Technol, Foggia, Italy; [Nadim, Muhammad Amin] Pegaso Univ, Dept Psychol &amp; Educ Sci, Rome, Italy</t>
  </si>
  <si>
    <t>University of Foggia</t>
  </si>
  <si>
    <t>Nadim, MA (corresponding author), Univ Foggia, Dept Learning Sci &amp; Digital Technol, Foggia, Italy.;Nadim, MA (corresponding author), Pegaso Univ, Dept Psychol &amp; Educ Sci, Rome, Italy.</t>
  </si>
  <si>
    <t>muhammad.nadim@unipegaso.it</t>
  </si>
  <si>
    <t>0141-8211</t>
  </si>
  <si>
    <t>1465-3435</t>
  </si>
  <si>
    <t>EUR J EDUC</t>
  </si>
  <si>
    <t>Eur. J. Educ.</t>
  </si>
  <si>
    <t>e12929</t>
  </si>
  <si>
    <t>10.1111/ejed.12929</t>
  </si>
  <si>
    <t>S9W9O</t>
  </si>
  <si>
    <t>WOS:001401648100001</t>
  </si>
  <si>
    <t>Grilli, L; Mariotti, S; Marzano, R</t>
  </si>
  <si>
    <t>Grilli, Luca; Mariotti, Sergio; Marzano, Riccardo</t>
  </si>
  <si>
    <t>Artificial intelligence and shapeshifting capitalism</t>
  </si>
  <si>
    <t>Artificial intelligence; Capitalism; Economic institutions</t>
  </si>
  <si>
    <t>DECISION-MAKING; ECONOMIC-GROWTH; TECHNOLOGY; REVOLUTION; KNOWLEDGE; PRODUCT; HISTORY; FUTURE; IMPACT; AGE</t>
  </si>
  <si>
    <t>Artificial intelligence (AI) is anticipated to reshape the economy by revolutionizing human interaction with technology. Despite its significance, research endeavors in the field of economics remain relatively limited. In this editorial, we outline the articles featured in a Virtual Special Issue designed to expand the scope of inquiry for economists examining AI and its implications. We position these articles within the current economic literature and propose an agenda for further research aimed at fostering a more varied understanding of the impacts, implications, and challenges of AI technologies at the intersection with economic activity.</t>
  </si>
  <si>
    <t>[Grilli, Luca; Mariotti, Sergio] Politecn Milan, Dept Management Econ &amp; Ind Engn, Via R Lambruschini 4b, I-20156 Milan, Italy; [Marzano, Riccardo] Sapienza Univ Roma, Dept Comp Control &amp; Management Engn, Via L Ariosto 25, I-00185 Rome, Italy</t>
  </si>
  <si>
    <t>Polytechnic University of Milan; Sapienza University Rome</t>
  </si>
  <si>
    <t>Marzano, R (corresponding author), Sapienza Univ Roma, Dept Comp Control &amp; Management Engn, Via L Ariosto 25, I-00185 Rome, Italy.</t>
  </si>
  <si>
    <t>riccardo.marzano@uniroma1.it</t>
  </si>
  <si>
    <t>Grilli, Luca/K-6348-2017</t>
  </si>
  <si>
    <t>MARIOTTI, SERGIO GIOVANNI/0000-0001-5743-4625</t>
  </si>
  <si>
    <t>2024 JUL 11</t>
  </si>
  <si>
    <t>10.1007/s00191-024-00865-7</t>
  </si>
  <si>
    <t>A4G6X</t>
  </si>
  <si>
    <t>WOS:001282136100001</t>
  </si>
  <si>
    <t>Nazareno, L; Schiff, DS</t>
  </si>
  <si>
    <t>Nazareno, Luisa; Schiff, Daniel S.</t>
  </si>
  <si>
    <t>The impact of automation and artificial intelligence on worker well-being</t>
  </si>
  <si>
    <t>TECHNOLOGY IN SOCIETY</t>
  </si>
  <si>
    <t>Automation; Artificial intelligence; Worker well-being; Technology adoption; Fourth Industrial Revolution</t>
  </si>
  <si>
    <t>HUMAN-RESOURCE MANAGEMENT; TECHNOLOGICAL-CHANGE; JOB INSECURITY; COGNITIVE LOAD; REVOLUTION; HEALTH; FUTURE; POLARIZATION; ARTIFACTS; HISTORY</t>
  </si>
  <si>
    <t>Discourse surrounding the future of work often treats technological substitution of workers as a cause for concern, but complementarity as a good. However, while automation and artificial intelligence may improve productivity or wages for those who remain employed, they may also have mixed or negative impacts on worker well-being. This study considers five hypothetical channels through which automation may impact worker well-being: influencing worker freedom, sense of meaning, cognitive load, external monitoring, and insecurity. We apply a measure of automation risk to a set of 402 occupations to assess whether automation predicts impacts on worker well-being along the dimensions of job satisfaction, stress, health, and insecurity. Findings based on a 2002-2018 dataset from the General Social Survey reveal that workers facing automation risk appear to experience less stress, but also worse health, and minimal or negative impacts on job satisfaction. These impacts are more concentrated on workers facing the highest levels of automation risk. This article encourages new research directions by revealing important heterogeneous effects of technological complementarity. We recommend that firms, policymakers, and researchers not conceive of technological complementarity as a uniform good, and instead direct more attention to mixed well-being impacts of automation and artificial intelligence on workers.</t>
  </si>
  <si>
    <t>[Nazareno, Luisa] Georgia State Univ, Andrew Young Sch Policy Studies, 14 Marietta St NW Third Floor, Atlanta, GA 30303 USA; [Schiff, Daniel S.] Georgia State Univ, Sch Publ Policy, 685 Cherry St NW, Atlanta, GA 30303 USA</t>
  </si>
  <si>
    <t>University System of Georgia; Georgia State University; University System of Georgia; Georgia State University</t>
  </si>
  <si>
    <t>Nazareno, L (corresponding author), Georgia State Univ, Andrew Young Sch Policy Studies, 14 Marietta St NW Third Floor, Atlanta, GA 30303 USA.</t>
  </si>
  <si>
    <t>lnazareno@gsu.edu; schiff@gatech.edu</t>
  </si>
  <si>
    <t>Nazareno, Luisa/GVT-6627-2022; Schiff, Daniel/N-4418-2019; Schiff, Daniel/N-4950-2017</t>
  </si>
  <si>
    <t>Schiff, Daniel/0000-0002-4376-7303; Nazareno, Luisa/0000-0001-9798-7558</t>
  </si>
  <si>
    <t>THE BOULEVARD, LANGFORD LANE, KIDLINGTON, OXFORD OX5 1GB, OXON, ENGLAND</t>
  </si>
  <si>
    <t>0160-791X</t>
  </si>
  <si>
    <t>1879-3274</t>
  </si>
  <si>
    <t>TECHNOL SOC</t>
  </si>
  <si>
    <t>Technol. Soc.</t>
  </si>
  <si>
    <t>10.1016/j.techsoc.2021.101679</t>
  </si>
  <si>
    <t>Social Issues; Social Sciences, Interdisciplinary</t>
  </si>
  <si>
    <t>Social Issues; Social Sciences - Other Topics</t>
  </si>
  <si>
    <t>WC8OG</t>
  </si>
  <si>
    <t>WOS:000704511300001</t>
  </si>
  <si>
    <t>Meyer, J; Khademi, A; Têtu, B; Han, WC; Nippak, P; Remisch, D</t>
  </si>
  <si>
    <t>Meyer, Julien; Khademi, April; Tetu, Bernard; Han, Wencui; Nippak, Pria; Remisch, David</t>
  </si>
  <si>
    <t>Impact of artificial intelligence on pathologists' decisions: an experiment</t>
  </si>
  <si>
    <t>JOURNAL OF THE AMERICAN MEDICAL INFORMATICS ASSOCIATION</t>
  </si>
  <si>
    <t>artificial intelligence; pathology; reliance</t>
  </si>
  <si>
    <t>INTERNATIONAL-SOCIETY; TRUST; TRANSPARENCY; AUTOMATION; CANCER; SYSTEM; AI</t>
  </si>
  <si>
    <t>Objective The accuracy of artificial intelligence (AI) in medicine and in pathology in particular has made major progress but little is known on how much these algorithms will influence pathologists' decisions in practice. The objective of this paper is to determine the reliance of pathologists on AI and to investigate whether providing information on AI impacts this reliance. Materials and Methods The experiment using an online survey design. Under 3 conditions, 116 pathologists and pathology students were tasked with assessing the Gleason grade for a series of 12 prostate biopsies: (1) without AI recommendations, (2) with AI recommendations, and (3) with AI recommendations accompanied by information about the algorithm itself, specifically algorithm accuracy rate and algorithm decision-making process. Results Participant responses were significantly more accurate with the AI decision aids than without (92% vs 87%, odds ratio 13.30, P &lt; .01). Unexpectedly, the provision of information on the algorithm made no significant difference compared to AI without information. The reliance on AI correlated with general beliefs on AI's usefulness but not with particular assessments of the AI tool offered. Decisions were made faster when AI was provided. Discussion These results suggest that pathologists are willing to rely on AI regardless of accuracy or explanations. Generalization beyond the specific tasks and explanations provided will require further studies. Conclusion This study suggests that the factors that influence the reliance on AI differ in practice from beliefs expressed by clinicians in surveys. Implementation of AI in prospective settings should take individual behaviors into account.</t>
  </si>
  <si>
    <t>[Meyer, Julien; Nippak, Pria; Remisch, David] Ted Rogers Sch Management, Sch Hlth Serv Management, 350 Victoria St, Toronto, ON M5B 2K3, Canada; [Khademi, April] Ryerson Univ, Dept Elect Comp &amp; Biomed Engn, Toronto, ON, Canada; [Tetu, Bernard] Univ Laval, Dept Biol Med, Quebec City, PQ, Canada; [Han, Wencui] Univ Illinois, Dept Business Adm, Gies Coll Business, Champaign, IL USA</t>
  </si>
  <si>
    <t>Toronto Metropolitan University; Laval University; University of Illinois System; University of Illinois Urbana-Champaign</t>
  </si>
  <si>
    <t>Meyer, J (corresponding author), Ted Rogers Sch Management, Sch Hlth Serv Management, 350 Victoria St, Toronto, ON M5B 2K3, Canada.</t>
  </si>
  <si>
    <t>julien.meyer@ryerson.ca</t>
  </si>
  <si>
    <t>Meyer, Julien/0000-0002-0581-4623</t>
  </si>
  <si>
    <t>Social Sciences and Humanities Research Council [430-2021-01108]</t>
  </si>
  <si>
    <t>Social Sciences and Humanities Research Council(Social Sciences &amp; Humanities Research Council of Canada (SSHRC))</t>
  </si>
  <si>
    <t>This work was supported by Social Sciences and Humanities Research Council, grant number 430-2021-01108.</t>
  </si>
  <si>
    <t>OXFORD UNIV PRESS</t>
  </si>
  <si>
    <t>GREAT CLARENDON ST, OXFORD OX2 6DP, ENGLAND</t>
  </si>
  <si>
    <t>1067-5027</t>
  </si>
  <si>
    <t>1527-974X</t>
  </si>
  <si>
    <t>J AM MED INFORM ASSN</t>
  </si>
  <si>
    <t>J. Am. Med. Inf. Assoc.</t>
  </si>
  <si>
    <t>SEP 12</t>
  </si>
  <si>
    <t>10.1093/jamia/ocac103</t>
  </si>
  <si>
    <t>Computer Science, Information Systems; Computer Science, Interdisciplinary Applications; Health Care Sciences &amp; Services; Information Science &amp; Library Science; Medical Informatics</t>
  </si>
  <si>
    <t>Computer Science; Health Care Sciences &amp; Services; Information Science &amp; Library Science; Medical Informatics</t>
  </si>
  <si>
    <t>4M7TL</t>
  </si>
  <si>
    <t>WOS:000815516700001</t>
  </si>
  <si>
    <t>Abdulkreem, A; Bhattacharjee, T; Alzaabi, H; Alali, K; Gonzalez, A; Chaudhry, J; Prasad, S</t>
  </si>
  <si>
    <t>Abdulkreem, Ali; Bhattacharjee, Tanmoy; Alzaabi, Hessa; Alali, Kawther; Gonzalez, Angela; Chaudhry, Jahanzeb; Prasad, Sabarinath</t>
  </si>
  <si>
    <t>Artificial intelligence-based automated preprocessing and classification of impacted maxillary canines in panoramic radiographs</t>
  </si>
  <si>
    <t>DENTOMAXILLOFACIAL RADIOLOGY</t>
  </si>
  <si>
    <t>artificial intelligence; deep learning; automated algorithm; panoramic radiographs; impacted canine</t>
  </si>
  <si>
    <t>Objectives Automating the digital workflow for diagnosing impacted canines using panoramic radiographs (PRs) is challenging. This study explored feature extraction, automated cropping, and classification of impacted and nonimpacted canines as a first step.Methods A convolutional neural network with SqueezeNet architecture was first trained to classify two groups of PRs (91with and 91without impacted canines) on the MATLAB programming platform. Based on results, the need to crop the PRs was realized. Next, artificial intelligence (AI) detectors were trained to identify specific landmarks (maxillary central incisors, lateral incisors, canines, bicuspids, nasal area, and the mandibular ramus) on the PRs. Landmarks were then explored to guide cropping of the PRs. Finally, improvements in classification of automatically cropped PRs were studied.Results Without cropping, the area under the curve (AUC) of the receiver operating characteristic (ROC) curve for classifying impacted and nonimpacted canine was 84%. Landmark training showed that detectors could correctly identify upper central incisors and the ramus in similar to 98% of PRs. The combined use of the mandibular ramus and maxillary central incisors as guides for cropping yielded the best results (similar to 10% incorrect cropping). When automatically cropped PRs were used, the AUC-ROC improved to 96%.Conclusions AI algorithms can be automated to preprocess PRs and improve the identification of impacted canines.</t>
  </si>
  <si>
    <t>[Abdulkreem, Ali; Alzaabi, Hessa; Alali, Kawther; Gonzalez, Angela; Prasad, Sabarinath] Mohammed Bin Rashid Univ Med &amp; Hlth Sci, Hamdan Bin Mohammed Coll Dent Med, Dept Orthodont, Dubai 505055, U Arab Emirates; [Bhattacharjee, Tanmoy] Oudari Consultancy, Kolkata 712246, West Bengal, India; [Chaudhry, Jahanzeb] Mohammed Bin Rashid Univ Med &amp; Hlth Sci, Hamdan Bin Mohammed Coll Dent Med, Dept Oral Diagnost &amp; Surg Sci, Dubai 505055, U Arab Emirates; [Prasad, Sabarinath] Mohammed Bin Rashid Univ, Hamdan Bin Mohammed Coll Dent Med, Dept Orthodont, Bldg 14, Dubai 505055, U Arab Emirates</t>
  </si>
  <si>
    <t>Prasad, S (corresponding author), Mohammed Bin Rashid Univ, Hamdan Bin Mohammed Coll Dent Med, Dept Orthodont, Bldg 14, Dubai 505055, U Arab Emirates.</t>
  </si>
  <si>
    <t>sabarinath.prasad@mbru.ac.ae</t>
  </si>
  <si>
    <t>Prasad, Sabarinath/0000-0001-6509-2055</t>
  </si>
  <si>
    <t>Mohammed Bin Rashid University of Medicine and Health Sciences resident research fund</t>
  </si>
  <si>
    <t>This work was supported by the Mohammed Bin Rashid University of Medicine and Health Sciences resident research fund.</t>
  </si>
  <si>
    <t>0250-832X</t>
  </si>
  <si>
    <t>1476-542X</t>
  </si>
  <si>
    <t>DENTOMAXILLOFAC RAD</t>
  </si>
  <si>
    <t>Dentomaxillofac. Radiol.</t>
  </si>
  <si>
    <t>MAR 25</t>
  </si>
  <si>
    <t>10.1093/dmfr/twae005</t>
  </si>
  <si>
    <t>MAR 2024</t>
  </si>
  <si>
    <t>Dentistry, Oral Surgery &amp; Medicine; Radiology, Nuclear Medicine &amp; Medical Imaging</t>
  </si>
  <si>
    <t>LX1G5</t>
  </si>
  <si>
    <t>WOS:001184014700001</t>
  </si>
  <si>
    <t>Mnajli, FE; Chroqui, R</t>
  </si>
  <si>
    <t>Motahhir, S; Bossoufi, B</t>
  </si>
  <si>
    <t>Mnajli, Fatima Ezzahra; Chroqui, Razane</t>
  </si>
  <si>
    <t>Contribution of Artificial Intelligence in Entrepreneurship: A Systematic Literature Review</t>
  </si>
  <si>
    <t>DIGITAL TECHNOLOGIES AND APPLICATIONS, ICDTA 2024, VOL 3</t>
  </si>
  <si>
    <t>4th International Conference on Digital Technologies and Applications (ICDTA)</t>
  </si>
  <si>
    <t>MAY 10-11, 2024</t>
  </si>
  <si>
    <t>Benguerir, MOROCCO</t>
  </si>
  <si>
    <t>Entrepreneurship; Artificial Intelligence; Entrepreneur; SLR</t>
  </si>
  <si>
    <t>DIGITALIZATION; REVOLUTION; COVID-19</t>
  </si>
  <si>
    <t>Increasing digitization and advances in artificial intelligence (AI) are bringing new jobs or business models. There is a gap in current research on the impact of digitalization on performance. This systematic literature review (SLR) seeks to enhance our understanding of this field and provides a logical evaluation of existing contributions. It aims to review research on the way artificial intelligence impacts performance. The findings show that artificial intelligence has a significant impact on business, especially a positive impact on entrepreneurs. The present study provides policy signal makers and entrepreneurs with a comprehensive view of key concepts, enabling them to understand the current state of artificial intelligence in the industry.</t>
  </si>
  <si>
    <t>[Mnajli, Fatima Ezzahra] Hassan First Univ Settat, Lab Management Mkt &amp; Commun, ENCG, Settat, Morocco; [Chroqui, Razane] Hassan First Univ Settat, Natl Sch Appl Sci Berrechid, LISA, Settat, Morocco</t>
  </si>
  <si>
    <t>Hassan First University of Settat; Hassan First University of Settat</t>
  </si>
  <si>
    <t>Mnajli, FE (corresponding author), Hassan First Univ Settat, Lab Management Mkt &amp; Commun, ENCG, Settat, Morocco.</t>
  </si>
  <si>
    <t>f.mnajli@uhp.ac.ma; chroqui.razane@uhp.ac.ma</t>
  </si>
  <si>
    <t>Chroqui, Razane/GRR-8781-2022</t>
  </si>
  <si>
    <t>Chroqui, Razane/0000-0002-3836-2416</t>
  </si>
  <si>
    <t>978-3-031-68659-7; 978-3-031-68660-3</t>
  </si>
  <si>
    <t>10.1007/978-3-031-68660-3_2</t>
  </si>
  <si>
    <t>BX8AX</t>
  </si>
  <si>
    <t>WOS:001329105900002</t>
  </si>
  <si>
    <t>Kiruthika, J; Khaddaj, S</t>
  </si>
  <si>
    <t>Yucheng, G</t>
  </si>
  <si>
    <t>Kiruthika, Jay; Khaddaj, Souheil</t>
  </si>
  <si>
    <t>Impact and challenges of using Virtual Reality &amp; Artificial Intelligence in businesses</t>
  </si>
  <si>
    <t>2017 16TH INTERNATIONAL SYMPOSIUM ON DISTRIBUTED COMPUTING AND APPLICATIONS TO BUSINESS, ENGINEERING AND SCIENCE (DCABES)</t>
  </si>
  <si>
    <t>International Symposium on Distributed Computing and Applications to Business Engineering &amp; Science</t>
  </si>
  <si>
    <t>16th International Symposium on Distributed Computing and Applications to Business, Engineering and Science (DCABES)</t>
  </si>
  <si>
    <t>OCT 13-19, 2017</t>
  </si>
  <si>
    <t>Anyang, PEOPLES R CHINA</t>
  </si>
  <si>
    <t>Virtual Reality (VR); Artificial Intelligence (AI); Virtual Reality and Artificial Intelligence in Business</t>
  </si>
  <si>
    <t>Virtual Reality (VR) is an emerging technology and is disrupting various parts of the businesses. Combining them with Artificial Intelligence (AI) creates a new dimension to the business and affects crucial decisions for the future continuation of the business. AI's role is more pronounced than the VR aspects as not all the business needs VR but need AI. Determining the areas where VR/AI can impact the business is one of the issues stake holders are interested in. As it is new, the integration of VR and AI opens new possibilities and will provide new range of experiences. Thus, this paper focuses on addressing few of those issues and considers a case study with the need for incorporating recent developments and the challenges that need to be addressed.</t>
  </si>
  <si>
    <t>[Kiruthika, Jay; Khaddaj, Souheil] Kingston Univ, Kingston Upon Thames, Surrey, England</t>
  </si>
  <si>
    <t>Kingston University</t>
  </si>
  <si>
    <t>Kiruthika, J (corresponding author), Kingston Univ, Kingston Upon Thames, Surrey, England.</t>
  </si>
  <si>
    <t>jay.kiruthika@gmail.com; s.khaddaj@kingston.ac.uk</t>
  </si>
  <si>
    <t>2379-3724</t>
  </si>
  <si>
    <t>978-1-5386-2162-2</t>
  </si>
  <si>
    <t>INT SYMP DISTR COMPU</t>
  </si>
  <si>
    <t>10.1109/DCABES.2017.43</t>
  </si>
  <si>
    <t>Computer Science, Interdisciplinary Applications; Computer Science, Theory &amp; Methods</t>
  </si>
  <si>
    <t>BJ6AT</t>
  </si>
  <si>
    <t>WOS:000426448700037</t>
  </si>
  <si>
    <t>Bellini, V; Russo, M; Domenichetti, T; Panizzi, M; Allai, S; Bignami, EG</t>
  </si>
  <si>
    <t>Bellini, Valentina; Russo, Michele; Domenichetti, Tania; Panizzi, Matteo; Allai, Simone; Bignami, Elena Giovanna</t>
  </si>
  <si>
    <t>Artificial Intelligence in Operating Room Management</t>
  </si>
  <si>
    <t>JOURNAL OF MEDICAL SYSTEMS</t>
  </si>
  <si>
    <t>Artificial intelligence; Machine learning; Operating room; Management; Perioperative</t>
  </si>
  <si>
    <t>LENGTH-OF-STAY; PREDICTION</t>
  </si>
  <si>
    <t>This systematic review examines the recent use of artificial intelligence, particularly machine learning, in the management of operating rooms. A total of 22 selected studies from February 2019 to September 2023 are analyzed. The review emphasizes the significant impact of AI on predicting surgical case durations, optimizing post-anesthesia care unit resource allocation, and detecting surgical case cancellations. Machine learning algorithms such as XGBoost, random forest, and neural networks have demonstrated their effectiveness in improving prediction accuracy and resource utilization. However, challenges such as data access and privacy concerns are acknowledged. The review highlights the evolving nature of artificial intelligence in perioperative medicine research and the need for continued innovation to harness artificial intelligence's transformative potential for healthcare administrators, practitioners, and patients. Ultimately, artificial intelligence integration in operative room management promises to enhance healthcare efficiency and patient outcomes.</t>
  </si>
  <si>
    <t>[Bellini, Valentina; Russo, Michele; Domenichetti, Tania; Panizzi, Matteo; Allai, Simone; Bignami, Elena Giovanna] Univ Parma, Dept Med &amp; Surg, Anesthesiol Intens Care &amp; Pain Med Div, I-43126 Parma, Italy</t>
  </si>
  <si>
    <t>University of Parma</t>
  </si>
  <si>
    <t>Bignami, EG (corresponding author), Univ Parma, Dept Med &amp; Surg, Anesthesiol Intens Care &amp; Pain Med Div, I-43126 Parma, Italy.</t>
  </si>
  <si>
    <t>elenagiovanna.bignami@unipr.it</t>
  </si>
  <si>
    <t>Panizzi, Matteo/0009-0007-8581-7085</t>
  </si>
  <si>
    <t>Universit degli Studi di Parma</t>
  </si>
  <si>
    <t>No Statement Available</t>
  </si>
  <si>
    <t>0148-5598</t>
  </si>
  <si>
    <t>1573-689X</t>
  </si>
  <si>
    <t>J MED SYST</t>
  </si>
  <si>
    <t>J. Med. Syst.</t>
  </si>
  <si>
    <t>FEB 14</t>
  </si>
  <si>
    <t>10.1007/s10916-024-02038-2</t>
  </si>
  <si>
    <t>Health Care Sciences &amp; Services; Medical Informatics</t>
  </si>
  <si>
    <t>HS1V7</t>
  </si>
  <si>
    <t>hybrid, Green Published</t>
  </si>
  <si>
    <t>WOS:001161412700002</t>
  </si>
  <si>
    <t>Alhebrawi, MN; Huang, H; Wu, ZS</t>
  </si>
  <si>
    <t>Alhebrawi, Mohamad Najib; Huang, Huang; Wu, Zhishen</t>
  </si>
  <si>
    <t>Artificial intelligence enhanced automatic identification for concrete cracks using acoustic impact hammer testing</t>
  </si>
  <si>
    <t>JOURNAL OF CIVIL STRUCTURAL HEALTH MONITORING</t>
  </si>
  <si>
    <t>Impact hammer testing; Cracks identification; Artificial intelligence; MFCC; Acoustic NDT</t>
  </si>
  <si>
    <t>Impact hammer testing is a regular structure inspection method for detecting surface and internal damages. Inspectors use the sound from impact hammer testing to determine the damaged area. However, manual impact hammer testing cannot meet the reliable accuracy for small damages, such as concrete cracks, and due to the shortage of experienced workers, a reliable tool is needed to evaluate the hammering sound. Therefore, to improve the detection accuracy, this study proposes an automatic crack identification process of impact hammer testing. Three approaches are used to identify crack characteristics, such as width, depth, and location, based on fast Fourier transformation for the hammering sound. To determine the relationship between damaged and intact information values, the first and second approaches use dominant frequency (D-f) and frequency feature value (V-f), respectively, whereas the last one uses Mel-frequency cepstral coefficients (MFCCs). Six concrete specimens with different crack widths and depths were fabricated to validate the three approaches. The experimental results reveal that although D-f can to detect the damage, it cannot classify its depth and width. Furthermore, V-f indicates the cracks, which are 20-mm deep. Three different artificial-intelligence classification algorithms were used to validate the MFCC approach, fuzzy rule, gradient boosted trees, and support vector machine (SVM). The three algorithms are applied and evaluated to enhance the acoustic impact hammer testing. The results reveal that the SVM algorithm confirms the ability and effectiveness for accurately identifying the concrete fine cracks that are 0.2-mm wide and 40-mm deep.</t>
  </si>
  <si>
    <t>[Alhebrawi, Mohamad Najib; Wu, Zhishen] Ibaraki Univ, Dept Urban &amp; Civil Engn, 4-12-1 Nakanarusawa, Hitachi, Ibaraki 3168511, Japan; [Huang, Huang] Southeast Univ, Key Lab Concrete &amp; Prestressed Concrete Struct, Minist Educ, Nanjing 210096, Peoples R China</t>
  </si>
  <si>
    <t>Ibaraki University; Southeast University - China</t>
  </si>
  <si>
    <t>Wu, ZS (corresponding author), Ibaraki Univ, Dept Urban &amp; Civil Engn, 4-12-1 Nakanarusawa, Hitachi, Ibaraki 3168511, Japan.</t>
  </si>
  <si>
    <t>najeebhub@gmail.com; hhly9527@gmail.com; zhishen.wu.prof@vc.ibaraki.ac.jp</t>
  </si>
  <si>
    <t>Huang, Huang/AGW-1881-2022</t>
  </si>
  <si>
    <t>Huang, Huang/0000-0002-2349-7393; AlHebrawi, Mohamad Najib/0000-0003-3371-968X</t>
  </si>
  <si>
    <t>Priority Research Program of Ibaraki University; Grants-in-Aid for Scientific Research [20H02218] Funding Source: KAKEN</t>
  </si>
  <si>
    <t>Priority Research Program of Ibaraki University; Grants-in-Aid for Scientific Research(Ministry of Education, Culture, Sports, Science and Technology, Japan (MEXT)Japan Society for the Promotion of ScienceGrants-in-Aid for Scientific Research (KAKENHI))</t>
  </si>
  <si>
    <t>The authors disclosed receipt of the following financial support for the research, authorship, and/or publication of this article: the authors gratefully acknowledge the financial support from the Priority Research Program of Ibaraki University.</t>
  </si>
  <si>
    <t>2190-5452</t>
  </si>
  <si>
    <t>2190-5479</t>
  </si>
  <si>
    <t>J CIV STRUCT HEALTH</t>
  </si>
  <si>
    <t>J. Civ. Struct. Health Monit.</t>
  </si>
  <si>
    <t>2-3</t>
  </si>
  <si>
    <t>10.1007/s13349-022-00651-8</t>
  </si>
  <si>
    <t>NOV 2022</t>
  </si>
  <si>
    <t>Engineering, Civil</t>
  </si>
  <si>
    <t>Engineering</t>
  </si>
  <si>
    <t>M9FA4</t>
  </si>
  <si>
    <t>WOS:000886875100002</t>
  </si>
  <si>
    <t>Ersoy, A; Ehtiyar, VR</t>
  </si>
  <si>
    <t>Ersoy, Asli; Ehtiyar, V. Ruya</t>
  </si>
  <si>
    <t>THE IMPACT OF ARTIFICIAL INTELLIGENCE ON HOSPITALITY EMPLOYEES' WORK OUTCOMES</t>
  </si>
  <si>
    <t>ADVANCES IN HOSPITALITY AND TOURISM RESEARCH-AHTR</t>
  </si>
  <si>
    <t>artificial intelligence; systematic literature review; hospitality employees; work outcomes</t>
  </si>
  <si>
    <t>BIG DATA; ORGANIZATIONAL-CHANGE; MANAGEMENT; INNOVATION; INDUSTRY</t>
  </si>
  <si>
    <t>The aim of this systematic literature review is to analyze the existing literature on the impact of artificial intelligence (AI) on employee work outcomes in the hospitality industry context. This paper systematically reviews the association between AI and employee work outcomes through an extensive literature review of published peer-reviewed English articles. Eighteen articles have been found in 12 journals and analyzed through deductive approach. The findings were synthesized into three major themes: enablers or inhibitors of AI adoption, the type of AI-related intention, and job engagement were identified as the most significant and most commonly studied outcomes of AI adoption.</t>
  </si>
  <si>
    <t>[Ersoy, Asli] Alanya Univ, Fac Econ &amp; Adm Sci, Dept Tourism Management, Alanya, Turkiye; [Ehtiyar, V. Ruya] Akdeniz Univ, Tourism Fac, Dept Tourism Management, Antalya, Turkiye</t>
  </si>
  <si>
    <t>Akdeniz University</t>
  </si>
  <si>
    <t>Ersoy, A (corresponding author), Alanya Univ, Fac Econ &amp; Adm Sci, Dept Tourism Management, Alanya, Turkiye.</t>
  </si>
  <si>
    <t>asli.ersoy@alanyauniversity.edu.tr</t>
  </si>
  <si>
    <t>Akdeniz Univ, Tourism Fac</t>
  </si>
  <si>
    <t>ANTALYA</t>
  </si>
  <si>
    <t>DUMLUPINAR BOULEVARD, Campus Antalya, ANTALYA, 07058, Turkiye</t>
  </si>
  <si>
    <t>2147-9100</t>
  </si>
  <si>
    <t>2148-7316</t>
  </si>
  <si>
    <t>ADV HOSP TOUR RES-AH</t>
  </si>
  <si>
    <t>Adv. Hosp. Tour. Res.-AHTR</t>
  </si>
  <si>
    <t>10.30519/ahtr.1264966</t>
  </si>
  <si>
    <t>JUL 2023</t>
  </si>
  <si>
    <t>CJ8U0</t>
  </si>
  <si>
    <t>gold, Green Submitted</t>
  </si>
  <si>
    <t>WOS:001034339000001</t>
  </si>
  <si>
    <t>Gómez-Caicedo, MI; Gaitán-Angulo, M; Bacca-Acosta, J; Torres, CYB; Díaz, JC</t>
  </si>
  <si>
    <t>Ines Gomez-Caicedo, Melva; Gaitan-Angulo, Mercedes; Bacca-Acosta, Jorge; Brinez Torres, Carlos Yesid; Cubillos Diaz, Jenny</t>
  </si>
  <si>
    <t>Business analytics approach to artificial intelligence</t>
  </si>
  <si>
    <t>artificial intelligence; business analytics; economics and business; economics; grow</t>
  </si>
  <si>
    <t>Artificial Intelligence has become an essential element for strengthening the business fabric. The advances obtained in recent years as a result of the incorporation of technology for the improvement of productive activities and the positioning of companies in the markets are remarkable. Hence, the purpose of this paper is to analyze the origin, evolution and development of business analytics (BA) and its relationship with Artificial Intelligence (AI); from the conceptualization, evolution and identification of the main characteristics and research areas of AI and BA, as well as research conducted and published in journals indexed in Scopus between 2002 and 2022. The aim is to define the incidence of BA in business activities and analyze scientific activity and advances of BA to define new research horizons in this field. For this purpose, a bibliometric and documentary analysis is applied, allowing to highlight the findings that provide recognition and comparison of the results. This will facilitate the understanding of the current dynamics, its importance for organizations, and its impact in the face of the new challenges generated by the requirements of world trade.</t>
  </si>
  <si>
    <t>[Ines Gomez-Caicedo, Melva] Liberators Univ, Econ Sci, Bogota, Colombia; [Gaitan-Angulo, Mercedes; Bacca-Acosta, Jorge] Konrad Lorenz Univ Fdn, Business Sch, Bogota, Colombia; [Brinez Torres, Carlos Yesid] Pilot Univ Colombia, Fac Math &amp; Engn, Bogota, Colombia; [Cubillos Diaz, Jenny] Univ Corp Meta, Econ &amp; Management, Villavicencio, Colombia</t>
  </si>
  <si>
    <t>Gómez-Caicedo, MI (corresponding author), Liberators Univ, Econ Sci, Bogota, Colombia.</t>
  </si>
  <si>
    <t>migomezc@libertadores.edu.co</t>
  </si>
  <si>
    <t>Gaitán-Angulo, Mercedes/U-3365-2019; Gomez-Caicedo, Melva/AAR-4492-2021; Bacca, Jorge/K-4183-2017; Briñez Torres, Carlos/IVH-6732-2023</t>
  </si>
  <si>
    <t>Gaitan-Angulo, Mercedes/0000-0002-8248-8788; Brinez Torres, Carlos Yesid/0009-0003-2416-7841</t>
  </si>
  <si>
    <t>SEP 30</t>
  </si>
  <si>
    <t>10.3389/frai.2022.974180</t>
  </si>
  <si>
    <t>8C3TN</t>
  </si>
  <si>
    <t>WOS:000917535100001</t>
  </si>
  <si>
    <t>Johnson, N; Seaman, J; Seaman, J</t>
  </si>
  <si>
    <t>Johnson, Nicole; Seaman, Jeff; Seaman, Julia</t>
  </si>
  <si>
    <t>The Anticipated Impact of Artificial Intelligence on US Higher Education: A National Study</t>
  </si>
  <si>
    <t>ONLINE LEARNING</t>
  </si>
  <si>
    <t>artificial intelligence; generative artificial intelligence; higher education; AIED; institutional change; AI integration</t>
  </si>
  <si>
    <t>Since the rise of generative artificial intelligence (GenAI) in late 2022, many scholars and thought leaders have wondered about its impact on higher education. This study used a survey methodology (three multiple choice questions and one open-ended question) to explore the perspectives of a nationally representative sample of 1,327 U.S. administrators and faculty, asking questions to understand how much change they anticipate as a result of advancements in artificial intelligence (AI) technology, how prepared their institution is for such change, and what aspects of higher education they expect to change. The researchers used Kranzberg's Laws of Technology as a lens to interpret the findings and guide the subsequent discussion about how AI might impact higher education. The findings showed that the vast majority of participants expect that AI will change their institution over the next five years and that the majority of participants do not feel that their institution is ready for change. The comments left in response to the openended questions fell into one of four themes: concerns about academic integrity and rigor, issues related to AI integration (e.g., anticipated benefits, practices in teaching and learning, issues related to preparedness, and the expected scope of change), the feeling that the current AI discourse is merely hype, and feelings of uncertainty. Ultimately, AI has the potential to be both advantageous and disadvantageous to teaching and learning, with the benefits and challenges of its use varying by context.</t>
  </si>
  <si>
    <t>[Johnson, Nicole; Seaman, Jeff; Seaman, Julia] Bay View Analyt, Oakland, CA 94611 USA</t>
  </si>
  <si>
    <t>Johnson, N (corresponding author), Bay View Analyt, Oakland, CA 94611 USA.</t>
  </si>
  <si>
    <t>ONLINE LEARNING CONSORTIUM</t>
  </si>
  <si>
    <t>NEWBURYPORT</t>
  </si>
  <si>
    <t>PO BOX 1238, NEWBURYPORT, MA 01950 USA</t>
  </si>
  <si>
    <t>2472-5749</t>
  </si>
  <si>
    <t>2472-5730</t>
  </si>
  <si>
    <t>ONLINE LEARN</t>
  </si>
  <si>
    <t>Online Learn.</t>
  </si>
  <si>
    <t>10.24059/olj.v28i3.4646</t>
  </si>
  <si>
    <t>G2H6P</t>
  </si>
  <si>
    <t>WOS:001314904400001</t>
  </si>
  <si>
    <t>Ratten, V</t>
  </si>
  <si>
    <t>Ratten, Vanessa</t>
  </si>
  <si>
    <t>Art galleries usage of artificial intelligence</t>
  </si>
  <si>
    <t>INTERNATIONAL JOURNAL OF SOCIOLOGY AND SOCIAL POLICY</t>
  </si>
  <si>
    <t>Art gallery; Artificial intelligence; Digitalisation; Contingency theory; Transformational entrepreneurship</t>
  </si>
  <si>
    <t>CONTINGENCY THEORY; PERFORMANCE; TECHNOLOGY; FIT</t>
  </si>
  <si>
    <t>PurposeRecently there has been a surge in interest about the use of artificial intelligence in organisations with art galleries introducing new technological innovations that coincide with the digitalisation revolution. Virtual and immersive environments that are supported by social media and digital platforms are significantly changing customer experiences at art galleries. This is internationalising and making art gallery experiences more accessible thereby fostering the competitive advantage of art galleries.Design/methodology/approachArt gallery customers, stakeholders and managers are appreciating the use of artificial intelligence with resulting higher satisfaction rates. Building on competency and transformational entrepreneurship theory international art gallery managers were interviewed to understand the role of artificial intelligence in their organisations and the impact of internationalisation.FindingsThe data analysis revealed that the internationalisation of art galleries enabled artificial intelligence to transform in person and online visitor experience, work and marketing, and future art gallery development ideas. Results show that artificial intelligence is opening up new transformations derived from entrepreneurial behaviours.Originality/valueKey managerial implications are that art gallery managers need to utilise their international networks in order to learn about artificial intelligence and other new technological innovation. Theoretical implications are that existing theory can be adapted to an art gallery and artificial intelligence context. Limitations and future research suggestions focus on the need to focus more on art galleries as cultural entities that are more likely to utilise new technology innovation such as artificial intelligence.</t>
  </si>
  <si>
    <t>[Ratten, Vanessa] La Trobe Univ, La Trobe Business Sch, Melbourne, Vic, Australia</t>
  </si>
  <si>
    <t>La Trobe University</t>
  </si>
  <si>
    <t>Ratten, V (corresponding author), La Trobe Univ, La Trobe Business Sch, Melbourne, Vic, Australia.</t>
  </si>
  <si>
    <t>v.ratten@latrobe.edu.au</t>
  </si>
  <si>
    <t>Ratten, Vanessa/KRQ-4411-2024</t>
  </si>
  <si>
    <t>0144-333X</t>
  </si>
  <si>
    <t>1758-6720</t>
  </si>
  <si>
    <t>INT J SOCIOL SOC POL</t>
  </si>
  <si>
    <t>Int. J. Sociol. Soc. Policy</t>
  </si>
  <si>
    <t>AUG 12</t>
  </si>
  <si>
    <t>9/10</t>
  </si>
  <si>
    <t>10.1108/IJSSP-02-2024-0086</t>
  </si>
  <si>
    <t>MAY 2024</t>
  </si>
  <si>
    <t>Sociology</t>
  </si>
  <si>
    <t>A9X1P</t>
  </si>
  <si>
    <t>WOS:001214379000001</t>
  </si>
  <si>
    <t>Ausman, MC</t>
  </si>
  <si>
    <t>Assoc Comp Machinery</t>
  </si>
  <si>
    <t>Ausman, Michelle C.</t>
  </si>
  <si>
    <t>Artificial Intelligence's Impact on Mental Health Treatments</t>
  </si>
  <si>
    <t>AIES '19: PROCEEDINGS OF THE 2019 AAAI/ACM CONFERENCE ON AI, ETHICS, AND SOCIETY</t>
  </si>
  <si>
    <t>2nd AAAI/ACM Conference on AI, Ethics, and Society (AIES)</t>
  </si>
  <si>
    <t>JAN 27-28, 2019</t>
  </si>
  <si>
    <t>Honolulu, HI</t>
  </si>
  <si>
    <t>AAAI,Assoc Comp Machinery,ACM SIGAI,Berkeley Existential Risk Initiat,DeepMind Eth &amp; Soc,Google,Natl Sci Fdn,IBM Res,Facebook,Amazon,PricewaterhouseCoopers,Future Life Inst,Partnership AI</t>
  </si>
  <si>
    <t>artificial intelligence; mental health; therapy; psychology; robots</t>
  </si>
  <si>
    <t>An interest in artificial intelligence (AI) as a medical aid stemmed as research on mental health and psychology increased. Yet despite failing the Turing Test, AI continues to be used as a practical aid in the psychological community. From virtual reality simulations of everyday activities to robotic pet seals implemented in nursing homes, AI has found a home in the psychological field as a support for those in the medical field as well as those taking care of loved ones. In this paper, I aim to look at the stages of the Turing Test, how those are related to factoid and non-factoid questions and how current applications of AI are used in mental health treatments.</t>
  </si>
  <si>
    <t>[Ausman, Michelle C.] Calif Polytech State Univ San Luis Obispo, San Luis Obispo, CA 93407 USA</t>
  </si>
  <si>
    <t>California State University System; California Polytechnic State University San Luis Obispo</t>
  </si>
  <si>
    <t>Ausman, MC (corresponding author), Calif Polytech State Univ San Luis Obispo, San Luis Obispo, CA 93407 USA.</t>
  </si>
  <si>
    <t>mausman22@gmail.com</t>
  </si>
  <si>
    <t>Ausman, Michelle/HCI-4229-2022</t>
  </si>
  <si>
    <t>Department of Liberal Arts and Engineering Studies at California Polytechnic State University, San Luis Obispo</t>
  </si>
  <si>
    <t>Thank you to the Department of Liberal Arts and Engineering Studies at California Polytechnic State University, San Luis Obispo for funding this project.</t>
  </si>
  <si>
    <t>1515 BROADWAY, NEW YORK, NY 10036-9998 USA</t>
  </si>
  <si>
    <t>978-1-4503-6324-2</t>
  </si>
  <si>
    <t>10.1145/3306618.3314311</t>
  </si>
  <si>
    <t>BP5KP</t>
  </si>
  <si>
    <t>WOS:000556121100078</t>
  </si>
  <si>
    <t>Stahl, BC; Antoniou, J; Bhalla, N; Brooks, L; Jansen, P; Lindqvist, B; Kirichenko, A; Marchal, S; Rodrigues, R; Santiago, N; Warso, Z; Wright, D</t>
  </si>
  <si>
    <t>Stahl, Bernd Carsten; Antoniou, Josephina; Bhalla, Nitika; Brooks, Laurence; Jansen, Philip; Lindqvist, Blerta; Kirichenko, Alexey; Marchal, Samuel; Rodrigues, Rowena; Santiago, Nicole; Warso, Zuzanna; Wright, David</t>
  </si>
  <si>
    <t>A systematic review of artificial intelligence impact assessments</t>
  </si>
  <si>
    <t>ARTIFICIAL INTELLIGENCE REVIEW</t>
  </si>
  <si>
    <t>AI; Impact assessment; Systematic review; AI governance</t>
  </si>
  <si>
    <t>PRINCIPLES; AI; ETHICS; RIGHTS</t>
  </si>
  <si>
    <t>Artificial intelligence (AI) is producing highly beneficial impacts in many domains, from transport to healthcare, from energy distribution to marketing, but it also raises concerns about undesirable ethical and social consequences. AI impact assessments (AI-IAs) are a way of identifying positive and negative impacts early on to safeguard AI's benefits and avoid its downsides. This article describes the first systematic review of these AI-IAs. Working with a population of 181 documents, the authors identified 38 actual AI-IAs and subjected them to a rigorous qualitative analysis with regard to their purpose, scope, organisational context, expected issues, timeframe, process and methods, transparency and challenges. The review demonstrates some convergence between AI-IAs. It also shows that the field is not yet at the point of full agreement on content, structure and implementation. The article suggests that AI-IAs are best understood as means to stimulate reflection and discussion concerning the social and ethical consequences of AI ecosystems. Based on the analysis of existing AI-IAs, the authors describe a baseline process of implementing AI-IAs that can be implemented by AI developers and vendors and that can be used as a critical yardstick by regulators and external observers to evaluate organisations' approaches to AI.</t>
  </si>
  <si>
    <t>[Stahl, Bernd Carsten] Univ Nottingham, Sch Comp Sci, Nottingham, England; [Stahl, Bernd Carsten; Bhalla, Nitika] De Montfort Univ, Ctr Comp &amp; Social Responsibil, Leicester, England; [Antoniou, Josephina] Univ Cent Lancashire Cyprus, Sch Sci, Larnaka, Cyprus; [Brooks, Laurence] Univ Sheffield, Informat Sch, Sheffield, England; [Jansen, Philip] Univ Twente, Dept Philosophy, Enschede, Netherlands; [Lindqvist, Blerta] Aalto Univ, Dept Comp Sci, Espoo, Finland; [Kirichenko, Alexey; Marchal, Samuel] WithSecure, Helsinki, Finland; [Rodrigues, Rowena; Santiago, Nicole; Wright, David] Trilateral Res, London, England; [Santiago, Nicole] Technol Ethics &amp; Policy Consulting, Kansas City, MO USA; [Warso, Zuzanna] Trilateral Res, Belview Port, Ireland; [Warso, Zuzanna] Open Future Fdn, Warsaw, Poland</t>
  </si>
  <si>
    <t>University of Nottingham; De Montfort University; University of Sheffield; University of Twente; Aalto University</t>
  </si>
  <si>
    <t>Stahl, BC (corresponding author), Univ Nottingham, Sch Comp Sci, Nottingham, England.;Stahl, BC (corresponding author), De Montfort Univ, Ctr Comp &amp; Social Responsibil, Leicester, England.</t>
  </si>
  <si>
    <t>bernd.stahl@nottingham.ac.uk</t>
  </si>
  <si>
    <t>Antoniou, Josephina/GYA-0935-2022; Brooks, Laurence/AAN-8456-2021; Stahl, Bernd/AAK-4828-2021</t>
  </si>
  <si>
    <t>Antoniou, Josephina/0000-0003-0169-1299; Marchal, Samuel/0000-0002-8522-2707; Santiago, Nicole/0000-0002-0903-9599; Brooks, Laurence/0000-0002-5456-8799; Stahl, Bernd Carsten/0000-0002-4058-4456</t>
  </si>
  <si>
    <t>EU; European Union's Horizon 2020 Framework Programme for Research and Innovation [786641, 945539]; UK Engineering and Physical Sciences Research Council [Horizon Digital Economy Research Trusted Data Driven Products] [EP/T022493/1]; EPSRC [EP/T022493/1] Funding Source: UKRI</t>
  </si>
  <si>
    <t>EU(European Union (EU)); European Union's Horizon 2020 Framework Programme for Research and Innovation(Horizon 2020); UK Engineering and Physical Sciences Research Council [Horizon Digital Economy Research Trusted Data Driven Products]; EPSRC(UK Research &amp; Innovation (UKRI)Engineering &amp; Physical Sciences Research Council (EPSRC))</t>
  </si>
  <si>
    <t>The authors would like to acknowledge the contribution of colleagues from the SHERPA project as well as other researchers with whom this work was discussed. This article draws from research undertaken by the EU-funded projects SHERPA (www.project-sherpa.eu) and the Human Brain Project SGA3 (www.humanbrainproject) that have received funding from the European Union's Horizon 2020 Framework Programme for Research and Innovation under Grant Nos. 786641 and 945539. This work was supported by the UK Engineering and Physical Sciences Research Council [Horizon Digital Economy Research Trusted Data Driven Products: EP/T022493/1]</t>
  </si>
  <si>
    <t>0269-2821</t>
  </si>
  <si>
    <t>1573-7462</t>
  </si>
  <si>
    <t>ARTIF INTELL REV</t>
  </si>
  <si>
    <t>Artif. Intell. Rev.</t>
  </si>
  <si>
    <t>10.1007/s10462-023-10420-8</t>
  </si>
  <si>
    <t>S4WT3</t>
  </si>
  <si>
    <t>Green Published, Green Accepted, hybrid</t>
  </si>
  <si>
    <t>WOS:000960980500002</t>
  </si>
  <si>
    <t>Filgueiras, F</t>
  </si>
  <si>
    <t>Filgueiras, Fernando</t>
  </si>
  <si>
    <t>Artificial intelligence and education governance</t>
  </si>
  <si>
    <t>EDUCATION CITIZENSHIP AND SOCIAL JUSTICE</t>
  </si>
  <si>
    <t>artificial intelligence; big data; education policy; platforms; school management</t>
  </si>
  <si>
    <t>Artificial intelligence (AI) and big data methodologies have provided a vast possibility of applications in different public policy sectors. AI and big data provide essential innovations in school teaching and learning practices, curriculum, and management in education, transforming the entire formulation and implementation of education policy. The possibilities of AI in education present a high potential for improvement but a series of new risks and threats that question the benefits of adopting AI in education. This article discusses the possibilities and limits of artificial intelligence in education, observing the institutionalization of new governance practices in education that emerge with digital technologies. To discuss these new governance practices, we deal with the Beijing Consensus on artificial intelligence in education and the challenges of building new education governance. In addition, we discuss potential impacts of AI on education, with a special focus on social justice.</t>
  </si>
  <si>
    <t>[Filgueiras, Fernando] Univ Fed Goias, Goiania, Brazil; [Filgueiras, Fernando] Univ Fed Goias, Rua Jacaranda, Chacaras Calif, BR-74605220 Goiania, Brazil</t>
  </si>
  <si>
    <t>Universidade Federal de Goias; Universidade Federal de Goias</t>
  </si>
  <si>
    <t>Filgueiras, F (corresponding author), Univ Fed Goias, Rua Jacaranda, Chacaras Calif, BR-74605220 Goiania, Brazil.</t>
  </si>
  <si>
    <t>fernandofilgueiras@hotmail.com</t>
  </si>
  <si>
    <t>Filgueiras, Fernando/GWM-7026-2022</t>
  </si>
  <si>
    <t>Filgueiras, Fernando/0000-0001-9570-8113</t>
  </si>
  <si>
    <t>Conselho Nacional de Desenvolvimento Cientifico e Tecnologico-Bolsa de Produtividade em Pesquisa-Processo [303273/2020-8]</t>
  </si>
  <si>
    <t>Conselho Nacional de Desenvolvimento Cientifico e Tecnologico-Bolsa de Produtividade em Pesquisa-Processo</t>
  </si>
  <si>
    <t>The author disclosed receipt of the following financial support for the research, authorship, and/or publication of this article: Conselho Nacional de Desenvolvimento Cientifico e Tecnologico-Bolsa de Produtividade em Pesquisa-Processo 303273/2020-8.</t>
  </si>
  <si>
    <t>1746-1979</t>
  </si>
  <si>
    <t>1746-1987</t>
  </si>
  <si>
    <t>EDUC CITIZSH SOC JUS</t>
  </si>
  <si>
    <t>Educ. Citizsh. Soc. Justice</t>
  </si>
  <si>
    <t>10.1177/17461979231160674</t>
  </si>
  <si>
    <t>APR 2023</t>
  </si>
  <si>
    <t>L0H2Z</t>
  </si>
  <si>
    <t>WOS:000962997400001</t>
  </si>
  <si>
    <t>Ashraf, C</t>
  </si>
  <si>
    <t>Ashraf, Cameran</t>
  </si>
  <si>
    <t>Exploring the impacts of artificial intelligence on freedom of religion or belief online</t>
  </si>
  <si>
    <t>INTERNATIONAL JOURNAL OF HUMAN RIGHTS</t>
  </si>
  <si>
    <t>Artificial intelligence; human rights; algorithms; freedom of religion; freedom of belief</t>
  </si>
  <si>
    <t>Freedom of religion or belief is an essential right for building pluralistic and tolerant societies which can sustain a multiplicity of competing ideas. However, the opaqueness of artificial intelligence systems on the Internet represents a challenge to the protection and enjoyment of this and other human rights. Although AI has generated interest in the human rights literature, these studies have largely focused on AI and its impact on freedom of expression and privacy, leaving other rights such as freedom of religion or belief neglected. As part of a broader research project to expand the academic conversation about AI and human rights, this paper will examine the impact of artificial intelligence on freedom of religion or belief online. The paper will focus on the worship, teaching, observance, and practice associated with freedom of religion or belief alongside the impacts of AI in content display, content moderation, and online privacy. The paper will offer preliminary policy recommendations to encourage discussion on policy approaches to AI development and deployment which incorporate protections for freedom of religion or belief in the era of artificial intelligence.</t>
  </si>
  <si>
    <t>[Ashraf, Cameran] Cent European Univ, Sch Publ Policy, Quellenstr 51, A-1100 Vienna, Austria</t>
  </si>
  <si>
    <t>Ashraf, C (corresponding author), Cent European Univ, Sch Publ Policy, Quellenstr 51, A-1100 Vienna, Austria.</t>
  </si>
  <si>
    <t>AshrafC@spp.ceu.edu</t>
  </si>
  <si>
    <t>Ashraf, Cameran/0000-0003-3275-3624</t>
  </si>
  <si>
    <t>1364-2987</t>
  </si>
  <si>
    <t>1744-053X</t>
  </si>
  <si>
    <t>INT J HUM RIGHTS</t>
  </si>
  <si>
    <t>Int. J. Hum. Rights</t>
  </si>
  <si>
    <t>MAY 28</t>
  </si>
  <si>
    <t>10.1080/13642987.2021.1968376</t>
  </si>
  <si>
    <t>AUG 2021</t>
  </si>
  <si>
    <t>1M1EY</t>
  </si>
  <si>
    <t>WOS:000686024400001</t>
  </si>
  <si>
    <t>Jiménez, EAL; Ouariachi, T</t>
  </si>
  <si>
    <t>Lopez Jimenez, Eduardo Alejandro; Ouariachi, Tania</t>
  </si>
  <si>
    <t>An exploration of the impact of artificial intelligence (AI) and automation for communication professionals</t>
  </si>
  <si>
    <t>JOURNAL OF INFORMATION COMMUNICATION &amp; ETHICS IN SOCIETY</t>
  </si>
  <si>
    <t>Artificial intelligence; Training; Impact; Delphi method; Automation; Technology resistance</t>
  </si>
  <si>
    <t>PUBLIC-RELATIONS</t>
  </si>
  <si>
    <t>Purpose Artificial intelligence (AI) and automation are currently changing human life with a great implication in the communication field. This research focusses on understanding the current and growing impact of AI and automation in the role of communication professionals to identify what skills and training are needed to face its impacts leading to a recommendation. Design/methodology/approach The research involves methodological triangulation, analysing and comparing data gathered from consulting with experts using the Delphi method, focus group with communication students, and literature review. Findings Findings show that the likely impacts are on the one hand the enhancing of efficiency and productivity, as well as freeing communication professionals to focus on the creative side, strategy and analytical thinking, on the other hand, repetitive and low-level jobs could be lost, being higher position jobs or those involving creativity and decision making harder to automate. Two types of training are needed: to gather experience with the current AI and automated tools, and to focus on developing human qualities that AI cannot replicate. Originality/value The outcomes of this research are valuable to help current and future communication practitioners, as well as organisations, to be one step ahead and survive the age AI and automation, being aware of its current and near-future impacts. The paper offers a list of recommended soft and technical skills, as well as training needed, categorizing them in low, medium and high priority.</t>
  </si>
  <si>
    <t>[Lopez Jimenez, Eduardo Alejandro; Ouariachi, Tania] Hanze Univ Appl Sci, Groningen, Netherlands</t>
  </si>
  <si>
    <t>Ouariachi, T (corresponding author), Hanze Univ Appl Sci, Groningen, Netherlands.</t>
  </si>
  <si>
    <t>posicionate.seo@gmail.com; t.ouariachi.peralta@pl.hanze.nl</t>
  </si>
  <si>
    <t>Ouariachi, Tania/AAF-3501-2019</t>
  </si>
  <si>
    <t>1477-996X</t>
  </si>
  <si>
    <t>1758-8871</t>
  </si>
  <si>
    <t>J INF COMMUN ETHICS</t>
  </si>
  <si>
    <t>J. Inf. Commun. Ethics Soc.</t>
  </si>
  <si>
    <t>JUN 4</t>
  </si>
  <si>
    <t>10.1108/JICES-03-2020-0034</t>
  </si>
  <si>
    <t>DEC 2020</t>
  </si>
  <si>
    <t>Ethics</t>
  </si>
  <si>
    <t>SO6UD</t>
  </si>
  <si>
    <t>WOS:000596030900001</t>
  </si>
  <si>
    <t>Martin, A; Jenkins, K</t>
  </si>
  <si>
    <t>Martin, Andre; Jenkins, Khalia</t>
  </si>
  <si>
    <t>Speaking your language: The psychological impact of dialect integration in artificial intelligence systems</t>
  </si>
  <si>
    <t>CURRENT OPINION IN PSYCHOLOGY</t>
  </si>
  <si>
    <t>Artificial intelligence; Dialect; Language</t>
  </si>
  <si>
    <t>AUTHENTICITY</t>
  </si>
  <si>
    <t>As the popularity and adoption of Artificial Intelligence (AI) systems continue to rise, this article presents a promising proposition: the use of AI dialects to enhance AI perception. By delving into the potential of personalized AI dialects to augment user perceptions of warmth, competence, and authenticity, the article underscores the pivotal role of anthropomorphism in fortifying trust, satisfaction, and loyalty to AI systems. A comprehensive research framework is put forth to explore these potential mechanisms and outcomes of AI dialect introduction, shedding light on how these impacts might vary based on AI modality (text, voice, and video), industry adoption, and user demographics.</t>
  </si>
  <si>
    <t>[Martin, Andre] Univ Notre Dame, Mendoza Coll Business, 382 Mendoza Coll Business, Notre Dame, IN 46556 USA; [Jenkins, Khalia] Amer Univ, Kogod Sch Business, Kogod Sch Business T46,4400 Massachusetts Ave NW, Washington, DC 20016 USA</t>
  </si>
  <si>
    <t>University of Notre Dame; American University</t>
  </si>
  <si>
    <t>Martin, A (corresponding author), Univ Notre Dame, Mendoza Coll Business, 382 Mendoza Coll Business, Notre Dame, IN 46556 USA.</t>
  </si>
  <si>
    <t>amarti94@nd.edu</t>
  </si>
  <si>
    <t>, Khalia Jenkins/0009-0004-1348-3977; Martin, Andre/0009-0009-7811-8264</t>
  </si>
  <si>
    <t>2352-250X</t>
  </si>
  <si>
    <t>2352-2518</t>
  </si>
  <si>
    <t>CURR OPIN PSYCHOL</t>
  </si>
  <si>
    <t>Curr. Opin. Psychol.</t>
  </si>
  <si>
    <t>10.1016/j.copsyc.2024.101840</t>
  </si>
  <si>
    <t>Psychology, Multidisciplinary</t>
  </si>
  <si>
    <t>Psychology</t>
  </si>
  <si>
    <t>I9Y4B</t>
  </si>
  <si>
    <t>WOS:001333732000001</t>
  </si>
  <si>
    <t>Subha, L; Sharma, A; Misra, A</t>
  </si>
  <si>
    <t>Subha, L.; Sharma, Atul; Misra, Anita</t>
  </si>
  <si>
    <t>Revolutionizing Ophthalmic Care: The Impact of Artificial Intelligence</t>
  </si>
  <si>
    <t>GAZI MEDICAL JOURNAL</t>
  </si>
  <si>
    <t>Deep learning; glaucoma; diabetic retinopathy; ophthalmology; artificial intelligence; degenerative maculopathy</t>
  </si>
  <si>
    <t>OPTICAL COHERENCE TOMOGRAPHY; AUTOMATED SEGMENTATION; DIABETIC-RETINOPATHY; MACULAR DEGENERATION; AGE; GLAUCOMA; KERATOCONUS; ALGORITHM; DIAGNOSIS; PROGRESSION</t>
  </si>
  <si>
    <t>Progress in digital health and telemedicine has brought forth instruments can enhance the accessibility and efficacy of eye care services. Current research shows how technology-enabled approaches are changing the way care is provided. Traditional diagnostic methods rely on physician expertise, resulting in high misdiagnosis rates and data inefficiency. Integrating ophthalmology with artificial intelligence (AI) promises to overhaul current diagnostic approaches, potentially making a significant clinical impact. Deep learning, an emerging facet of machine learning (ML), can uncover complex data structures without explicit rule specifications. The review centers on the revolutionary potential of AI in the identification and treatment of ocular disorders, such as diabetic retinopathy, degenerative maculopathy, retinal diseases, corneal diseases, anterior ocular region issues, and glaucoma. It explores AI-driven advancements in image analysis, pattern recognition, and ML techniques for individualized treatment plans, early diagnosis, and categorization. The difficulties with data standards, interpretability, and integration are discussed in this paper into clinical practice. It also emphasizes the potential of AI to enhance screening efficiency, reduce physician workload, and improve patient outcomes in ocular pathologies.</t>
  </si>
  <si>
    <t>[Subha, L.] Sree Balaji Med Coll &amp; Hosp, Dept Ophthalmol, Chennai, India; [Sharma, Atul] Padma Eye Care Ctr, Dept Ophthalmol, Jabalpur, India; [Misra, Anita] SCB Med Coll &amp; Hosp, Dept Ophthalmol, Cuttack, India</t>
  </si>
  <si>
    <t>Bharath Institute of Higher Education &amp; Research; Sree Balaji Medical College &amp; Hospital; Srirama Chandra Bhanja Medical College &amp; Hospital</t>
  </si>
  <si>
    <t>Misra, A (corresponding author), SCB Med Coll &amp; Hosp, Dept Ophthalmol, Cuttack, India.</t>
  </si>
  <si>
    <t>misraanita13@gmail.com</t>
  </si>
  <si>
    <t>GALENOS PUBL HOUSE</t>
  </si>
  <si>
    <t>ISTANBUL</t>
  </si>
  <si>
    <t>Kacamak Sokak 21/1, ISTANBUL, Findikzade, TURKIYE</t>
  </si>
  <si>
    <t>2147-2092</t>
  </si>
  <si>
    <t>GAZI MED J</t>
  </si>
  <si>
    <t>Gazi Med. J.</t>
  </si>
  <si>
    <t>10.12996/gmj.2024.4182</t>
  </si>
  <si>
    <t>J4W0L</t>
  </si>
  <si>
    <t>WOS:001337072400019</t>
  </si>
  <si>
    <t>Sálek, P</t>
  </si>
  <si>
    <t>Vojackova, H</t>
  </si>
  <si>
    <t>Salek, Pavel</t>
  </si>
  <si>
    <t>EU Artificial Intelligence Act in Banking Sector: Impact and Implementation</t>
  </si>
  <si>
    <t>40TH INTERNATIONAL CONFERENCE MATHEMATICAL METHODS IN ECONOMICS 2022</t>
  </si>
  <si>
    <t>40th International Conference on Mathematical Methods in Economics</t>
  </si>
  <si>
    <t>SEP 07-09, 2022</t>
  </si>
  <si>
    <t>Coll Polytechn Jihlava, Jihlava, CZECH REPUBLIC</t>
  </si>
  <si>
    <t>Czech Soc Operat Res</t>
  </si>
  <si>
    <t>Coll Polytechn Jihlava</t>
  </si>
  <si>
    <t>AI; artificial intelligence act; explainability; interpretability; regulation; machine learning</t>
  </si>
  <si>
    <t>The European Union Commission's regulatory proposal on Artificial Intelligence will enter into force within the next two years. The focus of the Act is the introduction of regulatory and legal frameworks for the application of the artificial intelligence across European Union. The Act divides the implementation of AI into four main categories by the risk involved with their possible applications. The risks assessed are mainly opacity, complexity, unpredictability, autonomy, and data. The systems in the low risk category are permitted to use without any restrictions. The next category is AI systems with specific transparency obligations (i.e., chatbots, deep fakes). The high risk category involves systems that are products of other safety regulations (i.e., machinery, toys, and medical care) and systems listed by the European Commission as high risk. The AI systems in this category must be sufficiently transparent to enable users to understand and control how the high-risk AI system produces its output. The last category is systems with unacceptable risk where the application of AI is prohibited. Systems that can cause physical or emotional harm (i.e., social scoring) fall into this category. This article aims to assess the impact of the obligations in different risk categories on the AI systems and discuss the potential explainability and interpretability techniques that can be used to ensure the successful implementation of the Act.</t>
  </si>
  <si>
    <t>[Salek, Pavel] Prague Univ Econ &amp; Business, Prague, Czech Republic</t>
  </si>
  <si>
    <t>Prague University of Economics &amp; Business</t>
  </si>
  <si>
    <t>Sálek, P (corresponding author), Prague Univ Econ &amp; Business, Prague, Czech Republic.</t>
  </si>
  <si>
    <t>xsalp09@vse.cz</t>
  </si>
  <si>
    <t>COLL POLYTECHNICS JIHLAVA</t>
  </si>
  <si>
    <t>JIHLAVA</t>
  </si>
  <si>
    <t>TOLSTEHO 1556-16, JIHLAVA, 586 01, CZECH REPUBLIC</t>
  </si>
  <si>
    <t>978-80-88064-62-6</t>
  </si>
  <si>
    <t>Economics; Mathematics, Interdisciplinary Applications; Social Sciences, Mathematical Methods</t>
  </si>
  <si>
    <t>Business &amp; Economics; Mathematics; Mathematical Methods In Social Sciences</t>
  </si>
  <si>
    <t>BU7EP</t>
  </si>
  <si>
    <t>WOS:000936355000055</t>
  </si>
  <si>
    <t>Wang, Y; Hu, MR; Wan, Q</t>
  </si>
  <si>
    <t>Wang, Yue; Hu, Maorong; Wan, Qing</t>
  </si>
  <si>
    <t>The application and prospects of artificial intelligence in the treatment of anxiety disorders</t>
  </si>
  <si>
    <t>PROCEEDINGS OF 2023 4TH INTERNATIONAL SYMPOSIUM ON ARTIFICIAL INTELLIGENCE FOR MEDICINE SCIENCE, ISAIMS 2023</t>
  </si>
  <si>
    <t>4th International Symposium on Artificial Intelligence for Medicine Science (ISAIMS)</t>
  </si>
  <si>
    <t>OCT 20-22, 2023</t>
  </si>
  <si>
    <t>anxiety disorder; artificial intelligence; virtual reality therapy; selfhelp applications; chatbots</t>
  </si>
  <si>
    <t>This article explores the application areas and prospects of artificial intelligence in the treatment of anxiety disorders. Anxiety disorders are common psychological conditions that impact the quality of life for many individuals. Artificial intelligence is a technology that simulates human intelligence and offers assistance and services in various fields. This article primarily discusses how artificial intelligence can aid individuals with anxiety disorders in four main areas: intelligent assessment, virtual reality therapy, self-help applications and online resources, and chatbots. The article summarizes the challenges and limitations of using artificial intelligence in the treatment of anxiety disorders and envisions future trends and possibilities. The objective of this article is to provide a reference and inspiration for the application of artificial intelligence in the field of mental health.</t>
  </si>
  <si>
    <t>[Wang, Yue; Hu, Maorong; Wan, Qing] Nanchang Univ, Coll Human, Jiangxi Univ Chinese Med, Dept Psychosomat Med,Affiliated Hosp 1, Nanchang, Peoples R China</t>
  </si>
  <si>
    <t>Nanchang University; Jiangxi University of Traditional Chinese Medicine</t>
  </si>
  <si>
    <t>Hu, MR (corresponding author), Nanchang Univ, Coll Human, Jiangxi Univ Chinese Med, Dept Psychosomat Med,Affiliated Hosp 1, Nanchang, Peoples R China.</t>
  </si>
  <si>
    <t>1191140895@qq.com; maron13@126.com; 836015164@qq.com</t>
  </si>
  <si>
    <t>Wan, Qing/IQS-3839-2023</t>
  </si>
  <si>
    <t>979-8-4007-0813-8</t>
  </si>
  <si>
    <t>10.1145/3644116.3644274</t>
  </si>
  <si>
    <t>Computer Science, Artificial Intelligence; Computer Science, Theory &amp; Methods; Engineering, Biomedical</t>
  </si>
  <si>
    <t>BW9GP</t>
  </si>
  <si>
    <t>WOS:001213963600153</t>
  </si>
  <si>
    <t>Li, DH; Zhang, ZX; Gao, X</t>
  </si>
  <si>
    <t>Li, Donghui; Zhang, Zhanxiang; Gao, Xin</t>
  </si>
  <si>
    <t>Does artificial intelligence deter greenwashing?</t>
  </si>
  <si>
    <t>FINANCE RESEARCH LETTERS</t>
  </si>
  <si>
    <t>Artificial intelligence; Greenwashing; ESG performance; Corporate governance</t>
  </si>
  <si>
    <t>CORPORATE; PERFORMANCE; OWNERSHIP; IMPACT</t>
  </si>
  <si>
    <t>Employing 6,940 observations of 1,205 Chinese-listed firms from 2012 to 2022, we provide robust evidence that Artificial Intelligence (hereafter AI) inhibits greenwashing. We further find that AI achieves this effect by mitigating agency problems, easing financing constraints, and increasing external attention. In addition, the positive impact of AI in curbing greenwashing is more notable in politically unaffiliated firms, those with fewer female directors, or those with weaker equity incentives. Our findings highlight AI's crucial role in combating greenwashing and maintaining capital market order.</t>
  </si>
  <si>
    <t>[Li, Donghui; Zhang, Zhanxiang; Gao, Xin] Shenzhen Univ, Coll Econ, Shenzhen, Peoples R China</t>
  </si>
  <si>
    <t>Shenzhen University</t>
  </si>
  <si>
    <t>Gao, X (corresponding author), Shenzhen Univ, Coll Econ, Shenzhen, Peoples R China.</t>
  </si>
  <si>
    <t>xin.gao@szu.edu.cn</t>
  </si>
  <si>
    <t>zhang, zhanxiang/0009-0003-7013-678X; Li, Donghui/0000-0003-2657-8452</t>
  </si>
  <si>
    <t>National Natural Science Foundation of China [71873058, 72373099]; Start-up Research Grant in Shenzhen University [868-000001032033]</t>
  </si>
  <si>
    <t>National Natural Science Foundation of China(National Natural Science Foundation of China (NSFC)); Start-up Research Grant in Shenzhen University</t>
  </si>
  <si>
    <t>Donghui Li would like to thank the National Natural Science Foundation of China (Grant No. 71873058 and 72373099) for financial support. Xin Gao would like to thank the Start-up Research Grant in Shenzhen University (Grant No. 868-000001032033). All authors have equal contributions to the formation of this paper. All errors are ours.</t>
  </si>
  <si>
    <t>ACADEMIC PRESS INC ELSEVIER SCIENCE</t>
  </si>
  <si>
    <t>525 B ST, STE 1900, SAN DIEGO, CA 92101-4495 USA</t>
  </si>
  <si>
    <t>1544-6123</t>
  </si>
  <si>
    <t>1544-6131</t>
  </si>
  <si>
    <t>FINANC RES LETT</t>
  </si>
  <si>
    <t>Financ. Res. Lett.</t>
  </si>
  <si>
    <t>B</t>
  </si>
  <si>
    <t>10.1016/j.frl.2024.105954</t>
  </si>
  <si>
    <t>AUG 2024</t>
  </si>
  <si>
    <t>Business, Finance</t>
  </si>
  <si>
    <t>D7D3P</t>
  </si>
  <si>
    <t>WOS:001297746400001</t>
  </si>
  <si>
    <t>Li, J; Ma, SQ; Qu, Y; Wang, JM</t>
  </si>
  <si>
    <t>Li, Juan; Ma, Shaoqi; Qu, Yi; Wang, Jiamin</t>
  </si>
  <si>
    <t>The impact of artificial intelligence on firms' energy and resource efficiency: Empirical evidence from China</t>
  </si>
  <si>
    <t>RESOURCES POLICY</t>
  </si>
  <si>
    <t>Artificial intelligence; Energy efficiency; Total factor productivity; Scale effects; Structural effects; Efficiency effects</t>
  </si>
  <si>
    <t>CO2 EMISSIONS; LMDI APPROACH; DECOMPOSITION; PRODUCTIVITY; TECHNOLOGY; GROWTH; CONSUMPTION; INTENSITY; POLICY</t>
  </si>
  <si>
    <t>As a strategic technology, artificial intelligence is leading a new round of technological revolution and industrial upgrading that plays an essential role in cultivating emerging industries. This paper employs robot application data compiled by the IFR (International Federation of Robotics) and Chinese firm-level data to empirically investigate the impact of artificial intelligence applications on the energy and resource efficiency of firms. From 2005 to 2014, the energy efficiency of industrial enterprises had an upward trend, and the level of artificial intelligence showed a significant increase in China. Based on our findings, artificial intelligence has a positive and significant impact on improving the energy and resource efficiency of Chinese firms. Controlling for endogeneity issues, the results are robust. Artificial intelligence affects the energy consumption of enterprises through scale, structural, and efficiency effects. Structural and efficiency effects are greater than the impact of scale effects. Therefore, artificial intelligence saves energy consumption and improves energy and resource efficiency. Regarding considerably increasing energy demands, the development of artificial intelligence offers a unique opportunity to improve the energy and resource efficiency of enterprises, thus adjusting the energy and economic structure of a country.</t>
  </si>
  <si>
    <t>[Li, Juan; Ma, Shaoqi; Wang, Jiamin] Southwestern Univ Finance &amp; Econ, Sch Int Business, Chengdu, Peoples R China; [Qu, Yi] Dongbei Univ Finance &amp; Econ, Surrey Int Inst, Dalian, Peoples R China; [Li, Juan] Southwestern Univ Finance &amp; Econ, Sch Int Business, Chengdu 611130, Peoples R China</t>
  </si>
  <si>
    <t>Southwestern University of Finance &amp; Economics - China; Dongbei University of Finance &amp; Economics; Southwestern University of Finance &amp; Economics - China</t>
  </si>
  <si>
    <t>Li, J (corresponding author), Southwestern Univ Finance &amp; Econ, Sch Int Business, Chengdu 611130, Peoples R China.</t>
  </si>
  <si>
    <t>ljuan@swufe.edu.cn</t>
  </si>
  <si>
    <t>Qu, Yi/HPE-2345-2023</t>
  </si>
  <si>
    <t>Humanities and Social Science Youth Foundation of Ministry of Education of China [19YJC790062]</t>
  </si>
  <si>
    <t>Humanities and Social Science Youth Foundation of Ministry of Education of China</t>
  </si>
  <si>
    <t>Acknowledgements The authors acknowledge Humanities and Social Science Youth Foundation of Ministry of Education of China (Grant Number: 19YJC790062) .</t>
  </si>
  <si>
    <t>0301-4207</t>
  </si>
  <si>
    <t>1873-7641</t>
  </si>
  <si>
    <t>RESOUR POLICY</t>
  </si>
  <si>
    <t>Resour. Policy</t>
  </si>
  <si>
    <t>10.1016/j.resourpol.2023.103507</t>
  </si>
  <si>
    <t>E3YQ3</t>
  </si>
  <si>
    <t>WOS:000974938500001</t>
  </si>
  <si>
    <t>Adamcová, S</t>
  </si>
  <si>
    <t>Adamcova, Silvia</t>
  </si>
  <si>
    <t>Artificial Intelligence and its Impact on Teaching, Learning and Work</t>
  </si>
  <si>
    <t>MUTTERSPRACHE</t>
  </si>
  <si>
    <t>German</t>
  </si>
  <si>
    <t>Artificial Intelligence; future competencies; ChatGPT; Large Language Models; digital language learning</t>
  </si>
  <si>
    <t>In today's foreign language learning, a constant expansion of vocabulary is necessary in order to keep pace with developments in technology and science. This article looks at a current topic in German linguistics the language about artificial intelligence in relation to applications such as ChatGPT and chatbots. As the rapid development of modern technologies and their applications raises numerous linguistic issues, the new generation of university graduates must adapt to constant changes in the labour market. In addition to the development of new skills, this also involves the acquisition of specialised vocabulary from digital media such as Al. It is also being investigated whether artificial intelligence can help to promote and support language skills in the classroom. In a next step, specific requirements of foreign language teaching for teachers and students will be addressed with regard to future skills, which represent a particular challenge in the education sector in view of the high speed of the diverse developments. This study thus makes a contribution to the current debate on the role of artificial intelligence in higher education. Overall, this evaluation offers an insight into a highly topical subject of the application of artificial intelligence, which will have a significant influence on the linguistic and pedagogical practice of the future.</t>
  </si>
  <si>
    <t>[Adamcova, Silvia] Wirtschaftsuniv Bratislava, Lehrstuhl Linguist &amp; Translatol, Fak Angew Sprachen, Bratislava, Slovakia</t>
  </si>
  <si>
    <t>Adamcová, S (corresponding author), Wirtschaftsuniv Bratislava, Lehrstuhl Linguist &amp; Translatol, Fak Angew Sprachen, Bratislava, Slovakia.</t>
  </si>
  <si>
    <t>silvia.adamcova@euba.sk</t>
  </si>
  <si>
    <t>GESELLSCHAFT DEUTSCHE SPRACHE</t>
  </si>
  <si>
    <t>WIESBADEN</t>
  </si>
  <si>
    <t>SPIEGELGASSE 13, D-65183 WIESBADEN, GERMANY</t>
  </si>
  <si>
    <t>0027-514X</t>
  </si>
  <si>
    <t>Muttersprache</t>
  </si>
  <si>
    <t>10.53371/61178</t>
  </si>
  <si>
    <t>Arts &amp; Humanities Citation Index (A&amp;HCI)</t>
  </si>
  <si>
    <t>J5I5Z</t>
  </si>
  <si>
    <t>WOS:001337400800004</t>
  </si>
  <si>
    <t>Socol, A; Marin-Pantelescu, A; Tamas-Szora, A; Cioca, IC</t>
  </si>
  <si>
    <t>Socol, Adela; Marin-Pantelescu, Andreea; Tamas-Szora, Attila; Cioca, Ionela Cornelia</t>
  </si>
  <si>
    <t>THE IMPACT OF ARTIFICIAL INTELLIGENCE APPLIED IN BUSINESSES ON ECONOMIC GROWTH, WELFARE, AND SOCIAL DISPARITIES</t>
  </si>
  <si>
    <t>Artificial intelligence (AI); enterprises; growth; welfare; unemployment; European Union</t>
  </si>
  <si>
    <t>GOVERNMENT EXPENDITURE; POVERTY; TRENDS; AUTOMATION; INNOVATION; INCOME</t>
  </si>
  <si>
    <t>Previous literature on the impact of the application of artificial intelligence in businesses on economic growth, welfare, and social disparities is scarce, due to limited data and the recent dynamics of the field. To contribute to this gap, the study employs the percentage of large enterprises in the European Union (EU-27) using artificial intelligence technologies in production for the year 2021. The results obtained by static analysis (Feasible Generalized Least Squares method) indicate positive relationships between the application of artificial intelligence in large enterprises in European Union countries and economic growth, while the analysis of welfare and social disparities leads to mixed results: increasing the average net income per person, respectively, the poverty threshold and decreasing the number of people at risk of poverty and unemployment. Spatial analysis (Spatial Lag Model) of the economic and social impact of artificial intelligence applied in a country's large enterprises on neighbouring countries leads to robust results for economic growth and net average income per person, whose levels are positively influenced, through spillover effects and spatial interactions between states. At the microeconomic level, the study highlights the need for rapid adaptation of enterprises to artificial intelligence, and from the perspective of public policies, the need for transparent and sustainable regulations.</t>
  </si>
  <si>
    <t>[Socol, Adela; Tamas-Szora, Attila; Cioca, Ionela Cornelia] 1 Decembrie 1918 Univ Alba Iulia, Alba Iulia, Romania; [Marin-Pantelescu, Andreea] Bucharest Univ Econ Studies, Bucharest, Romania</t>
  </si>
  <si>
    <t>1 Decembrie 1918 University Alba Iulia; Bucharest University of Economic Studies</t>
  </si>
  <si>
    <t>Marin-Pantelescu, A (corresponding author), Bucharest Univ Econ Studies, Bucharest, Romania.</t>
  </si>
  <si>
    <t>marin.andreea@com.ase.ro</t>
  </si>
  <si>
    <t>Marin-Pantelescu, Andreea/GLT-2457-2022; Socol, Adela/AFV-9062-2022</t>
  </si>
  <si>
    <t>Socol, Adela/0000-0002-9774-2494</t>
  </si>
  <si>
    <t>10.24818/EA/2024/66/475</t>
  </si>
  <si>
    <t>UL5C7</t>
  </si>
  <si>
    <t>WOS:001248217500005</t>
  </si>
  <si>
    <t>Kirwan, B</t>
  </si>
  <si>
    <t>Kirwan, Barry</t>
  </si>
  <si>
    <t>The Impact of Artificial Intelligence on Future Aviation Safety Culture</t>
  </si>
  <si>
    <t>FUTURE TRANSPORTATION</t>
  </si>
  <si>
    <t>aviation; artificial intelligence; safety culture</t>
  </si>
  <si>
    <t>Artificial intelligence is developing at a rapid pace, with examples of machine learning already being used in aviation to improve efficiency. In the coming decade, it is likely that intelligent assistants (IAs) will be deployed to assist aviation personnel in the cockpit, the air traffic control center, and in airports. This will be a game-changer and may herald the way forward for single-pilot operations and AI-based air traffic management. Yet in aviation there is a core underlying tenet that 'people create safety' and keep the skies and passengers safe, based on a robust industry-wide safety culture. Introducing IAs into aviation might therefore undermine aviation's hard-won track record in this area. Three experts in safety culture and human-AI teaming used a validated safety culture tool to explore the potential impacts of introducing IAs into aviation. The results suggest that there are indeed potential negative outcomes, but also possible safety affordances wherein AI could strengthen safety culture. Safeguards and mitigations are suggested for the key risk owners in aviation organizations, from CEOs to middle managers, to safety departments and frontline staff. Such safeguards will help ensure safety remains a priority across the industry.</t>
  </si>
  <si>
    <t>[Kirwan, Barry] EUROCONTROL, Ctr Bois Bordes, F-91222 Bretigny Sur Orge, France</t>
  </si>
  <si>
    <t>Kirwan, B (corresponding author), EUROCONTROL, Ctr Bois Bordes, F-91222 Bretigny Sur Orge, France.</t>
  </si>
  <si>
    <t>barry.kirwan@eurocontrol.int</t>
  </si>
  <si>
    <t>Kirwan, Barry/0000-0003-2366-4849</t>
  </si>
  <si>
    <t>European Commission [101075332]; Horizon Europe - Pillar II [101075332] Funding Source: Horizon Europe - Pillar II</t>
  </si>
  <si>
    <t>European Commission(European Union (EU)European Commission Joint Research Centre); Horizon Europe - Pillar II(European Union (EU)Horizon Europe - Pillar II)</t>
  </si>
  <si>
    <t>This publication is based on work performed in the HAIKU Project which has received funding from the European Union's Horizon Europe research and innovation program, under Grant Agreement no 101075332. Any dissemination reflects the authors' view only and the European Commission is not responsible for any use that may be made of information it contains.</t>
  </si>
  <si>
    <t>2673-7590</t>
  </si>
  <si>
    <t>FUTURE TRANSP-BASEL</t>
  </si>
  <si>
    <t>Future Transp.</t>
  </si>
  <si>
    <t>10.3390/futuretransp4020018</t>
  </si>
  <si>
    <t>Transportation; Transportation Science &amp; Technology</t>
  </si>
  <si>
    <t>Transportation</t>
  </si>
  <si>
    <t>WR2E7</t>
  </si>
  <si>
    <t>WOS:001256526700001</t>
  </si>
  <si>
    <t>Li, FP; Wang, YJ; Lü, HL; Li, PC; Li, QF; Liu, FX</t>
  </si>
  <si>
    <t>Li, Fupeng; Wang, Yongjia; Lu, Hongliang; Li, Pengcheng; Li, Qingfeng; Liu, Fanxin</t>
  </si>
  <si>
    <t>Application of artificial intelligence in the determination of impact parameter in heavy-ion collisions at intermediate energies</t>
  </si>
  <si>
    <t>JOURNAL OF PHYSICS G-NUCLEAR AND PARTICLE PHYSICS</t>
  </si>
  <si>
    <t>heavy ion collision; impact parameter; artificial intelligence; intermediate energies; transport model</t>
  </si>
  <si>
    <t>QUANTUM MOLECULAR-DYNAMICS; NEURAL-NETWORKS; UNCERTAINTIES; EQUATION; STATE; FLOW</t>
  </si>
  <si>
    <t>The impact parameter is one of the crucial physical quantities of heavy-ion collisions, and can affect obviously many observables at the final state, such as the multifragmentation and the collective flow. Usually, it cannot be measured directly in experiments but might be inferred from observables at the final state. Artificial intelligence has had great success in learning complex representations of data, which enables novel modeling and data processing approaches in physical sciences. In this article, we employ two of commonly used algorithms in the field of artificial intelligence, the convolutional neural networks (CNN) and light gradient boosting machine (LightBGM), to improve the accuracy of determining impact parameter by analyzing the proton spectra in transverse momentum and rapidity on the event-by-event basis. Au + Au collisions with the impact parameter of 0 &lt;= b &lt;= 10 fm at intermediate energies (E-lab= 0.2-1.0 GeV/nucleon) are simulated with the ultrarelativistic quantum molecular dynamics model to generate the proton spectra data. It is found that the average difference between the true impact parameter and the estimated one can be smaller than 0.1 fm. The LightBGM algorithm shows an improved performance with respect to the CNN on the task in this work. By using the LightBGM's visualization algorithm, one can obtain the important feature map of the distribution of transverse momentum and rapidity, which may be helpful in inferring the impact parameter or centrality in heavy-ion experiments.</t>
  </si>
  <si>
    <t>[Li, Fupeng; Liu, Fanxin] Zhejiang Univ Technol, Coll Sci, Hangzhou 310014, Peoples R China; [Li, Fupeng; Wang, Yongjia; Li, Pengcheng; Li, Qingfeng] Huzbou Univ, Sch Sci, Huzhou 313000, Peoples R China; [Lu, Hongliang] Huawei Technol Co Ltd, HiSilicon Res Dept, Shenzhen 518000, Peoples R China; [Li, Pengcheng] Lanzhou Univ, Sch Nucl Sci &amp; Technol, Lanzhou 730000, Peoples R China; [Li, Qingfeng] Chinese Acad Sci, Inst Modern Phys, Lanzhou 730000, Peoples R China</t>
  </si>
  <si>
    <t>Zhejiang University of Technology; Huawei Technologies; Lanzhou University; Chinese Academy of Sciences; Institute of Modern Physics, CAS</t>
  </si>
  <si>
    <t>Li, QF (corresponding author), Huzbou Univ, Sch Sci, Huzhou 313000, Peoples R China.;Li, QF (corresponding author), Chinese Acad Sci, Inst Modern Phys, Lanzhou 730000, Peoples R China.</t>
  </si>
  <si>
    <t>wangyongjia@zjhu.edu.cn; liqf@zjhu.edu.cn</t>
  </si>
  <si>
    <t>LI, PENGCHENG/AFN-6720-2022; Wang, Yongjia/ABC-6646-2021; Li, Fupeng/AAB-7182-2021; Liu, Fanxin/A-2147-2011; Li, Qingfeng/H-1779-2014</t>
  </si>
  <si>
    <t>Li, Peng-Cheng/0000-0002-7750-4034; Li, Fupeng/0000-0003-0234-2277; Li, Qingfeng/0000-0002-8275-8100; wang, Yongjia/0000-0003-2506-0010</t>
  </si>
  <si>
    <t>National Natural Science Foundation of China [11875125, 11947410]; Zhejiang Provincial Natural Science Foundation of China [LY18A050002, LY19A050001]; 'Ten Thousand Talent Program' of Zhejiang province; Huzhou University</t>
  </si>
  <si>
    <t>National Natural Science Foundation of China(National Natural Science Foundation of China (NSFC)); Zhejiang Provincial Natural Science Foundation of China(Natural Science Foundation of Zhejiang Province); 'Ten Thousand Talent Program' of Zhejiang province; Huzhou University</t>
  </si>
  <si>
    <t>Fruitful discussions with Jan Steinheimer, Yilun Du, Kai Zhou, Nan Su, Long-gang Pang, and Horst Stocker are greatly appreciated. The authors acknowledge support by the computing server C3S2 in Huzhou University. The work is supported in part by the National Natural Science Foundation of China (Nos. 11875125 and 11947410), and the Zhejiang Provincial Natural Science Foundation of China under Grants No. LY18A050002 and No. LY19A050001, and the 'Ten Thousand Talent Program' of Zhejiang province.</t>
  </si>
  <si>
    <t>IOP Publishing Ltd</t>
  </si>
  <si>
    <t>BRISTOL</t>
  </si>
  <si>
    <t>TEMPLE CIRCUS, TEMPLE WAY, BRISTOL BS1 6BE, ENGLAND</t>
  </si>
  <si>
    <t>0954-3899</t>
  </si>
  <si>
    <t>1361-6471</t>
  </si>
  <si>
    <t>J PHYS G NUCL PARTIC</t>
  </si>
  <si>
    <t>J. Phys. G-Nucl. Part. Phys.</t>
  </si>
  <si>
    <t>10.1088/1361-6471/abb1f9</t>
  </si>
  <si>
    <t>Physics, Nuclear; Physics, Particles &amp; Fields</t>
  </si>
  <si>
    <t>Physics</t>
  </si>
  <si>
    <t>NZ2AB</t>
  </si>
  <si>
    <t>WOS:000576896300001</t>
  </si>
  <si>
    <t>Liang, WY</t>
  </si>
  <si>
    <t>Liang, Weiyan</t>
  </si>
  <si>
    <t>Development Trend and Thinking of Artificial Intelligence in Education</t>
  </si>
  <si>
    <t>2020 16TH INTERNATIONAL WIRELESS COMMUNICATIONS &amp; MOBILE COMPUTING CONFERENCE, IWCMC</t>
  </si>
  <si>
    <t>International Wireless Communications and Mobile Computing Conference</t>
  </si>
  <si>
    <t>16th IEEE International Wireless Communications and Mobile Computing Conference (IEEE IWCMC)</t>
  </si>
  <si>
    <t>JUL 27, 2020</t>
  </si>
  <si>
    <t>IEEE,IEEE Cyprus Sect,IEEE Lebanon Sect,European Univ,Lebanese Amer Univ</t>
  </si>
  <si>
    <t>Artificial Intelligence; Education; Trend</t>
  </si>
  <si>
    <t>Artificial intelligence is a collection of information technologies based on big data and machine learning with intelligent capabilities. It integrates artificial intelligence into the field of education and uses key technologies and intelligent means in an intelligent education environment to optimize education development. The system promotes the synergy and integration of emerging intelligent technologies and the education industry. In general, the application of artificial intelligence in the field of education is constantly expanding and deepening, and the emergence of new concepts, new methods, and new ideas is bound to have a profound impact on the reform of the education industry.</t>
  </si>
  <si>
    <t>[Liang, Weiyan] Jiaying Univ, Meizhou, Guangdong, Peoples R China</t>
  </si>
  <si>
    <t>Jiaying University</t>
  </si>
  <si>
    <t>Liang, WY (corresponding author), Jiaying Univ, Meizhou, Guangdong, Peoples R China.</t>
  </si>
  <si>
    <t>liangweiyan@jyu.edu.cn</t>
  </si>
  <si>
    <t>Guangdong Province in 2015 the characteristics of the project of innovation outstanding teachers under the background of Local Normal University pre service teachers' information technology application abilities to develop new exploration - Based on the d [2015GXJK135]</t>
  </si>
  <si>
    <t>Guangdong Province in 2015 the characteristics of the project of innovation outstanding teachers under the background of Local Normal University pre service teachers' information technology application abilities to develop new exploration - Based on the d</t>
  </si>
  <si>
    <t>This is the Guangdong Province in 2015 the characteristics of the project of innovation outstanding teachers under the background of Local Normal University pre service teachers' information technology application abilities to develop new exploration - Based on the design and application of micro course (project number: 2015GXJK135)</t>
  </si>
  <si>
    <t>2376-6492</t>
  </si>
  <si>
    <t>978-1-7281-3129-0</t>
  </si>
  <si>
    <t>INT WIREL COMMUN</t>
  </si>
  <si>
    <t>Computer Science, Theory &amp; Methods; Engineering, Electrical &amp; Electronic; Telecommunications</t>
  </si>
  <si>
    <t>BV6LA</t>
  </si>
  <si>
    <t>WOS:001058923200160</t>
  </si>
  <si>
    <t>Gutsu, S; Spitsyna, H</t>
  </si>
  <si>
    <t>Nechyporuk, M; Pavlikov, V; Krytskyi, D</t>
  </si>
  <si>
    <t>Gutsu, Svitlana; Spitsyna, Hanna</t>
  </si>
  <si>
    <t>Labor Legislation in the Era of Artificial Intelligence</t>
  </si>
  <si>
    <t>INTEGRATED COMPUTER TECHNOLOGIES IN MECHANICAL ENGINEERING-2023, VOL 2, ICTM 2023</t>
  </si>
  <si>
    <t>International Scientific and Technical Conference on Integrated Computer Technologies in Mechanical Engineering - Synergetic Engineering (ICTM)</t>
  </si>
  <si>
    <t>DEC 27-29, 2023</t>
  </si>
  <si>
    <t>Kharkiv, UKRAINE</t>
  </si>
  <si>
    <t>Natl Aerosp Univ, Kharkiv Aviat Inst</t>
  </si>
  <si>
    <t>artificial intelligence; impact of artificial intelligence on labor relations; acquisition of digital skills by employees; impact of artificial intelligence on occupational safety; work organization using AI</t>
  </si>
  <si>
    <t>The outlined research encompasses an overview and analysis of various aspects of labor relations that have undergone substantial changes due to integration of artificial intelligence into work processes. Authors refer to international institutional acts, experiences from foreign countries, analytical, and statistical reports, enabling a comprehensive understanding of the current state of legal regulation on labor in the context of adopting digital technologies, particularly artificial intelligence. The study considers specific aspects of labor relations affected by the evolution of artificial intelligence: employment, organization and supervision of work processes, occupational safety and health, professional training. Authors come to the conclusion about the necessity of developing an ethical code of conduct during implementation of AI technologies in labor processes. It is proposed to introduce into labor legislation the obligation of the employer to involve labour collective in adopting decisions regarding AI implementation in workplaces and developing safety standards on AI technologies Emphasis is placed on the necessity of prohibiting decisions that produce legal effects for the life and work of workers and are based solely on AI conclusions. Furthermore, the importance of developing and implementing a state support program for businesses that educate their employees in digital skills at their own expense, by providing specific financial or tax benefits, is highlighted.</t>
  </si>
  <si>
    <t>[Gutsu, Svitlana] Natl Aerosp Univ, Dept Law, Kharkiv Aviat Inst, Kharkiv, Ukraine; [Spitsyna, Hanna] Hon Prof MS Bokarius Forens Sci Inst, Natl Sci Ctr, Kharkiv, Ukraine</t>
  </si>
  <si>
    <t>Ministry of Education &amp; Science of Ukraine; National Aerospace University Kharkiv Aviation Institute; Ministry of Justice of Ukraine; National Scientific Center Hon. Prof. M. S. Bokarius Forensic Science Institute of the Ministry of Justice of Ukraine</t>
  </si>
  <si>
    <t>Gutsu, S (corresponding author), Natl Aerosp Univ, Dept Law, Kharkiv Aviat Inst, Kharkiv, Ukraine.</t>
  </si>
  <si>
    <t>s.gutsu@khai.edu; spitsyna_hanna@ukr.net</t>
  </si>
  <si>
    <t>Spitsyna, Hanna/ABC-5020-2021</t>
  </si>
  <si>
    <t>Gutsu, Svitlana/0000-0003-1373-6079; Spitsyna, Hanna/0000-0001-9131-0642</t>
  </si>
  <si>
    <t>978-3-031-60548-2; 978-3-031-60549-9</t>
  </si>
  <si>
    <t>10.1007/978-3-031-60549-9_20</t>
  </si>
  <si>
    <t>Business; Computer Science, Interdisciplinary Applications; Operations Research &amp; Management Science</t>
  </si>
  <si>
    <t>Business &amp; Economics; Computer Science; Operations Research &amp; Management Science</t>
  </si>
  <si>
    <t>BX4LN</t>
  </si>
  <si>
    <t>WOS:001291160000020</t>
  </si>
  <si>
    <t>Pocho, CL; de Carvalho, M; Silveira, CFM; Marques, RA; Quirino, ACRD; Machado, LHW; Pineiro, MF</t>
  </si>
  <si>
    <t>Pocho, Claudia Lopes; de Carvalho, Marcelo; Maciel Silveira, Carlos Frederico; Marques, Ricardo Andre; Rodrigues da Silva Quirino, Ana Claudia; Werdine Machado, Luiz Humberto; Pineiro, Marcelo Fernandez</t>
  </si>
  <si>
    <t>An Artificial Intelligence System Focused on COVID-19 Pandemic: Results and Impacts</t>
  </si>
  <si>
    <t>COVID-19; artificial intelligence; cloud computing; employee's COVID-19 risk score; self-assessment; facial recognition; LGPD law compliance; anti-ransomware</t>
  </si>
  <si>
    <t>Artificial intelligence (AI) is rapidly becoming fundamental in our society, reaching from industry to our homes. AI benefits for human being lives are undoubtful, especially in its application on Health and Safety at Work. Specifically, when there is a high degree of uncertainty in preventive measures and protocols definition, such as the case of COVID-19, AI may enlighten and anticipate decisions saving lives. Therefore, this paper aims to discuss the success factors and the results of an AI application related to Covid-19 prevention in workplaces, named CyberLabs KeyApp. It presents a case study in the Brazilian energy sector applied to approximately 3000 employees located in more than 30 different cities. The system was composed by an application including Control Facial Recognition when employees reach the electric power plants, substations, and offices, conjugated with temperature control; a daily COVID-19 self-assessment form fulfilment gathering personal habits related to Covid-19 furthering the artificial intelligence processing; and surveillance cameras for agglomerations detecting on facilities. As a result, there is an AI COVID score calculation that classifies the employee's risk into four categories. Medical staff is notified with warns reporting each employee with High or Very High classification. The four categories are listed: Low - user pre-access to the facility is granted. Medium - user pre-access to the facility is granted and AI prescribes individual COVID avoidance good practices that are informed to the user by notification; High - user preaccess to the facility is conditioned to a prior individual medical staff evaluation and medical staff is notified for proceed to contact with the user; and Very High - user pre-access to the facility is not granted and the AI application notifies medical staff to contact immediately with the user. A set of operational, tactical, and strategic panels are available for managers and doctors for daily consulting. Through these AI dashboards, the variables - habits, symptoms, and preventive measures - that influences employees' Covid high risk are detected. Innovative Protocols were elaborated to diminish this risk rates as well as specific communication campaigns. Consequently, the company has reached the lowest Covid-19 rates among the Brazilian public energy sector institutions.</t>
  </si>
  <si>
    <t>[Pocho, Claudia Lopes; de Carvalho, Marcelo; Marques, Ricardo Andre; Rodrigues da Silva Quirino, Ana Claudia; Werdine Machado, Luiz Humberto; Pineiro, Marcelo Fernandez] FURNAS Centrais Eletr SA, Rio De Janeiro, Brazil; [Maciel Silveira, Carlos Frederico] Cyberlabs Prod &amp; Serv Tecnol SA, Rio De Janeiro, Brazil</t>
  </si>
  <si>
    <t>Pocho, CL (corresponding author), FURNAS Centrais Eletr SA, Rio De Janeiro, Brazil.</t>
  </si>
  <si>
    <t>pocho@furnas.com.br; marcarv@furnas.com.br; frederico.maciel@cyberlabs.com.br; rmarques@furnas.com.br; anac@furnas.com.br; lwerdine@furnas.com.br; pineiro@furnas.com.br</t>
  </si>
  <si>
    <t>10.34190/EAIR.21.040</t>
  </si>
  <si>
    <t>WOS:000838033200029</t>
  </si>
  <si>
    <t>Granados, OM; De la Peña, N</t>
  </si>
  <si>
    <t>Granados, Oscar M.; De la Pena, Nicolas</t>
  </si>
  <si>
    <t>Artificial Intelligence and International System Structure</t>
  </si>
  <si>
    <t>REVISTA BRASILEIRA DE POLITICA INTERNACIONAL</t>
  </si>
  <si>
    <t>Artificial Intelligence; Center-Periphery; International Fitness; International Power; Network Science</t>
  </si>
  <si>
    <t>SCIENCE; MODEL; CHINA; FALL; RISE</t>
  </si>
  <si>
    <t>Previous studies have investigated technology's impact on international affairs, but few have analyzed the effect of artificial intelligence on the international system structure. This study integrates heterogeneous datasets and network science concepts with several power factors and artificial intelligence advances as a methodology to understand the evolution of the international system with a perspective around research, knowledge, innovation, and technology as an endogenous variable. Our findings indicate that the international fitness variable could be considered as a mechanism to interpret the system dynamics, especially when artificial intelligence interacts with different topics of the system. Overall, we provide quantitative evidence of the evolution of artificial intelligence innovations and technological power to identify system structure changes, both in central and peripheral countries.</t>
  </si>
  <si>
    <t>[Granados, Oscar M.] Univ Bogota Jorge Tadeo Lozano, Bogota, Colombia; [De la Pena, Nicolas] Univ La Salle, Bogota, Colombia</t>
  </si>
  <si>
    <t>Universidad de Bogota Jorge Tadeo Lozano; Universidad de La Salle</t>
  </si>
  <si>
    <t>Granados, OM (corresponding author), Univ Bogota Jorge Tadeo Lozano, Bogota, Colombia.</t>
  </si>
  <si>
    <t>oscarm.granadose@utadeo.edu.co; ndelapena@unisalle.edu.co</t>
  </si>
  <si>
    <t>Granados, Oscar M./0000-0002-4992-8972; De la Pena, Nicolas/0000-0001-7223-9502</t>
  </si>
  <si>
    <t>INST BRASILEIRO RELACOES INT</t>
  </si>
  <si>
    <t>BRASILIA DF</t>
  </si>
  <si>
    <t>CAIXA POSTAL 4400, BRASILIA DF, 70919-970, BRAZIL</t>
  </si>
  <si>
    <t>0034-7329</t>
  </si>
  <si>
    <t>1983-3121</t>
  </si>
  <si>
    <t>REV BRAS POLIT INT</t>
  </si>
  <si>
    <t>Rev. Bras. Polit. Int.</t>
  </si>
  <si>
    <t>e003</t>
  </si>
  <si>
    <t>10.1590/0034-7329202100103</t>
  </si>
  <si>
    <t>International Relations; Political Science</t>
  </si>
  <si>
    <t>International Relations; Government &amp; Law</t>
  </si>
  <si>
    <t>SD8PL</t>
  </si>
  <si>
    <t>gold, Green Accepted, Green Submitted</t>
  </si>
  <si>
    <t>WOS:000651638100001</t>
  </si>
  <si>
    <t>Finkelstein, M; Ludwig, K; Kamath, A; Halton, KP; Mendelson, DS</t>
  </si>
  <si>
    <t>Finkelstein, Mark; Ludwig, Kristin; Kamath, Amita; Halton, Kathleen P.; Mendelson, David S.</t>
  </si>
  <si>
    <t>The Impact of an Artificial Intelligence Certificate Program on Radiology Resident Education</t>
  </si>
  <si>
    <t>ACADEMIC RADIOLOGY</t>
  </si>
  <si>
    <t>Education; Artificial intelligence; Residency</t>
  </si>
  <si>
    <t>Rationale and Objectives: The objective of this study was to evaluate the effectiveness of a pilot artificial intelligence (AI) certificate program in aiding radiology trainees to develop an understanding of the evolving role and application of artificial intelligence in radiology. A secondary objective was set to determine the background of residents that would most benefit from such training. Materials and Methods: This was a prospective pilot study involving 42 radiology residents at two separate residency programs who participated in the Radiological Society of North America Imaging AI Foundational Certificate course over a four-month period. The course consisted of 6 online modules that contained didactic lectures followed by end-of-module quizzes to assess knowledge gained from these lectures. Pre- and post-course assessments were conducted to evaluate the residents' knowledge and skills in AI. Additionally, a post-course survey was performed to assess participants' overall satisfaction with the course. Results: All participating residents completed the certificate program. The mean pre-course assessment score was 37 %, which increased to 73 % after completing the modules (p &lt; 0.001). 74 % (31/42) endorsed the belief the course improved familiarity with artificial intelligence in radiology. Residency program, residency year, and reported prior familiarity with AI were not found to influence pre-course score, post-course score, nor score improvement. 57 % (24/42) endorsed interest in pursuing further certification in AI. Conclusion: Our pilot study suggests that a certificate course can effectively enhance the knowledge and skills of radiology residents in the application of AI in radiology. The benefits of such a course can be found regardless of program, resident year, and self-reported prior resident understanding of radiology in AI.</t>
  </si>
  <si>
    <t>[Finkelstein, Mark; Kamath, Amita; Halton, Kathleen P.] Icahn Sch Med Mt Sinai, New York, NY 10029 USA; [Finkelstein, Mark] New York Univ, Langone Med Ctr, New York, NY 10016 USA; [Ludwig, Kristin] Eastern Virginia Med Sch, Norfolk, VA USA</t>
  </si>
  <si>
    <t>Icahn School of Medicine at Mount Sinai; NYU Langone Medical Center; New York University; Eastern Virginia Medical School</t>
  </si>
  <si>
    <t>Finkelstein, M (corresponding author), Icahn Sch Med Mt Sinai, New York, NY 10029 USA.;Finkelstein, M (corresponding author), New York Univ, Langone Med Ctr, New York, NY 10016 USA.</t>
  </si>
  <si>
    <t>mark.finkelstein@mountsinai.org</t>
  </si>
  <si>
    <t>Kamath, Amita/0000-0002-5005-415X</t>
  </si>
  <si>
    <t>ELSEVIER SCIENCE INC</t>
  </si>
  <si>
    <t>STE 800, 230 PARK AVE, NEW YORK, NY 10169 USA</t>
  </si>
  <si>
    <t>1076-6332</t>
  </si>
  <si>
    <t>1878-4046</t>
  </si>
  <si>
    <t>ACAD RADIOL</t>
  </si>
  <si>
    <t>Acad. Radiol.</t>
  </si>
  <si>
    <t>10.1016/j.acra.2024.05.041</t>
  </si>
  <si>
    <t>K9Q4R</t>
  </si>
  <si>
    <t>WOS:001347171300001</t>
  </si>
  <si>
    <t>Zovko, V; Gudlin, M</t>
  </si>
  <si>
    <t>Pixel</t>
  </si>
  <si>
    <t>Zovko, Vatroslav; Gudlin, Monika</t>
  </si>
  <si>
    <t>Artificial Intelligence as a Disruptive Technology in Education</t>
  </si>
  <si>
    <t>9TH INTERNATIONAL CONFERENCE THE FUTURE OF EDUCATION</t>
  </si>
  <si>
    <t>9th International Conference on Future of Education</t>
  </si>
  <si>
    <t>JUN 27-28, 2019</t>
  </si>
  <si>
    <t>Florence, ITALY</t>
  </si>
  <si>
    <t>Filo Diritto Editore,Pixel</t>
  </si>
  <si>
    <t>artificial intelligence; disruptive technology; education</t>
  </si>
  <si>
    <t>21st century is a synonym for change in all aspects of life and economic activities. Accelerating change is caused by development of new technologies that radically change how humans communicate and cooperate. On average, formal education in comparison with other economic sectors is lagging behind in adoption of contemporary technologies in educational processes. One of the biggest potential impact that will radically change the landscape of education is implementation of artificial intelligence. That radical change makes artificial intelligence disruptive technology with unforeseen consequences for students, faculty and society in general. The bottom line is that educational system will be forced to adopt to new technologies, abandoning traditional teaching and pedagogical practices that were in the center of education for centuries. This paper gives a short overview of disruptive innovations and technologies with the focus on artificial intelligence as a disruptive technology. Special focus is given to the limits and obstacles of introduction of artificial intelligence in educational processes and educational system in general.</t>
  </si>
  <si>
    <t>[Zovko, Vatroslav; Gudlin, Monika] Univ Zagreb, Fac Teacher Educ Croatia, Zagreb, Croatia</t>
  </si>
  <si>
    <t>Zovko, V (corresponding author), Univ Zagreb, Fac Teacher Educ Croatia, Zagreb, Croatia.</t>
  </si>
  <si>
    <t>FILODIRITTO PUBLISHER</t>
  </si>
  <si>
    <t>BOLOGNA</t>
  </si>
  <si>
    <t>INFOROMATICA SRL, VIA CASTIGLIONE, 81, BOLOGNA, 40124, ITALY</t>
  </si>
  <si>
    <t>978-88-85813-45-8</t>
  </si>
  <si>
    <t>BO1CO</t>
  </si>
  <si>
    <t>WOS:000494943300022</t>
  </si>
  <si>
    <t>Kassens-Noor, E; Hintze, A</t>
  </si>
  <si>
    <t>Kassens-Noor, Eva; Hintze, Arend</t>
  </si>
  <si>
    <t>Cities of the Future? The Potential Impact of Artificial Intelligence</t>
  </si>
  <si>
    <t>artificial intelligence; smart cities; future; work; autonomous vehicle</t>
  </si>
  <si>
    <t>Artificial intelligence (AI), like many revolutionary technologies in human history, will have a profound impact on societies. From this viewpoint, we analyze the combined effects of AI to raise important questions about the future form and function of cities. Combining knowledge from computer science, urban planning, and economics while reflecting on academic and business perspectives, we propose that the future of cities is far from being a determined one and cities may evolve into ghost towns if the deployment of AI is not carefully controlled. This viewpoint presents a fundamentally different argument, because it expresses a real concern over the future of cities in contrast to the many publications who exclusively assume city populations will increase predicated on the neoliberal urban growth paradigm that has for centuries attracted humans to cities in search of work.</t>
  </si>
  <si>
    <t>[Kassens-Noor, Eva] Michigan State Univ, Sch Planning Design &amp; Construct &amp; Global Urban Stu, E Lansing, MI 48824 USA; [Hintze, Arend] Dalarna Univ, Dept Complex Dynam Syst &amp; MircoData Analyt, Hogskolegatan 2, S-79131 Falun, Sweden</t>
  </si>
  <si>
    <t>Michigan State University; Dalarna University</t>
  </si>
  <si>
    <t>Kassens-Noor, E (corresponding author), Michigan State Univ, Sch Planning Design &amp; Construct &amp; Global Urban Stu, E Lansing, MI 48824 USA.</t>
  </si>
  <si>
    <t>ekn@msu.edu; ahz@du.se</t>
  </si>
  <si>
    <t>Kassens-Noor, Eva/0000-0002-4311-7239</t>
  </si>
  <si>
    <t>2673-2688</t>
  </si>
  <si>
    <t>AI-BASEL</t>
  </si>
  <si>
    <t>10.3390/ai1020012</t>
  </si>
  <si>
    <t>I5CJ5</t>
  </si>
  <si>
    <t>WOS:001002955000001</t>
  </si>
  <si>
    <t>Donfouet, O; Ngouhouo, I</t>
  </si>
  <si>
    <t>Donfouet, Olivier; Ngouhouo, Ibrahim</t>
  </si>
  <si>
    <t>Impact of artificial intelligence on the total productivity of agricultural factors in Africa</t>
  </si>
  <si>
    <t>ENVIRONMENT DEVELOPMENT AND SUSTAINABILITY</t>
  </si>
  <si>
    <t>Productivity; Agriculture; Artificial intelligence; SHIP; TFP and DID; N57; N77; Q16</t>
  </si>
  <si>
    <t>PRECISION AGRICULTURE; PROPENSITY SCORE; US</t>
  </si>
  <si>
    <t>This study analyzes the impact of artificial intelligence (AI) on agricultural total factor productivity (TFP) in 53 African countries from 2012 to 2020. The results of the propensity score matching analysis show that Artificial Intelligence improves Total Factor Productivity. The average treatment effect (ATT) is 12.40 with a T-test of 4.74, indicating a positive and significant effect at 1%. The graphs show strong data overlap, with no unsupported units. Robustness tests, including the difference-in-difference (DID) method, confirm these results. Other econometric techniques, such as ordinary and generalized least squares, fixed and random effects, also corroborate these findings. To take full advantage of Artificial Intelligence in African agriculture, it is crucial to strengthen policies in the areas of digital infrastructure, training, financing, innovation, data regulation and awareness-raising.</t>
  </si>
  <si>
    <t>[Donfouet, Olivier; Ngouhouo, Ibrahim] Univ Dschang Cameroon, Fac Econ &amp; Management, Grp Rech Econ Appl &amp; Dev GREAD, Dschang, Cameroon</t>
  </si>
  <si>
    <t>Universite de Dschang</t>
  </si>
  <si>
    <t>Donfouet, O (corresponding author), Univ Dschang Cameroon, Fac Econ &amp; Management, Grp Rech Econ Appl &amp; Dev GREAD, Dschang, Cameroon.</t>
  </si>
  <si>
    <t>donfouetolivier1@gmail.com; ngouhouo@yahoo.fr</t>
  </si>
  <si>
    <t>1387-585X</t>
  </si>
  <si>
    <t>1573-2975</t>
  </si>
  <si>
    <t>ENVIRON DEV SUSTAIN</t>
  </si>
  <si>
    <t>Environ. Dev. Sustain.</t>
  </si>
  <si>
    <t>2024 OCT 14</t>
  </si>
  <si>
    <t>10.1007/s10668-024-05528-y</t>
  </si>
  <si>
    <t>Green &amp; Sustainable Science &amp; Technology; Environmental Sciences</t>
  </si>
  <si>
    <t>Science &amp; Technology - Other Topics; Environmental Sciences &amp; Ecology</t>
  </si>
  <si>
    <t>I5A8J</t>
  </si>
  <si>
    <t>WOS:001330388900004</t>
  </si>
  <si>
    <t>Pisirgen, A; Hiziroglu, A; Dogan, O</t>
  </si>
  <si>
    <t>Kahraman, C; Tolga, AC; Onar, SC; Cebi, S; Oztaysi, B; Sari, IU</t>
  </si>
  <si>
    <t>Pisirgen, Ali; Hiziroglu, Abdulkadir; Dogan, Onur</t>
  </si>
  <si>
    <t>Rethinking Customer Analytics: The Impact of Artificial Intelligence</t>
  </si>
  <si>
    <t>INTELLIGENT AND FUZZY SYSTEMS: DIGITAL ACCELERATION AND THE NEW NORMAL, INFUS 2022, VOL 1</t>
  </si>
  <si>
    <t>4th International Conference on Intelligent and Fuzzy Systems (INFUS)</t>
  </si>
  <si>
    <t>Bornova, TURKEY</t>
  </si>
  <si>
    <t>New-age technologies; Artificial intelligence; Customer analytics; Real-life cases</t>
  </si>
  <si>
    <t>MANAGEMENT; AI</t>
  </si>
  <si>
    <t>With the triggering effect of Covid-19 pandemic, the role of digitalization has become a strategic target and expedited the digital transformation process. World's direction to the digital future has therefore shaped the use of new-age technologies, such as internet of things, artificial intelligence (AI), machine learning and blockchain. In response to this evolvement of new-age technologies, a noticeable shift from data-driven analysis to technology-oriented applications has occurred, particularly addressing the significance of analytics and AI. These rapid advancements of AI applications influence the use of customer analytics whilst enhancing the importance both for the general understanding and individual behavior of customers, within the scope of customer analytics. Considering the embeddedness of these technologies on practical applications, this study acknowledges the high-impact role and power of AI. In this regard, the study concentrates AI applications from the perspectives of customer analytics. Furthermore, the task of AI, the level of intelligence of AI applications and how the information from customer analytics is obtained and exploited by these applications are discussed. Focusing on the practical case applications, the study suggests a taxonomical structure of AI and customer analytics.</t>
  </si>
  <si>
    <t>[Pisirgen, Ali; Hiziroglu, Abdulkadir; Dogan, Onur] Univ Bakircay, TR-35665 Izmir, Turkey</t>
  </si>
  <si>
    <t>Izmir University of Bakircay</t>
  </si>
  <si>
    <t>Pisirgen, A (corresponding author), Univ Bakircay, TR-35665 Izmir, Turkey.</t>
  </si>
  <si>
    <t>alipisirgen@gmail.com</t>
  </si>
  <si>
    <t>Pişirgen, Ali/AAK-4719-2021; Hiziroglu, Abdulkadir/A-9036-2018; Dogan, Onur/HPC-1959-2023</t>
  </si>
  <si>
    <t>DOGAN, ONUR/0000-0003-3543-4012; Hiziroglu, Kadir/0000-0003-4582-3732; Pisirgen, Ali/0000-0001-7257-2938</t>
  </si>
  <si>
    <t>978-3-031-09173-5; 978-3-031-09172-8</t>
  </si>
  <si>
    <t>10.1007/978-3-031-09173-5_95</t>
  </si>
  <si>
    <t>BU2ZR</t>
  </si>
  <si>
    <t>WOS:000889380800095</t>
  </si>
  <si>
    <t>Carmona, RGA; Castillo, MCA; Briceño, DMG</t>
  </si>
  <si>
    <t>Carmona, Rashel Geraldine Acosta; Castillo, Marialyz Carolina Amaya; Briceno, Dailibeth Marie Galindo</t>
  </si>
  <si>
    <t>(ARTIFICIAL INTELLIGENCE CHATBOTS AND ITS IMPACT ON THE VENEZUELAN TAX ADMINISTRATION)</t>
  </si>
  <si>
    <t>REVISTA CICAG</t>
  </si>
  <si>
    <t>Artificial Intelligence; ChatBots; Tax Administration</t>
  </si>
  <si>
    <t>This research was carried out with the purpose of analyzing ChatBots artificial intelligence and its impact on the Venezuelan Tax Administration. The methodology applied was the descriptive observational study of documentary type under the qualitative paradigm. For this research, an exhaustive review of academic literature was carried out using various electronic search engines and repositories of indexed journals, with the purpose of collecting and analyzing the scientific evidence available on the use of ChatBots in the field of Tax Administration, identifying the advances, challenges and opportunities that this technology presents in this context. The result was that ChatBots powered by AI offer a promising opportunity for the Venezuelan Tax Administration, since they can improve the experience of taxpayers, responsible parties and interested third parties with an efficient and personalized 24-hour assistance service, reduce costs operational by automating repetitive tasks, and playing a key role in promoting tax compliance by providing guidance on requirements, deadlines and procedures.</t>
  </si>
  <si>
    <t>[Carmona, Rashel Geraldine Acosta] Serv Nacl Integrado Adm Aduanera &amp; Tributaria SENI, Maracaibo, Venezuela; [Castillo, Marialyz Carolina Amaya] Papel Club Resort CA, Maracaibo, Venezuela; [Briceno, Dailibeth Marie Galindo] Corp Elect Nacl SA CORPOELEC, Maracaibo, Venezuela</t>
  </si>
  <si>
    <t>Carmona, RGA (corresponding author), Serv Nacl Integrado Adm Aduanera &amp; Tributaria SENI, Maracaibo, Venezuela.</t>
  </si>
  <si>
    <t>rgac3009@gmail.com; amayamarialyz@gmail.com; dailibethgalindo@gmail.com</t>
  </si>
  <si>
    <t>1856-6189</t>
  </si>
  <si>
    <t>REV CICAG</t>
  </si>
  <si>
    <t>Rev. CICAG</t>
  </si>
  <si>
    <t>SEP-FEB</t>
  </si>
  <si>
    <t>M0F9D</t>
  </si>
  <si>
    <t>WOS:001354399500016</t>
  </si>
  <si>
    <t>Taskiran, N</t>
  </si>
  <si>
    <t>Taskiran, Nihal</t>
  </si>
  <si>
    <t>Effect of Artificial Intelligence Course in Nursing on Students' Medical Artificial Intelligence Readiness</t>
  </si>
  <si>
    <t>NURSE EDUCATOR</t>
  </si>
  <si>
    <t>artificial intelligence; nursing curriculum; nursing education; technology</t>
  </si>
  <si>
    <t>Background: It is predicted that artificial intelligence (AI) will transform nursing across all domains of nursing practice, including administration, clinical care, education, policy, and research.Purpose: This study examined the impact of an AI course in the nursing curriculum on students' medical AI readiness.Design and Methods: This comparative quasi-experimental study was conducted with a total of 300 3rd-year nursing students, 129 in the control group and 171 in the experimental group. Students in the experimental group received 28 hours of AI training. The students in the control group were not given any training. Data were collected by a socio-demographic form and the Medical Artificial Intelligence Readiness Scale.Results: An AI course should be included in the nursing curriculum, according to 67.8% of students in the experimental group and 57.4% of students in the control group. The mean score of the experimental group on medical AI readiness was higher (P &lt; .05) and the effect size of the course on readiness was -0.29.Conclusions: An AI nursing course positively affects students' readiness for medical AI.</t>
  </si>
  <si>
    <t>[Taskiran, Nihal] Aydin Adnan Menderes Univ, Fac Nursing, Dept Fundamentals Nursing, Aydin, Turkiye; [Taskiran, Nihal] Aydin Adnan Menderes Univ, Fac Nursing, Dept Fundamentals Nursing, TR-09010 Efeler Aydin, Turkiye</t>
  </si>
  <si>
    <t>Adnan Menderes University</t>
  </si>
  <si>
    <t>Taskiran, N (corresponding author), Aydin Adnan Menderes Univ, Fac Nursing, Dept Fundamentals Nursing, TR-09010 Efeler Aydin, Turkiye.</t>
  </si>
  <si>
    <t>nihal_tas@hotmail.com.tr</t>
  </si>
  <si>
    <t>Taşkıran, Nihal/IWM-2067-2023</t>
  </si>
  <si>
    <t>0363-3624</t>
  </si>
  <si>
    <t>1538-9855</t>
  </si>
  <si>
    <t>NURS EDUC</t>
  </si>
  <si>
    <t>Nurs. Educ.</t>
  </si>
  <si>
    <t>SEP-OCT</t>
  </si>
  <si>
    <t>E147</t>
  </si>
  <si>
    <t>E152</t>
  </si>
  <si>
    <t>10.1097/NNE.0000000000001446</t>
  </si>
  <si>
    <t>Q0AL8</t>
  </si>
  <si>
    <t>WOS:001054219300002</t>
  </si>
  <si>
    <t>Wang, SR; Xiao, YM; Liang, Z</t>
  </si>
  <si>
    <t>Wang, Shangrui; Xiao, Yiming; Liang, Zheng</t>
  </si>
  <si>
    <t>Exploring cross-national divide in government adoption of artificial intelligence: Insights from explainable artificial intelligence techniques</t>
  </si>
  <si>
    <t>TELEMATICS AND INFORMATICS</t>
  </si>
  <si>
    <t>Artificial Intelligence; Adoption; Cross -National Analysis; Explainable Artificial Intelligence; Technology -Organization -Environment</t>
  </si>
  <si>
    <t>Despite the recognized potential of artificial intelligence (AI) to improve governance, a significant divide in AI adoption exists among governments globally. However, little is known about the underlying causes behind the divide, hindering effective strategies to bridge it. Drawing on the AI capability concept and the Technology-Organization-Environment (TOE) framework, this study employs Explainable Artificial Intelligence (XAI) models to analyze the multifaceted factors influencing AI adoption by governments worldwide. The results underscore the critical roles of internet security and internet usage within the technological dimension, regulatory quality, government effectiveness, government expenditure, rule of law, and corruption control within the organizational dimension, and globalization, median age and GDP per capita within the environmental dimension. Notably, our analysis explores the intricate effects of these variables on government AI adoption, identifying inflection points where their impacts undergo significant shifts in magnitude and direction. This nuanced exploration provides a comprehensive understanding of government AI adoption globally and illustrates targeted strategies for governments to bridge the AI adoption divide, making theoretical, methodological and practical implications.</t>
  </si>
  <si>
    <t>[Wang, Shangrui; Liang, Zheng] Tsinghua Univ, Sch Publ Policy &amp; Management, Beijing 100084, Peoples R China; [Wang, Shangrui; Liang, Zheng] Tsinghua Univ, Inst AI Int Governance, Beijing 100084, Peoples R China; [Xiao, Yiming] Dongguan Univ Technol, Sch Econ &amp; Management, Dongguan 523808, Peoples R China; [Xiao, Yiming] Univ Sci &amp; Technol China, Sch Management, Hefei 230026, Peoples R China</t>
  </si>
  <si>
    <t>Tsinghua University; Tsinghua University; Dongguan University of Technology; Chinese Academy of Sciences; University of Science &amp; Technology of China, CAS</t>
  </si>
  <si>
    <t>Liang, Z (corresponding author), Tsinghua Univ, Sch Publ Policy &amp; Management, Beijing 100084, Peoples R China.</t>
  </si>
  <si>
    <t>xiaoe@hust.edu.cn; lzsppm@163.com</t>
  </si>
  <si>
    <t>Wang, Shangrui/0000-0001-9955-7906</t>
  </si>
  <si>
    <t>National Science and Technology Major Project [2023ZD0121700]; Tsinghua University independent research program [20223080026]; China Postdoctoral Science Foundation [2023M743362]; Beijing Innovation Center of Humanities and Social Sciences</t>
  </si>
  <si>
    <t>National Science and Technology Major Project; Tsinghua University independent research program; China Postdoctoral Science Foundation(China Postdoctoral Science Foundation); Beijing Innovation Center of Humanities and Social Sciences</t>
  </si>
  <si>
    <t>This work was supported by National Science and Technology Major Project (2023ZD0121700) ; Tsinghua University independent research program (20223080026) ; China Postdoctoral Science Foundation funded project (2023M743362) ; and Beijing Innovation Center of Humanities and Social Sciences.</t>
  </si>
  <si>
    <t>0736-5853</t>
  </si>
  <si>
    <t>TELEMAT INFORM</t>
  </si>
  <si>
    <t>Telemat. Inform.</t>
  </si>
  <si>
    <t>10.1016/j.tele.2024.102134</t>
  </si>
  <si>
    <t>TK3Z7</t>
  </si>
  <si>
    <t>WOS:001241130600001</t>
  </si>
  <si>
    <t>Kachakova, V</t>
  </si>
  <si>
    <t>Kachakova, Vesselina</t>
  </si>
  <si>
    <t>HOW ARTIFICIAL INTELLIGENCE AFFECTS SCHOOL EDUCATION</t>
  </si>
  <si>
    <t>FILOSOFIYA-PHILOSOPHY</t>
  </si>
  <si>
    <t>education; school; artificial intelligence; technology; interdisciplinary research</t>
  </si>
  <si>
    <t>The text examines how the integration of technology and artificial intelligence into school education fundamentally alters classical notions of the role and functions of education held by representatives of various scientific disciplines. The literature review is structured around the following research questions: 1) How do technology (including artificial intelligence) reshape the sociologist Emile Durkheim's thesis on the authority of the teacher and their role in the socialization of students?; 2) How does the presence of superintelligent technology relate to psychologist Abraham Maslow's theory of motivation and self-actualization?; and 3) How do technology weaken the role of school education in addressing societal inequalities - an idea, advocated by the philosopher John Dewey and his daughter and educator Evelyn Dewey? The report aims to serve as a starting point for future interdisciplinary empirical research in school education, with the goal of finding comprehensive and effective solutions for how technology and artificial intelligence can positively impact school education.</t>
  </si>
  <si>
    <t>[Kachakova, Vesselina] Bulgarian Acad Sci, Inst Philosophy &amp; Sociol, Sofia, Bulgaria</t>
  </si>
  <si>
    <t>Bulgarian Academy of Sciences</t>
  </si>
  <si>
    <t>Kachakova, V (corresponding author), Bulgarian Acad Sci, Inst Philosophy &amp; Sociol, Sofia, Bulgaria.</t>
  </si>
  <si>
    <t>vesselinakachakova@gmail.com</t>
  </si>
  <si>
    <t>NATSIONALNO IZDATELSTVO AZ BUKI</t>
  </si>
  <si>
    <t>SOFIA</t>
  </si>
  <si>
    <t>BUL TSARIGRADSKO SHOSE, 125, BL 5, SOFIA, 1113, BULGARIA</t>
  </si>
  <si>
    <t>0861-6302</t>
  </si>
  <si>
    <t>1314-8559</t>
  </si>
  <si>
    <t>FILOSOFIYA</t>
  </si>
  <si>
    <t>Filosofiya</t>
  </si>
  <si>
    <t>10.53656/phil2023-04-05</t>
  </si>
  <si>
    <t>Philosophy</t>
  </si>
  <si>
    <t>KL6Z3</t>
  </si>
  <si>
    <t>WOS:001180172500005</t>
  </si>
  <si>
    <t>Hutchinson, P</t>
  </si>
  <si>
    <t>Hutchinson, Philip</t>
  </si>
  <si>
    <t>Reinventing Innovation Management: The Impact of Self-Innovating Artificial Intelligence</t>
  </si>
  <si>
    <t>Artificial intelligence; Technological innovation; Big Data; Innovation management; Computer science; Decision making; Organizations; Artificial intelligence (AI); digitization; inno-vation process; product innovation; self-innovating artificial intelligence (SAI)</t>
  </si>
  <si>
    <t>BIG DATA CHALLENGES; INFORMATION-TECHNOLOGY; DIGITAL INNOVATION; USER ACCEPTANCE; INCUMBENT FIRMS; NEURAL-NETWORKS; PRODUCT DESIGN; SOCIAL MEDIA; EXPLORATION; PERFORMANCE</t>
  </si>
  <si>
    <t>Through recent leaps in application, artificial intelligence (AI) has become one of the most promising digital technologies, attracting significant attention from scholars and practitioners alike. Prior innovation research has mainly focused on the opportunities for and challenges to infusing digital technologies into the innovation process. However, understanding the general effects of digital technologies is insufficient as their specific fields of application differ. AI is distinct from other digital technologies, given its potential to evolve into both a general-purpose technology and a method of inventing, and several firms are beginning to integrate AI into their innovation processes. We capture this phenomenon by introducing a concept we term self-innovating artificial intelligence (SAI), defined as the organizational utilization of AI with the aim of incrementally advancing existing or developing new products, based on insights from continuously combining and analyzing multiple data sources. As SAI is about to fundamentally change how innovations are created, this article describes the underlying AI technology; conceptualizes and outlines how firms may incorporate SAI into their innovation processes with the aim of developing increasingly complex products; and offers potential avenues for further research in this intriguing domain.</t>
  </si>
  <si>
    <t>[Hutchinson, Philip] Univ Kiel, Inst Innovat Res, D-24118 Kiel, Germany</t>
  </si>
  <si>
    <t>University of Kiel</t>
  </si>
  <si>
    <t>Hutchinson, P (corresponding author), Univ Kiel, Inst Innovat Res, D-24118 Kiel, Germany.</t>
  </si>
  <si>
    <t>p.hutchinson@bwl.uni-kiel.de</t>
  </si>
  <si>
    <t>10.1109/TEM.2020.2977222</t>
  </si>
  <si>
    <t>RB9RU</t>
  </si>
  <si>
    <t>WOS:000632443100024</t>
  </si>
  <si>
    <t>Kar, AK; Choudhary, SK; Singh, VK</t>
  </si>
  <si>
    <t>Kar, Arpan Kumar; Choudhary, Shweta Kumari; Singh, Vinay Kumar</t>
  </si>
  <si>
    <t>How can artificial intelligence impact sustainability: A systematic literature review</t>
  </si>
  <si>
    <t>JOURNAL OF CLEANER PRODUCTION</t>
  </si>
  <si>
    <t>Artificial intelligence; Machine learning; Sustainability; Environment management; Operations management; PRISMA</t>
  </si>
  <si>
    <t>DECISION-SUPPORT-SYSTEMS; SUPPLY CHAINS; FRAMEWORK; MODEL; CLASSIFICATION; LOGISTICS; ENVIRONMENT; PERFORMANCE; PREDICTION; MANAGEMENT</t>
  </si>
  <si>
    <t>We need a proper mechanism to manage issues related to our environment, economy, and society to proceed toward sustainability. Many researchers have worked for sustainable development goals using artificial intelligence (AI) and machine learning to develop an efficient mechanism to facilitate a circular economy and link up the needs of the present generation without disconcerting the capability of coming generations. This study offers a comprehensive review of AI and sustainability and suggested future research scope. The review has focused on different use cases in industries like construction, transportation, healthcare, manufacturing, agriculture, and water. The systematic review is based on 287 papers selected out of 8341 search results with an application of PRISMA based method. Out of all the techniques used in sustainability regression, RL and DSS-based AI models are more popular than others. The review also provides directions surrounding which industrial sectors are using which methods for incorporating sustainable development practices in their organization.</t>
  </si>
  <si>
    <t>[Kar, Arpan Kumar; Choudhary, Shweta Kumari] Indian Inst Technol, Dept Management Studies, Delhi, India; [Singh, Vinay Kumar] BASF Business Serv GmbH, Lu Pfalzgrafen str 1, D-67056 Ludwigshafen, Germany</t>
  </si>
  <si>
    <t>Indian Institute of Technology System (IIT System); Indian Institute of Technology (IIT) - Delhi</t>
  </si>
  <si>
    <t>Kar, AK (corresponding author), Indian Inst Technol, Dept Management Studies, Delhi, India.</t>
  </si>
  <si>
    <t>arpankar@iitd.ac.in; shweta124chaudhary@gmail.com; vinay.singh@basf.com</t>
  </si>
  <si>
    <t>singh, vinay/ADW-8013-2022; Choudhary, Shweta/JMP-8914-2023; Kar, Arpan Kumar/B-9999-2009</t>
  </si>
  <si>
    <t>Kar, Arpan Kumar/0000-0003-4186-4887; singh, vinay/0000-0002-8401-1123</t>
  </si>
  <si>
    <t>BASF [RP04103F]</t>
  </si>
  <si>
    <t>BASF(BASF)</t>
  </si>
  <si>
    <t>This is an outcome of a collaborative project between IIT Delhi and BASF in the space of Artificial Intelligence and Machine Learning. Funding is being provided by the BASF (RP04103F) .</t>
  </si>
  <si>
    <t>0959-6526</t>
  </si>
  <si>
    <t>1879-1786</t>
  </si>
  <si>
    <t>J CLEAN PROD</t>
  </si>
  <si>
    <t>J. Clean Prod.</t>
  </si>
  <si>
    <t>NOV 20</t>
  </si>
  <si>
    <t>10.1016/j.jclepro.2022.134120</t>
  </si>
  <si>
    <t>Green &amp; Sustainable Science &amp; Technology; Engineering, Environmental; Environmental Sciences</t>
  </si>
  <si>
    <t>Science &amp; Technology - Other Topics; Engineering; Environmental Sciences &amp; Ecology</t>
  </si>
  <si>
    <t>9A2HR</t>
  </si>
  <si>
    <t>WOS:000933884700003</t>
  </si>
  <si>
    <t>Jantunen, M; Meyes, R; Kurchyna, V; Meisen, T; Abrahamsson, P; Mohanani, R</t>
  </si>
  <si>
    <t>Jantunen, Marianna; Meyes, Richard; Kurchyna, Veronika; Meisen, Tobias; Abrahamsson, Pekka; Mohanani, Rahul</t>
  </si>
  <si>
    <t>Researchers' Concerns on Artificial Intelligence Ethics: Results from a Scenario-Based Survey</t>
  </si>
  <si>
    <t>PROCEEDINGS 2024 IEEE/ACM INTERNATIONAL WORKSHOP ON SOFTWARE-INTENSIVE BUSINESS, IWSIB 2024</t>
  </si>
  <si>
    <t>7th International Workshop on Software-Intensive Business (IWSiB)</t>
  </si>
  <si>
    <t>APR 16-16, 2024</t>
  </si>
  <si>
    <t>Lisbon, PORTUGAL</t>
  </si>
  <si>
    <t>IEEE,ACM</t>
  </si>
  <si>
    <t>Artificial Intelligence; AI Ethics; AI impacts; Qualitative study Survey</t>
  </si>
  <si>
    <t>The ethical impacts of Artificial Intelligence (AI) are causing concern in many areas of AI research and development. The implementation of AI ethics is still, in many ways, a work in progress, but various initiatives are tackling the issues by creating guidelines and implementation methods. This study investigates concerns about the negative impacts of AI systems posed by researchers working with AI. The study was conducted as a scenario-based survey, in which participants answered the question, What could go wrong? regarding five scenarios depicting fictional AI systems. The study concludes with the results from 33 survey participants who gave 161 responses to the scenarios. The results suggest that researchers can identify threats posed by AI systems, particularly regarding their social and ethical consequences. This is even though half of the participants reported limited involvement with AI ethics in their work. The widespread understanding of ethics among researchers could positively impact AI software development due to increased capabilities to bring theoretical AI ethics to practice.</t>
  </si>
  <si>
    <t>[Jantunen, Marianna; Mohanani, Rahul] Univ Jyvaskyla, Jyvaskyla, Finland; [Meyes, Richard; Meisen, Tobias] Univ Wuppertal, Wuppertal, Germany; [Kurchyna, Veronika] German Res Ctr Artificial Intelligence, Trier, Germany; [Abrahamsson, Pekka] Univ Tampere, Tampere, Finland</t>
  </si>
  <si>
    <t>University of Jyvaskyla; University of Wuppertal</t>
  </si>
  <si>
    <t>Jantunen, M (corresponding author), Univ Jyvaskyla, Jyvaskyla, Finland.</t>
  </si>
  <si>
    <t>marianna.s.p.jantunen@jyu.fi; meyes@uni-wuppertal.de; veronika.kurchyna@dfki.de; meisen@uni-wuppertal.de; pekka.abrahamsson@tuni.fi; rahul.p.mohanani@jyu.fi</t>
  </si>
  <si>
    <t>Mohanani, Rahul/AAG-9762-2019; Meisen, Tobias/AAD-8010-2019; Abrahamsson, Pekka/A-5559-2018</t>
  </si>
  <si>
    <t>Meyes, Richard/0000-0003-3797-0396; Meisen, Tobias/0000-0002-1969-559X; Mohanani, Rahul/0000-0001-7018-8836; Abrahamsson, Pekka/0000-0002-4360-2226</t>
  </si>
  <si>
    <t>979-8-4007-0571-7</t>
  </si>
  <si>
    <t>10.1145/3643690.3648238</t>
  </si>
  <si>
    <t>Computer Science, Software Engineering; Computer Science, Theory &amp; Methods</t>
  </si>
  <si>
    <t>BX5XY</t>
  </si>
  <si>
    <t>WOS:001304727200004</t>
  </si>
  <si>
    <t>Zúñiga, CPC; Martínez, RCJ; Santamaría, DRA</t>
  </si>
  <si>
    <t>Cisneros Zuniga, Cinthya Paulina; Jimenez Martinez, Roberto Carlos; Andrade Santamaria, Danilo Rafael</t>
  </si>
  <si>
    <t>THE IMPACT OF NEW TECHNOLOGIES AND ARTIFICIAL INTELLIGENCE ON EMPLOYMENT IN THE LEGAL SECTOR</t>
  </si>
  <si>
    <t>REVISTA UNIVERSIDAD Y SOCIEDAD</t>
  </si>
  <si>
    <t>Artificial intelligence; new technologies; labor rights; social context</t>
  </si>
  <si>
    <t>The development of intelligence and new technologies is inextricably linked to our society and has become a vital tool in people's day-to-day lives. However, since all human activity is governed by law, there is an obvious overlap between artificial intelligence and legal sciences.Therefore, determining the impact of artificial intelligence and new technologies in the workplace was the overall objective of this research. To achieve this objective, descriptive research was conducted to examine the key areas in which artificial intelligence and the law relate to gain a better understanding of how they might be used in practice. In addition, a quantitative approach was used and special emphasis was placed on the respect of workers' rights in the Ecuadorian and Latin American states. In other words, a humanitarian analysis of the use of artificial intelligence in the workplace was carried out. As a result, it was determined that to prevent this vulnerability, technological advancement must go hand in hand with the advancement of workers' rights.Therefore, this study focused on a humanism approach that examines the relationship between two disciplines that is dynamic and constantly changing in social reality.The rationale behind this approach will be discussed below.</t>
  </si>
  <si>
    <t>[Cisneros Zuniga, Cinthya Paulina; Jimenez Martinez, Roberto Carlos; Andrade Santamaria, Danilo Rafael] Univ Reg Autonoma Los Andes Puyo, Puyo, Ecuador</t>
  </si>
  <si>
    <t>Zúñiga, CPC (corresponding author), Univ Reg Autonoma Los Andes Puyo, Puyo, Ecuador.</t>
  </si>
  <si>
    <t>up.cynthiacisneros@uniandes.edu.ec; up.robertojimenez@uniandes.edu.ec; up.daniloandrade@uniandes.edu.ec</t>
  </si>
  <si>
    <t>UNIV CIENFUEGOS</t>
  </si>
  <si>
    <t>CIENFUEGOS</t>
  </si>
  <si>
    <t>CARRETERA RODAS KM 4, CUATRO CAMINOS, CIENFUEGOS, 00000, CUBA</t>
  </si>
  <si>
    <t>2218-3620</t>
  </si>
  <si>
    <t>REV UNIV SOC</t>
  </si>
  <si>
    <t>Rev. Univ. Soc.</t>
  </si>
  <si>
    <t>S4NK9</t>
  </si>
  <si>
    <t>WOS:001070949600047</t>
  </si>
  <si>
    <t>Zhang, FY; Li, JX; Lu, JH</t>
  </si>
  <si>
    <t>Zhang, Fengyu; Li, Jianxin; Lu, Jiehua</t>
  </si>
  <si>
    <t>Potential impacts of population aging and artificial intelligence on households, living arrangements and sustainable development</t>
  </si>
  <si>
    <t>CHINA POPULATION AND DEVELOPMENT STUDIES</t>
  </si>
  <si>
    <t>Population aging; Artificial intelligence; Households and living arrangements, One Health; Sustainable development; Policy recommendation</t>
  </si>
  <si>
    <t>HEALTH</t>
  </si>
  <si>
    <t>As entering the third decade of the twenty-first century, we face two emerging issues: the aging global population and the widespread applications of artificial intelligence. This article presents a framework for discussing how population aging and artificial intelligence directly affect households and living arrangements and sustainable development. Population aging and artificial intelligence may also impact sustainable development indirectly through households and living arrangements. Artificial intelligence offers a promising future with the potential to boost productivity, reduce anthropogenic impact and improve society. It also creates new jobs for developing, manufacturing and maintaining artificial intelligence products and services. However, it is crucial to consider potential concerns with societal impacts, increased consumption of non-renewable sources and power, unemployment and ethical issues. We conclude with policy recommendations for government implementation and academic research, emphasizing the need for careful consideration and planning in integrating artificial intelligence into sustainable development, as this will be crucial for the future of our society. Exploring the crucial interplay of population aging and artificial intelligence on households, living arrangements and sustainable development will be a vital topic for researchers, policymakers and academics in sociology, demography, economics, education and environmental and public health.</t>
  </si>
  <si>
    <t>[Zhang, Fengyu] Global Clin &amp; Translat Res Inst, Bethesda, MD 20814 USA; [Zhang, Fengyu] Beijing Huilongguan Hosp, Beijing, Peoples R China; [Zhang, Fengyu] Peking Univ, Huilongguan Clin Med Inst, Beijing, Peoples R China; [Li, Jianxin; Lu, Jiehua] Peking Univ, Dept Sociol, Beijing, Peoples R China</t>
  </si>
  <si>
    <t>Peking University; Peking University</t>
  </si>
  <si>
    <t>Zhang, FY (corresponding author), Global Clin &amp; Translat Res Inst, Bethesda, MD 20814 USA.;Zhang, FY (corresponding author), Beijing Huilongguan Hosp, Beijing, Peoples R China.;Zhang, FY (corresponding author), Peking Univ, Huilongguan Clin Med Inst, Beijing, Peoples R China.</t>
  </si>
  <si>
    <t>zhangfy@gcatresearch.org; ljx@pku.edu.cn; lujiehua@pku.edu.cn</t>
  </si>
  <si>
    <t>SPRINGERNATURE</t>
  </si>
  <si>
    <t>CAMPUS, 4 CRINAN ST, LONDON, N1 9XW, ENGLAND</t>
  </si>
  <si>
    <t>2096-448X</t>
  </si>
  <si>
    <t>2523-8965</t>
  </si>
  <si>
    <t>CHINA POPUL DEV STUD</t>
  </si>
  <si>
    <t>China Popul. Dev. Stud.</t>
  </si>
  <si>
    <t>2025 JAN 8</t>
  </si>
  <si>
    <t>10.1007/s42379-024-00168-1</t>
  </si>
  <si>
    <t>JAN 2025</t>
  </si>
  <si>
    <t>Demography</t>
  </si>
  <si>
    <t>R7F6S</t>
  </si>
  <si>
    <t>WOS:001393067000001</t>
  </si>
  <si>
    <t>Gatea, A</t>
  </si>
  <si>
    <t>Gatea, Alikhalaf</t>
  </si>
  <si>
    <t>EXPLORING THE IMPACT OF ARTIFICIAL INTELLIGENCE ON FINANCIAL ACCOUNTING: OPPORTUNITIES, CHALLENGES, AND FUTURE DIRECTIONS</t>
  </si>
  <si>
    <t>FINANCIAL AND CREDIT ACTIVITY-PROBLEMS OF THEORY AND PRACTICE</t>
  </si>
  <si>
    <t>Artificial Intelligence (AI); financial accounting; understandability; verifiability; comparability; timeless; features directions</t>
  </si>
  <si>
    <t>ADOPTION</t>
  </si>
  <si>
    <t>The main aim is to investigate the impact of Artificial Intelligence (AI) on various aspects of disclosing financial information. The case study used a mixed methods approach, and a sample of stakeholders dealing in the Iraq Stock Exchange was taken during 2023 in Iraq. Data collection mainly included a survey conducted on 168 beneficiaries who trade stocks in the stock market, after which 22 clients were selected for personal interviews based on their voluntary willingness to participate in individual interviews. The results revealed beneficiaries prefer to use Artificial Intelligence to get new ideas for tasks or to help them with plans for their projects. The results also revealed that artificial intelligence applications raise concerns about ethics and reliability in their use to disclose financial information and their exploitation by management to obtain financial funding against beneficiaries' will. Finally, the results revealed that most current educational curricula differ from technological developments. Based on the participant's responses about receiving training in artificial intelligence, their concerns were related to the need for appropriate education to deal with artificial intelligence tools.</t>
  </si>
  <si>
    <t>[Gatea, Alikhalaf] Southern Tech Univ, Dept Accounting Tech, Nassiriya, Iraq</t>
  </si>
  <si>
    <t>Southern Technical University</t>
  </si>
  <si>
    <t>Gatea, A (corresponding author), Southern Tech Univ, Dept Accounting Tech, Nassiriya, Iraq.</t>
  </si>
  <si>
    <t>ali.khalaf83@stu.edu.iq</t>
  </si>
  <si>
    <t>khalaf Gatea, Dr. Ali/AET-7999-2022</t>
  </si>
  <si>
    <t>khalaf Gatea, Dr. Ali/0000-0002-7838-3350</t>
  </si>
  <si>
    <t>FINTECHALIANCE</t>
  </si>
  <si>
    <t>Kyiv</t>
  </si>
  <si>
    <t>Highway Kharkivska, bldg 180/21, Kyiv, UKRAINE</t>
  </si>
  <si>
    <t>2306-4994</t>
  </si>
  <si>
    <t>2310-8770</t>
  </si>
  <si>
    <t>FINANC CREDIT ACT</t>
  </si>
  <si>
    <t>Financ. Credit Act.</t>
  </si>
  <si>
    <t>10.55643/fcaptp.6.59.2024.4565</t>
  </si>
  <si>
    <t>Q8E2O</t>
  </si>
  <si>
    <t>WOS:001386934400013</t>
  </si>
  <si>
    <t>Dobreva, M; Rukavina, T; Stamou, V; Vidaki, AN; Zacharopoulou, L</t>
  </si>
  <si>
    <t>Stephanidis, C; Antona, M</t>
  </si>
  <si>
    <t>Dobreva, Mihaela; Rukavina, Tea; Stamou, Vivian; Vidaki, Anastasia Nefeli; Zacharopoulou, Lida</t>
  </si>
  <si>
    <t>A Multimodal Installation Exploring Gender Bias in Artificial Intelligence</t>
  </si>
  <si>
    <t>UNIVERSAL ACCESS IN HUMAN-COMPUTER INTERACTION, UAHCI 2023, PT I</t>
  </si>
  <si>
    <t>Lecture Notes in Computer Science</t>
  </si>
  <si>
    <t>17th International Conference on Universal Access in Human-Computer Interaction (UAHCI) part of the 25th International Conference on Human-Computer Interaction (HCI)</t>
  </si>
  <si>
    <t>JUL 23-28, 2023</t>
  </si>
  <si>
    <t>Copenhagen, DENMARK</t>
  </si>
  <si>
    <t>artificial intelligence (AI); gender bias; discrimination; technology; social impact</t>
  </si>
  <si>
    <t>WOMEN</t>
  </si>
  <si>
    <t>The Blackbox AI installation, developed as part of the EthicAI = LABS project, seeks to raise awareness about the social impact and ethical dimension of artificial intelligence (AI). This interdisciplinary installation explores various domains to bring to light the underrepresentation of women in STEM fields and the biases present in AI applications. The gender-swapped stories of women's experiences of discrimination in the workplace, collected by survey, showcase common patterns and explore the effect of flipping the gender. The text-to-image generation experiment highlights a preference for men in STEM professions and the prevalence of social and racial biases. The facial recognition examples demonstrate the discriminatory effects of such technologies on women, while the image generation investigation poses questions about the influence of AI technology on beauty, with the aim to empower women by pointing out bias in AI tools. The ultimate goal of the project is to challenge visitors to rethink their role in creating our digital future and address the issue of gender bias in artificial intelligence.</t>
  </si>
  <si>
    <t>[Dobreva, Mihaela] Natl Acad Arts, Shipka 1 St, Sofia, Bulgaria; [Rukavina, Tea] AI &amp; DATA, 17 Rue Ledion, F-75014 Paris, France; [Stamou, Vivian] Univ Athens, ILSP Athena RC, NKUA, Athens 15784, Greece; [Vidaki, Anastasia Nefeli] Univ Athens, NKUA, Athens 15772, Greece; [Vidaki, Anastasia Nefeli] European Commiss, Rue Luxemburg 40, B-1000 Brussels, Belgium; [Zacharopoulou, Lida] Athens Sch Fine Arts, Pireos 256, Athens 18233, Greece</t>
  </si>
  <si>
    <t>National Academy for Arts - Bulgaria; National &amp; Kapodistrian University of Athens; National &amp; Kapodistrian University of Athens; Athens School of Fine Arts</t>
  </si>
  <si>
    <t>Stamou, V (corresponding author), Univ Athens, ILSP Athena RC, NKUA, Athens 15784, Greece.</t>
  </si>
  <si>
    <t>vivianstamou@gmail.com</t>
  </si>
  <si>
    <t>Vidaki, Anastasia Nefeli/0000-0002-9371-3370</t>
  </si>
  <si>
    <t>0302-9743</t>
  </si>
  <si>
    <t>978-3-031-35680-3; 978-3-031-35681-0</t>
  </si>
  <si>
    <t>LECT NOTES COMPUT SC</t>
  </si>
  <si>
    <t>10.1007/978-3-031-35681-0_2</t>
  </si>
  <si>
    <t>Computer Science, Cybernetics; Computer Science, Interdisciplinary Applications; Computer Science, Software Engineering</t>
  </si>
  <si>
    <t>BX5DW</t>
  </si>
  <si>
    <t>WOS:001297830300002</t>
  </si>
  <si>
    <t>Skorobogatov, AS; Sviridov, OI</t>
  </si>
  <si>
    <t>Skorobogatov, Alexander S.; Sviridov, Oleg I.</t>
  </si>
  <si>
    <t>The artificial intelligence impact on Russian labor market</t>
  </si>
  <si>
    <t>VOPROSY EKONOMIKI</t>
  </si>
  <si>
    <t>Russian</t>
  </si>
  <si>
    <t>artificial intelligence; labor market; employment; algorithms; automatization</t>
  </si>
  <si>
    <t>The paper studies the association between the artificial intelligence (AI) and employment characteristics. As a theoretical framework, we use the Acemoglu et al. model, which introduces opposing effects of the AI algorithms on labor employment on the firm level such as substitution effect and complimentary/ productivity effects. Depending on their relative strength, the AI algorithms may both decrease and increase employment. The overall effect is estimated using the data on 3.5 million of vacancies for about 35 thousand firms published up to 2022 spring on the HeadHunter website. According to the results, the existence of tasks realizable using AI is consistent with a higher AI employment, which implies the substitution effect. The other, less intuitive, result is that the same tasks suggest a higher non-AI employment, supports complimentary/productivity effects. The overall employment effect is positive as follows from the positive AI tasks-total employment association.</t>
  </si>
  <si>
    <t>[Skorobogatov, Alexander S.; Sviridov, Oleg I.] HSE Univ, St Petersburg, Russia</t>
  </si>
  <si>
    <t>Skorobogatov, AS (corresponding author), HSE Univ, St Petersburg, Russia.</t>
  </si>
  <si>
    <t>skorobogat@mail.ru</t>
  </si>
  <si>
    <t>HSE University Basic Research Program</t>
  </si>
  <si>
    <t>Funding: This study was prepared within the framework of the HSE University Basic Research Program.</t>
  </si>
  <si>
    <t>VOPROSY EKONOMIKI, NP</t>
  </si>
  <si>
    <t>MOSCOW</t>
  </si>
  <si>
    <t>PROSPECT VERNADSKOGO 84, MOSCOW, RUSSIA</t>
  </si>
  <si>
    <t>0042-8736</t>
  </si>
  <si>
    <t>VOPR EKON</t>
  </si>
  <si>
    <t>Vopr. Ekon.</t>
  </si>
  <si>
    <t>10.32609/0042-8736-2025-1-71-912025</t>
  </si>
  <si>
    <t>T0O2D</t>
  </si>
  <si>
    <t>WOS:001402099800004</t>
  </si>
  <si>
    <t>Lu, CH</t>
  </si>
  <si>
    <t>Lu, Chia-Hui</t>
  </si>
  <si>
    <t>The impact of artificial intelligence on economic growth and welfare</t>
  </si>
  <si>
    <t>JOURNAL OF MACROECONOMICS</t>
  </si>
  <si>
    <t>Artificial intelligence; Human capital; Economic growth; Welfare</t>
  </si>
  <si>
    <t>ENDOGENOUS GROWTH; FACTOR SHARES; FUTURE; MODEL</t>
  </si>
  <si>
    <t>Focusing on the self-accumulation ability and the nonrival characteristic of artificial intelligence (AI), this paper develops a three-sector endogenous growth model and investigates the impact of the development of AI along the transitional dynamics path and the balanced growth path. The development of AI can increase economic growth along the transitional dynamics path, and can increase household short-run utility if an increase in the accumulation of AI is due to the rising productivity in the goods or AI sector, but can be detrimental to household short-run utility if an increase in the accumulation of AI is because firms use more AI to replace human labor. In addition, the development of AI is not necessarily beneficial to household welfare in the long run. The main results are unaffected when considering the case where AI can improve the accumulation of human capital, the traditional research and development model, and different kinds of physical capital.</t>
  </si>
  <si>
    <t>[Lu, Chia-Hui] Natl Taipei Univ, Dept Econ, 51 Univ Rd, New Taipei 23741, Taiwan</t>
  </si>
  <si>
    <t>National Taipei University</t>
  </si>
  <si>
    <t>Lu, CH (corresponding author), Natl Taipei Univ, Dept Econ, 51 Univ Rd, New Taipei 23741, Taiwan.</t>
  </si>
  <si>
    <t>chiahuilu.chlu@gmail.com</t>
  </si>
  <si>
    <t>Ministry of Science and Technology of Taiwan [MOST 107-2628-H-305-003-MY3]</t>
  </si>
  <si>
    <t>Ministry of Science and Technology of Taiwan(Ministry of Science and Technology, Taiwan)</t>
  </si>
  <si>
    <t>?This study was funded by the Ministry of Science and Technology of Taiwan (grant number MOST 107-2628-H-305-003-MY3) .</t>
  </si>
  <si>
    <t>0164-0704</t>
  </si>
  <si>
    <t>1873-152X</t>
  </si>
  <si>
    <t>J MACROECON</t>
  </si>
  <si>
    <t>J. Macroecon.</t>
  </si>
  <si>
    <t>10.1016/j.jmacro.2021.103342</t>
  </si>
  <si>
    <t>JUN 2021</t>
  </si>
  <si>
    <t>UL7LV</t>
  </si>
  <si>
    <t>WOS:000692829300016</t>
  </si>
  <si>
    <t>Uriarte-Gallastegi, N; Landeta-Manzano, B; Arana-Landin, G; Laskurain-Iturbe, I</t>
  </si>
  <si>
    <t>Alfnes, E; Romsdal, A; Strandhagen, JO; VonCieminski, G; Romero, D</t>
  </si>
  <si>
    <t>Uriarte-Gallastegi, Naiara; Landeta-Manzano, Benat; Arana-Landin, German; Laskurain-Iturbe, Iker</t>
  </si>
  <si>
    <t>Influence of Artificial Intelligence on Resource Consumption</t>
  </si>
  <si>
    <t>ADVANCES IN PRODUCTION MANAGEMENT SYSTEMS. PRODUCTION MANAGEMENT SYSTEMS FOR RESPONSIBLE MANUFACTURING, SERVICE, AND LOGISTICS FUTURES, APMS 2023, PT II</t>
  </si>
  <si>
    <t>IFIP Advances in Information and Communication Technology</t>
  </si>
  <si>
    <t>IFIP WG 5.7 International Conference of the Advances in Production Management Systems (APMS)</t>
  </si>
  <si>
    <t>SEP 17-21, 2023</t>
  </si>
  <si>
    <t>Norwegian Univ Sci &amp; Tech, Trondheim, NORWAY</t>
  </si>
  <si>
    <t>Norwegian Univ Sci &amp; Tech</t>
  </si>
  <si>
    <t>Artificial Intelligence; Circular Economy; Industry 4.0; environmental sustainability</t>
  </si>
  <si>
    <t>WASTE</t>
  </si>
  <si>
    <t>Industry 4.0 presents companies with an opportunity to embrace circular models that are increasingly pressing. This study examines how Artificial Intelligence contributes to enhancing key indicators of the circular economy, such as material, energy, and water consumption, through a multi-case analysis. The findings demonstrate that Artificial Intelligence can significantly impact resource efficiency and provide a competitive edge to organizations, primarily by reducing energy and material consumption. However, the potential effects of artificial intelligence vary depending on the type of technology and activity to which it is applied. Furthermore, it emphasizes the importance of ongoing research into the novel effects generated by Artificial Intelligence, both in the business sector, through the development of new applications, and in the public sector, through the integration of Artificial Intelligence in the formulation of public policies.</t>
  </si>
  <si>
    <t>[Uriarte-Gallastegi, Naiara; Landeta-Manzano, Benat] Univ Basque Country, Fac Engn, Business Management Dept, Bilbao 48013, Spain; [Arana-Landin, German; Laskurain-Iturbe, Iker] Univ Basque Country, Fac Engn, Business Management Dept, San Sebastian 20018, Spain</t>
  </si>
  <si>
    <t>University of Basque Country; University of Basque Country</t>
  </si>
  <si>
    <t>Arana-Landin, G (corresponding author), Univ Basque Country, Fac Engn, Business Management Dept, San Sebastian 20018, Spain.</t>
  </si>
  <si>
    <t>naiara.uriarte@ehu.eus; Benat.landeta@ehu.eus; g.arana@ehu.eus; iker.laskurain@ehu.eus</t>
  </si>
  <si>
    <t>Arana, Germán/ABA-4481-2021; Landeta-Manzano, Beñat/ABA-4578-2021</t>
  </si>
  <si>
    <t>Uriarte Gallastegi, Naiara/0000-0002-3968-3967; ARANA LANDIN, GERMAN/0000-0003-2027-7157; LANDETA MANZANO, BENAT/0000-0003-4496-3792</t>
  </si>
  <si>
    <t>Basque Autonomous Government [GIC-IT1691-22]; Euskampus Foundation; MCIN/AEI [PID2020-113650RB-I00]; FEDER Una manera de hacer Europa/European Union NextGenerationEU/PRTR; University of the Basque Country [UPV/EHU 21/005]; Ministry of Universities; European Union through the European UnionNext GenerationEUfund [EU-RECUALI 21/11, 21/18, 22/03]</t>
  </si>
  <si>
    <t>Basque Autonomous Government; Euskampus Foundation(ACEV Foundation); MCIN/AEI; FEDER Una manera de hacer Europa/European Union NextGenerationEU/PRTR; University of the Basque Country; Ministry of Universities; European Union through the European UnionNext GenerationEUfund</t>
  </si>
  <si>
    <t>This study has been funded by the Basque Autonomous Government (Research Group GIC-IT1691-22), the Euskampus Foundation within the projects ZIRBOTICS and SOFIA (Euskampus Missions 1.0 and 2.0), the MCIN/AEI/10. 13039/501100011033 with the project PID2020-113650RB-I00 and FEDER Una manera de hacer Europa/European Union NextGenerationEU/PRTR, the University of the Basque Country (Research Group UPV/EHU 21/005) and the Ministry of Universities and the European Union through the European UnionNext GenerationEUfund(EU-RECUALI 21/11, 21/18 and 22/03). We are grateful for the technical and human support provided by the CDRE (Universite de Pau et des Pays de l'Adour) and the Environmental Sustainability and Health Institute (Technological University of Dublin).</t>
  </si>
  <si>
    <t>1868-4238</t>
  </si>
  <si>
    <t>1868-422X</t>
  </si>
  <si>
    <t>978-3-031-43668-0; 978-3-031-43666-6; 978-3-031-43665-9</t>
  </si>
  <si>
    <t>IFIP ADV INF COMM TE</t>
  </si>
  <si>
    <t>10.1007/978-3-031-43666-6_45</t>
  </si>
  <si>
    <t>Computer Science, Interdisciplinary Applications; Engineering, Industrial; Engineering, Manufacturing; Operations Research &amp; Management Science</t>
  </si>
  <si>
    <t>BY0RV</t>
  </si>
  <si>
    <t>WOS:001360251000045</t>
  </si>
  <si>
    <t>Velarde, G</t>
  </si>
  <si>
    <t>IEEE COMP SOC</t>
  </si>
  <si>
    <t>Velarde, Gissel</t>
  </si>
  <si>
    <t>Artificial Intelligence Trends and Future Scenarios: Relations Between Statistics and Opinions</t>
  </si>
  <si>
    <t>2021 IEEE THIRD INTERNATIONAL CONFERENCE ON COGNITIVE MACHINE INTELLIGENCE (COGMI 2021)</t>
  </si>
  <si>
    <t>3rd IEEE International Conference on Cognitive Machine Intelligence (IEEE CogMI)</t>
  </si>
  <si>
    <t>DEC 13-15, 2021</t>
  </si>
  <si>
    <t>IEEE,IEEE Comp Soc</t>
  </si>
  <si>
    <t>Artificial Intelligence; Trends; Future; Impact</t>
  </si>
  <si>
    <t>Artificial Intelligence (AI) is a trend in innovation and research expected to significantly impact society and firms. However, there are various opinions about its possible effects. This study compares the World Intellectual Property Organization (WIPO) statistics with opinions from 21 AI researchers, self-identified as professors and postdocs. Within AI-based innovations, WIPO data shows that Deep Learning is the technique with the largest average growth rate in recent years. Similarly, AI researchers consider that Deep Learning is a strong trend in AI. The survey also revealed that perceived AI research trends are somewhat different from ideal AI research trends. Ideal trends include AI fundamental research, ethics, data usage, human-machine interaction, learning, and good practices. In addition, 181 self-identified professionals, professors, postdocs, and doctoral students, among others involved in AI communities, shared their opinion on the impact of AI and the possible future scenarios. Most respondents identified pragmatics (57%), while very few were pessimists (4%), among other options.</t>
  </si>
  <si>
    <t>Velarde, Gissel/AAV-5269-2021</t>
  </si>
  <si>
    <t>Velarde Perez, Gissel Rocio/0000-0001-5392-9540</t>
  </si>
  <si>
    <t>978-1-6654-1621-4</t>
  </si>
  <si>
    <t>10.1109/CogMI52975.2021.00017</t>
  </si>
  <si>
    <t>BT4ZZ</t>
  </si>
  <si>
    <t>WOS:000835349000008</t>
  </si>
  <si>
    <t>Valikodath, NG; Cole, E; Ting, DSW; Campbell, JP; Pasquale, LR; Chiang, MF; Chan, RVP</t>
  </si>
  <si>
    <t>Valikodath, Nita G.; Cole, Emily; Ting, Daniel S. W.; Campbell, J. Peter; Pasquale, Louis R.; Chiang, Michael F.; Chan, R. V. Paul</t>
  </si>
  <si>
    <t>Amer Acad Ophthalmology Task Force</t>
  </si>
  <si>
    <t>Impact of Artificial Intelligence on Medical Education in Ophthalmology</t>
  </si>
  <si>
    <t>TRANSLATIONAL VISION SCIENCE &amp; TECHNOLOGY</t>
  </si>
  <si>
    <t>artificial intelligence; medical education; curriculum; technology</t>
  </si>
  <si>
    <t>DIABETIC-RETINOPATHY; PLUS DISEASE; DEEP; PREMATURITY</t>
  </si>
  <si>
    <t>Clinical care in ophthalmology is rapidly evolving as artificial intelligence (AI) algorithms are being developed. The medical community and national and federal regulatory bodies are recognizing the importance of adapting to AI. However, there is a gap in physicians' understanding of AI and its implications regarding its potential use in clinical care, and there are limited resources and established programs focused on AI and medical education in ophthalmology. Physicians are essential in the application of AI in a clinical context. An AI curriculum in ophthalmology can help provide physicians with a fund of knowledge and skills to integrate AI into their practice. In this paper, we provide general recommendations for an AI curriculum for medical students, residents, and fellows in ophthalmology.</t>
  </si>
  <si>
    <t>[Valikodath, Nita G.; Cole, Emily; Chan, R. V. Paul] Univ Illinois, Illinois Eye &amp; Ear Infirm, Dept Ophthalmol &amp; Visual Sci, 1855 W Taylor St,Suite 3-138, Chicago, IL 60612 USA; [Ting, Daniel S. W.] Duke NUS Med Sch, Singapore Natl Eye Ctr, Singapore, Singapore; [Campbell, J. Peter] Oregon Hlth &amp; Sci Univ, Casey Eye Inst, Dept Ophthalmol, Portland, OR 97201 USA; [Pasquale, Louis R.] Mt Sinai Hosp, Icahn Sch Med, Dept Ophthalmol, New York, NY 10029 USA; [Chiang, Michael F.] NEI, NIH, Bethesda, MD 20892 USA</t>
  </si>
  <si>
    <t>University of Illinois System; University of Illinois Chicago; University of Illinois Chicago Hospital; National University of Singapore; Singapore National Eye Center; Oregon Health &amp; Science University; Icahn School of Medicine at Mount Sinai; National Institutes of Health (NIH) - USA; NIH National Eye Institute (NEI)</t>
  </si>
  <si>
    <t>Chan, RVP (corresponding author), Univ Illinois, Illinois Eye &amp; Ear Infirm, Dept Ophthalmol &amp; Visual Sci, 1855 W Taylor St,Suite 3-138, Chicago, IL 60612 USA.</t>
  </si>
  <si>
    <t>rvchan@uic.edu</t>
  </si>
  <si>
    <t>Ting, Darren Shu Jeng/AFK-9160-2022</t>
  </si>
  <si>
    <t>Chiang, Michael/0000-0002-8172-7636; Bidwai, Pooja Vishal/0000-0002-3077-4395</t>
  </si>
  <si>
    <t>National Institutes of Health [R01EY19474, R01EY015473, K12EY027720, P30EY10572]; National Science Foundation [SCH-1622679]; Research to Prevent Blindness; National Eye Institute [R01EY015473] Funding Source: NIH RePORTER</t>
  </si>
  <si>
    <t>National Institutes of Health(United States Department of Health &amp; Human ServicesNational Institutes of Health (NIH) - USA); National Science Foundation(National Science Foundation (NSF)); Research to Prevent Blindness(Research to Prevent Blindness (RPB)); National Eye Institute(United States Department of Health &amp; Human ServicesNational Institutes of Health (NIH) - USANIH National Eye Institute (NEI))</t>
  </si>
  <si>
    <t>Supported by Grants from the National Institutes of Health (R01EY19474, R01EY015473, K12EY027720, and P30EY10572) and the National Science Foundation (SCH-1622679), by unrestricted departmental funding, and by a Career Development Award (JPC) from Research to Prevent Blindness. The sponsor or funding organizations had no role in the design or conduct of this research.</t>
  </si>
  <si>
    <t>ASSOC RESEARCH VISION OPHTHALMOLOGY INC</t>
  </si>
  <si>
    <t>ROCKVILLE</t>
  </si>
  <si>
    <t>12300 TWINBROOK PARKWAY, ROCKVILLE, MD 20852-1606 USA</t>
  </si>
  <si>
    <t>2164-2591</t>
  </si>
  <si>
    <t>TRANSL VIS SCI TECHN</t>
  </si>
  <si>
    <t>Transl. Vis. Sci. Technol.</t>
  </si>
  <si>
    <t>10.1167/tvst.10.7.14</t>
  </si>
  <si>
    <t>TD3KI</t>
  </si>
  <si>
    <t>WOS:000669229400010</t>
  </si>
  <si>
    <t>Laurenzo, T; Vega, K</t>
  </si>
  <si>
    <t>Laurenzo, Tomas; Vega, Katia</t>
  </si>
  <si>
    <t>DOOR: Ethnicity in Artificial Intelligence</t>
  </si>
  <si>
    <t>TEI'19: PROCEEDINGS OF THE THIRTEENTH INTERNATIONAL CONFERENCE ON TANGIBLE, EMBEDDED, AND EMBODIED INTERACTION</t>
  </si>
  <si>
    <t>13th International Conference on Tangible, Embedded, and Embodied Interaction (ACM TEI)</t>
  </si>
  <si>
    <t>MAR 17-20, 2019</t>
  </si>
  <si>
    <t>Tempe, AZ</t>
  </si>
  <si>
    <t>Assoc Comp Machinery,ACM SIGCHI</t>
  </si>
  <si>
    <t>artificial intelligence; computer vision; ethnicity; interactive art</t>
  </si>
  <si>
    <t>DOOR is an artwork that aims at exposing some of the social and political impact of artificial intelligence, computer vision, and automation. The project uses a commercially available computer vision system that predicts the interactor's ethnicity, and locks or unlocks itself depending on this prediction. The artwork showcases a possible use of computer vision making explicit the fact that every technological implantation crystallises a political worldview.</t>
  </si>
  <si>
    <t>[Laurenzo, Tomas] City Univ Hong Kong, Sch Creat Media, Kowloon Tong, 18 Tat Hong Ave, Hong Kong, Peoples R China; [Vega, Katia] Univ Calif Davis, Dept Design, One Shield Ave, Davis, CA 95616 USA</t>
  </si>
  <si>
    <t>City University of Hong Kong; University of California System; University of California Davis</t>
  </si>
  <si>
    <t>Laurenzo, T (corresponding author), City Univ Hong Kong, Sch Creat Media, Kowloon Tong, 18 Tat Hong Ave, Hong Kong, Peoples R China.</t>
  </si>
  <si>
    <t>tomas@laurenzo.net; kvega@ucdavis.edu</t>
  </si>
  <si>
    <t>Stochastic Labs; Research Grants Council of the Hong Kong Special Administrative Region, China [9042456 (CityU 11674416)]</t>
  </si>
  <si>
    <t>Stochastic Labs; Research Grants Council of the Hong Kong Special Administrative Region, China(Hong Kong Research Grants Council)</t>
  </si>
  <si>
    <t>The authors thank Stochastic Labs for supporting the development of the project [11]. The work described in this paper partially supported by a grant from the Research Grants Council of the Hong Kong Special Administrative Region, China [Project No. 9042456 (CityU 11674416). We also thank Alejandro Rodriguez [15] for his support.</t>
  </si>
  <si>
    <t>978-1-4503-6196-5</t>
  </si>
  <si>
    <t>10.1145/3294109.3301262</t>
  </si>
  <si>
    <t>Computer Science, Hardware &amp; Architecture; Engineering, Electrical &amp; Electronic</t>
  </si>
  <si>
    <t>BN0FO</t>
  </si>
  <si>
    <t>WOS:000472795300067</t>
  </si>
  <si>
    <t>Malach, J; Javorcik, T</t>
  </si>
  <si>
    <t>Malach, Josef; Javorcik, Tomas</t>
  </si>
  <si>
    <t>Conditions and Bases of Incorporation of Artificial Intelligence into Czech School Environment</t>
  </si>
  <si>
    <t>Artificial Intelligence; digital competence; tutoring; personalizing learning; testing; automating tasks</t>
  </si>
  <si>
    <t>The forthcoming fourth industrial revolution (so-called Industry 4.0) will affect all fields of human activity. An important task of the education system is to prepare competent employees and their teachers, especially in digital literacy and algorithmic thinking. Both these sets of competencies lead to effective use of information and communication tools in everyday and professional life. The use of artificial intelligence in education is becoming increasingly studied topic. When talking about the use of artificial intelligence in teaching, we mean above all tutoring (AI programs to answer questions or provide feedback), personalizing learning (AI can also provide support for special needs students, adaptive tutors tailor learning material, pace sequence and difficulty to each student's needs), testing (Computer adaptive assessments adjust the difficulty of successive questions based on the student's answers) and automating tasks (AI can perform routine tasks such as taking attendance, grading assignments, and generating test questions). In the Czech school environment, these artificial intelligence components are not yet used on such scale as in other European Union countries, despite the fact that the methodological and legislative documents adopted by the European Commission and the Government of the Czech Republic create a favorable environment for greater involvement of the latest technologies in the educational process of all age groups. In particular, teachers' inability to exploit the potential of these technologies despite the good facilities of schools and the excellent digital literacy of Czech pupils and students, as mentioned in the ICILS 2013 Computer and Information Literacy study. Because of this it is necessary to focus on the education of existing and future teachers. The aim of the paper is to analyze the latest methodological and legislative documents concerning the development of digital competences and digital education in the Czech school environment in the context of relevant international trends, concepts and experiences. Furthermore, the paper also deals with the competence of Czech teachers and pupils for the future use of artificial intelligence and the evaluation of the conditions of its application in the educational process. The readers will get an idea of changes and processes in Czech education leading to the application of artificial intelligence components in school education.</t>
  </si>
  <si>
    <t>[Malach, Josef; Javorcik, Tomas] Univ Ostrava, Ostrava, Czech Republic</t>
  </si>
  <si>
    <t>University of Ostrava</t>
  </si>
  <si>
    <t>Malach, J (corresponding author), Univ Ostrava, Ostrava, Czech Republic.</t>
  </si>
  <si>
    <t>josef.malach@osu.cz; tomas.javorcik@osu.cz</t>
  </si>
  <si>
    <t>Javorcik, Tomas/E-8778-2019</t>
  </si>
  <si>
    <t>Javorcik, Tomas/0000-0003-2050-8648</t>
  </si>
  <si>
    <t>10.34190/ECIAIR.19.077</t>
  </si>
  <si>
    <t>WOS:000539633500056</t>
  </si>
  <si>
    <t>Lee, MS; Grabowski, MM; Habboub, G; Mroz, TE</t>
  </si>
  <si>
    <t>Lee, Michelle S.; Grabowski, Matthew M.; Habboub, Ghaith; Mroz, Thomas E.</t>
  </si>
  <si>
    <t>The Impact of Artificial Intelligence on Quality and Safety</t>
  </si>
  <si>
    <t>GLOBAL SPINE JOURNAL</t>
  </si>
  <si>
    <t>artificial intelligence; machine learning; spine predictive modeling; spine quality; spine safety</t>
  </si>
  <si>
    <t>SURGICAL-TREATMENT; SPINE SURGEONS; LUMBAR; MODEL</t>
  </si>
  <si>
    <t>As exponential expansion of computing capacity converges with unsustainable health care spending, a hopeful opportunity has emerged: the use of artificial intelligence to enhance health care quality and safety. These computer-based algorithms can perform the intricate and extremely complex mathematical operations of classification or regression on immense amounts of data to detect intricate and potentially previously unknown patterns in that data, with the end result of creating predictive models that can be utilized in clinical practice. Such models are designed to distinguish relevant from irrelevant data regarding a particular patient; choose appropriate perioperative care, intervention or surgery; predict cost of care and reimbursement; and predict future outcomes on a variety of anchored measures. If and when one is brought to fruition, an artificial intelligence platform could serve as the first legitimate clinical decision-making tool in spine care, delivering on the value equation while serving as a source for improving physician performance and promoting appropriate, efficient care in this era of financial uncertainty in health care.</t>
  </si>
  <si>
    <t>[Lee, Michelle S.; Grabowski, Matthew M.; Habboub, Ghaith; Mroz, Thomas E.] Cleveland Clin Fdn, 9500 Euclid Ave, Cleveland, OH 44195 USA</t>
  </si>
  <si>
    <t>Cleveland Clinic Foundation</t>
  </si>
  <si>
    <t>Mroz, TE (corresponding author), Cleveland Clin, Dept Orthopaed &amp; Neurol Surg, Spine Res Lab, Ctr Spine Hlth, 9500 Euclid Ave,S-40, Cleveland, OH 44195 USA.</t>
  </si>
  <si>
    <t>mrozt@ccf.org</t>
  </si>
  <si>
    <t>Grabowski, Matthew/0000-0001-8550-0124</t>
  </si>
  <si>
    <t>AO Spine North America</t>
  </si>
  <si>
    <t>The author(s) disclosed receipt of the following financial support for the research, authorship, and/or publication of this article: This supplement was supported by funding from AO Spine North America.</t>
  </si>
  <si>
    <t>2192-5682</t>
  </si>
  <si>
    <t>2192-5690</t>
  </si>
  <si>
    <t>GLOB SPINE J</t>
  </si>
  <si>
    <t>Glob. Spine J.</t>
  </si>
  <si>
    <t>99S</t>
  </si>
  <si>
    <t>103S</t>
  </si>
  <si>
    <t>10.1177/2192568219878133</t>
  </si>
  <si>
    <t>KA7MZ</t>
  </si>
  <si>
    <t>WOS:000505983700014</t>
  </si>
  <si>
    <t>Abonamah, AA; Tariq, MU; Shilbayeh, S</t>
  </si>
  <si>
    <t>Abonamah, Abdullah A.; Tariq, Muhammad Usman; Shilbayeh, Samar</t>
  </si>
  <si>
    <t>On the Commoditization of Artificial Intelligence</t>
  </si>
  <si>
    <t>FRONTIERS IN PSYCHOLOGY</t>
  </si>
  <si>
    <t>artificial intelligence; AI commoditization; AI business value; AI strategy; AI operations</t>
  </si>
  <si>
    <t>CHALLENGES; AUTONOMY</t>
  </si>
  <si>
    <t>As artificial intelligence's potential and pervasiveness continue to increase, its strategic importance, effects, and management must be closely examined. Societies, governments, and business organizations need to view artificial intelligence (AI) technologies and their usage from an entirely different perspective. AI is poised to have a tremendous impact on every aspect of our lives. Therefore, it must have a broader view that transcends AI's technical capabilities and perceived value, including areas of AI's impact and influence. Nicholas G. Carr's seminal paper IT Does not Matter (Carr, 2003) explained how IT's potential and ubiquity have increased, but IT's strategic importance has declined with time. AI is poised to meet the same fate as IT. In fact, the commoditization of AI has already begun. This paper presents the arguments to demonstrate that AI is moving rapidly in this direction. It also proposes an artificial intelligence-based organizational framework to gain value-added elements for lowering the impact of AI commoditization.</t>
  </si>
  <si>
    <t>[Abonamah, Abdullah A.; Tariq, Muhammad Usman; Shilbayeh, Samar] Abu Dhabi Sch Management, Abu Dhabi, U Arab Emirates</t>
  </si>
  <si>
    <t>Tariq, MU (corresponding author), Abu Dhabi Sch Management, Abu Dhabi, U Arab Emirates.</t>
  </si>
  <si>
    <t>m.tariq@adsm.ac.ae</t>
  </si>
  <si>
    <t>Tariq, Muhammad Usman/G-3636-2015</t>
  </si>
  <si>
    <t>Tariq, Muhammad Usman/0000-0002-7605-3040</t>
  </si>
  <si>
    <t>1664-1078</t>
  </si>
  <si>
    <t>FRONT PSYCHOL</t>
  </si>
  <si>
    <t>Front. Psychol.</t>
  </si>
  <si>
    <t>10.3389/fpsyg.2021.696346</t>
  </si>
  <si>
    <t>WL5MJ</t>
  </si>
  <si>
    <t>WOS:000710448800001</t>
  </si>
  <si>
    <t>Yar, MA; Hamdan, M; Anshari, M; Fitriyani, NL; Syafrudin, M</t>
  </si>
  <si>
    <t>Yar, Muhammad Asfand; Hamdan, Mahani; Anshari, Muhammad; Fitriyani, Norma Latif; Syafrudin, Muhammad</t>
  </si>
  <si>
    <t>Governing with Intelligence: The Impact of Artificial Intelligence on Policy Development</t>
  </si>
  <si>
    <t>INFORMATION</t>
  </si>
  <si>
    <t>artificial intelligence; public policy development; ethics; decision-making</t>
  </si>
  <si>
    <t>As the field of artificial intelligence (AI) continues to evolve, its potential applications in various domains, including public policy development, have garnered significant interest. This research aims to investigate the role of AI in shaping public policies through a qualitative examination of secondary data and an extensive bibliographic review. By analyzing the existing literature, government reports, and relevant case studies, this study seeks to uncover the opportunities, challenges, and ethical considerations associated with leveraging AI in the formulation and implementation of public policies. This research will delve into the potential benefits of AI-driven policy analysis, such as enhanced decision-making processes, data-driven insights, and improved policy outcomes. Additionally, it will explore the risks and concerns surrounding AI's influence on policy, including potential biases, privacy implications, and the need for transparency and accountability. The findings of this study will contribute to the ongoing discourse on the responsible and effective integration of AI in public policy development, fostering informed decision-making and promoting the ethical use of this transformative technology.</t>
  </si>
  <si>
    <t>[Yar, Muhammad Asfand; Hamdan, Mahani; Anshari, Muhammad] Univ Brunei Darussalam, Inst Policy Studies, Bandar Seri Begawan BE1410, Brunei; [Fitriyani, Norma Latif; Syafrudin, Muhammad] Sejong Univ, Dept Artificial Intelligence &amp; Data Sci, Seoul 05006, South Korea</t>
  </si>
  <si>
    <t>University Brunei Darussalam; Sejong University</t>
  </si>
  <si>
    <t>Anshari, M (corresponding author), Univ Brunei Darussalam, Inst Policy Studies, Bandar Seri Begawan BE1410, Brunei.;Syafrudin, M (corresponding author), Sejong Univ, Dept Artificial Intelligence &amp; Data Sci, Seoul 05006, South Korea.</t>
  </si>
  <si>
    <t>23h1511@ubd.edu.bn; mahani.hamdan@ubd.edu.bn; anshari.ali@ubd.edu.bn; norma@sejong.ac.kr; udin@sejong.ac.kr</t>
  </si>
  <si>
    <t>Fitriyani, Norma Latif/S-4105-2018; hamdan, mahani/LJL-2701-2024; YAR, Muhammad/JHS-6776-2023; Syafrudin, Muhammad/P-9657-2017; Anshari, Muhammad/F-8232-2012</t>
  </si>
  <si>
    <t>hamdan, mahani/0000-0003-3859-4433; Syafrudin, Muhammad/0000-0002-5640-4413; Fitriyani, Norma Latif/0000-0002-1133-3965; Anshari, Muhammad/0000-0002-8160-6682</t>
  </si>
  <si>
    <t>2078-2489</t>
  </si>
  <si>
    <t>Information</t>
  </si>
  <si>
    <t>10.3390/info15090556</t>
  </si>
  <si>
    <t>H5C6K</t>
  </si>
  <si>
    <t>WOS:001323622100001</t>
  </si>
  <si>
    <t>Ibrahim, NMH</t>
  </si>
  <si>
    <t>Ibrahim, Nayera Mohamed Hamed</t>
  </si>
  <si>
    <t>Artificial Intelligence (AI) and Saudi Arabia's Governance</t>
  </si>
  <si>
    <t>JOURNAL OF DEVELOPING SOCIETIES</t>
  </si>
  <si>
    <t>Artificial intelligence; Saudi Arabia; governance; authoritarianism</t>
  </si>
  <si>
    <t>Why does the Saudi government utilize artificial intelligence? The research questions whether the more the Saudi government utilizes artificial intelligence (AI), the more it endures authoritarianism or not. In fact, an analytical research design based on a neo-institutional approach is applied to the case study. The research examines the concept of isomorphism by addressing the motivations for AI utilization in Saudi Arabia, the outcomes of AI on Saudi Arabia's authoritarian practices, Saudi citizens' insights into AI applications in Saudi Arabia, the relationship between legitimacy and stability in the presence of AI in Saudi Arabia, and the impact of culture and cognitive bases on Saudi organizational behavior toward AI in Saudi Arabia. The research concludes the following: Saudi Arabia applies artificial intelligence to keep the political sphere unchangeable. In other words, the more the Saudi government utilizes artificial intelligence, the more it becomes a digital authoritarian tool.</t>
  </si>
  <si>
    <t>[Ibrahim, Nayera Mohamed Hamed] Badr Univ Cairo, Fac Polit Sci &amp; Int Relat, Polit Syst &amp; Publ Policies Program, Cairo, Egypt</t>
  </si>
  <si>
    <t>Badr University in Cairo</t>
  </si>
  <si>
    <t>Ibrahim, NMH (corresponding author), Badr Univ Cairo, Fac Polit Sci &amp; Int Relat, Polit Syst &amp; Publ Policies Program, Cairo, Egypt.</t>
  </si>
  <si>
    <t>SAGE PUBLICATIONS INDIA PVT LTD</t>
  </si>
  <si>
    <t>NEW DELHI</t>
  </si>
  <si>
    <t>B-1-I-1 MOHAN CO-OPERATIVE INDUSTRIAL AREA, MATHURA RD, POST BAG NO 7, NEW DELHI 110 044, INDIA</t>
  </si>
  <si>
    <t>0169-796X</t>
  </si>
  <si>
    <t>1745-2546</t>
  </si>
  <si>
    <t>J DEV SOC</t>
  </si>
  <si>
    <t>J. Dev. Soc.</t>
  </si>
  <si>
    <t>10.1177/0169796X241288590</t>
  </si>
  <si>
    <t>Development Studies</t>
  </si>
  <si>
    <t>L6Q1T</t>
  </si>
  <si>
    <t>WOS:001339722600001</t>
  </si>
  <si>
    <t>Della Corte, V; Del Gaudio, G; Sepe, F; Luongo, S; Crisci, A</t>
  </si>
  <si>
    <t>Della Corte, Valentina; Del Gaudio, Giovanna; Sepe, Fabiana; Luongo, Simone; Crisci, Anna</t>
  </si>
  <si>
    <t>The adoption of Artificial Intelligence technologies in the era of grey tsunami: prospects and challenges</t>
  </si>
  <si>
    <t>2022 IEEE INTERNATIONAL CONFERENCE ON METROLOGY FOR EXTENDED REALITY, ARTIFICIAL INTELLIGENCE AND NEURAL ENGINEERING (METROXRAINE)</t>
  </si>
  <si>
    <t>IEEE International Conference on Metrology for Extended Reality, Artificial Intelligence and Neural Engineering (IEEE MetroXRAINE)</t>
  </si>
  <si>
    <t>OCT 26-28, 2022</t>
  </si>
  <si>
    <t>Rome, ITALY</t>
  </si>
  <si>
    <t>IEEE,Univ Napoli Federico II,Univ Salento,Ulster Univ</t>
  </si>
  <si>
    <t>artificial intelligence; TAM; SEM</t>
  </si>
  <si>
    <t>HEALTH-CARE; SERVICE; ACCEPTANCE</t>
  </si>
  <si>
    <t>The aim of this paper is to investigate the potentiality of the use of Artificial Intelligence (AI) robots in social groups and specifically the antecedents that impact on either senior citizens' willingness or objection to use Artificial Intelligence robots. In order to explore what are the antecedents of senior citizens' acceptance or rejection towards the use of AI robots in the context of senior living facilities, this paper proposes a revisited Technology Acceptance Model. The model is analyzed using SEM to test the hypotheses and to check the loading of each factor. The paper shows important theoretical implications as well as for the decision makers of elderly care and for the whole society.</t>
  </si>
  <si>
    <t>[Della Corte, Valentina; Del Gaudio, Giovanna; Sepe, Fabiana; Luongo, Simone; Crisci, Anna] Univ Naples Federico II, Dept Econ, Management, Naples, Italy</t>
  </si>
  <si>
    <t>University of Naples Federico II</t>
  </si>
  <si>
    <t>Della Corte, V (corresponding author), Univ Naples Federico II, Dept Econ, Management, Naples, Italy.</t>
  </si>
  <si>
    <t>valentina.dellacorte@unina.it; giovanna.delgaudio@unina.it; fabiana.sepe@unina.it; simone.luongo@unina.it; anna.crisci@unina.it</t>
  </si>
  <si>
    <t>Sepe, Fabiana/ABD-5248-2020; Luongo, Simone/HTQ-9493-2023</t>
  </si>
  <si>
    <t>978-1-6654-8574-6</t>
  </si>
  <si>
    <t>10.1109/MetroXRAINE54828.2022.9967579</t>
  </si>
  <si>
    <t>Computer Science, Artificial Intelligence; Engineering, Electrical &amp; Electronic; Instruments &amp; Instrumentation</t>
  </si>
  <si>
    <t>Computer Science; Engineering; Instruments &amp; Instrumentation</t>
  </si>
  <si>
    <t>BU8HU</t>
  </si>
  <si>
    <t>WOS:000947347200090</t>
  </si>
  <si>
    <t>Wang, CZ; Zheng, M; Bai, XM; Li, YW; Shen, W</t>
  </si>
  <si>
    <t>Wang, Chengzhang; Zheng, Min; Bai, Xiaoming; Li, Youwei; Shen, Wei</t>
  </si>
  <si>
    <t>Future of jobs in China under the impact of artificial intelligence</t>
  </si>
  <si>
    <t>Artificial intelligence; Labor markets; Task-based quantification; Substitution probability; LightGBM</t>
  </si>
  <si>
    <t>This study presents a new task-based quantification method for constructing Chinese occupa-tional dataset based on the features of US jobs. Furthermore, we estimate the impact of artificial intelligence (AI) on jobs in China by determining substitution probability using a LightGBM-based prediction model. The results show that 54% of jobs in China would be substituted by AI in the following decades. Relatively speaking, unit heads are the safest jobs in China, whereas jobs intensive in perceptive and manipulative tasks are highly susceptible to substitution.</t>
  </si>
  <si>
    <t>[Wang, Chengzhang; Shen, Wei] Cent Univ Finance &amp; Econ, Sch Stat &amp; Math, Beijing 100081, Peoples R China; [Zheng, Min] Cent Univ Finance &amp; Econ, China Inst Actuarial Sci, Beijing 100081, Peoples R China; [Bai, Xiaoming] Capital Univ Econ &amp; Business, Sch Management &amp; Engn, Beijing 100070, Peoples R China; [Li, Youwei] Univ Hull, Business Sch, Kingston Upon Hull, England</t>
  </si>
  <si>
    <t>Central University of Finance &amp; Economics; Central University of Finance &amp; Economics; Capital University of Economics &amp; Business; University of Hull</t>
  </si>
  <si>
    <t>Zheng, M (corresponding author), Cent Univ Finance &amp; Econ, China Inst Actuarial Sci, Beijing 100081, Peoples R China.</t>
  </si>
  <si>
    <t>mzheng@cufe.edu.cn</t>
  </si>
  <si>
    <t>Z, Min/JZD-5679-2024; Bai, Xiaoming/K-6338-2012; Shen, Wei/AAJ-2989-2020; Li, Youwei/K-1898-2014</t>
  </si>
  <si>
    <t>Li, Youwei/0000-0002-2142-7607</t>
  </si>
  <si>
    <t>Beijing Municipal Social Science Foundation, China [21JJB018]; 2022 Project of the Central University of Finance and Economics Education Reform Fund, China [011450722001/036]</t>
  </si>
  <si>
    <t>Beijing Municipal Social Science Foundation, China; 2022 Project of the Central University of Finance and Economics Education Reform Fund, China</t>
  </si>
  <si>
    <t>This work is supported by Beijing Municipal Social Science Foundation, China (No. 21JJB018) and 2022 Project of the Central University of Finance and Economics Education Reform Fund, China (No. 011450722001/036).</t>
  </si>
  <si>
    <t>10.1016/j.frl.2023.103798</t>
  </si>
  <si>
    <t>JUN 2023</t>
  </si>
  <si>
    <t>Q9VW0</t>
  </si>
  <si>
    <t>Green Accepted</t>
  </si>
  <si>
    <t>WOS:001060931100001</t>
  </si>
  <si>
    <t>Starr, B; Dickman, E; Watson, JL</t>
  </si>
  <si>
    <t>Starr, Britney; Dickman, Erin; Watson, Joni L.</t>
  </si>
  <si>
    <t>Artificial Intelligence: Basics, Impact, and How Nurses Can Contribute</t>
  </si>
  <si>
    <t>CLINICAL JOURNAL OF ONCOLOGY NURSING</t>
  </si>
  <si>
    <t>artificial intelligence; machine learning; deep learning; technology</t>
  </si>
  <si>
    <t>Applying artificial intelligence (AI) to cancer care has the potential to transform and enhance nursing practice and patient outcomes, from cancer prevention and screening through treatment, survivorship, and end -of -life care. As the largest healthcare workforce, nurses record a significant amount of patient data used to train healthcare AI tools and are a large percentage of AI end users. Educational opportunities are available to assist nurses in understanding the benefits, limitations, and ethical considerations of this technology and how AI results are directly affected by the quality of nursing documentation. Applying nursing clinical knowledge and critical thinking skills throughout the AI life cycle will enhance nursing workflows and increase positive patient outcomes.</t>
  </si>
  <si>
    <t>[Starr, Britney; Dickman, Erin] Oncol Nursing Soc, Pittsburgh, PA 15275 USA; [Watson, Joni L.] Creating Collect, Dallas, TX USA; [Watson, Joni L.] Duke Univ, Sch Nursing, Durham, NC USA</t>
  </si>
  <si>
    <t>Duke University</t>
  </si>
  <si>
    <t>Starr, B (corresponding author), Oncol Nursing Soc, Pittsburgh, PA 15275 USA.</t>
  </si>
  <si>
    <t>bstarr@ons.org</t>
  </si>
  <si>
    <t>ONCOLOGY NURSING SOC</t>
  </si>
  <si>
    <t>PITTSBURGH</t>
  </si>
  <si>
    <t>125 ENTERPRISE DR, PITTSBURGH, PA 15275 USA</t>
  </si>
  <si>
    <t>1092-1095</t>
  </si>
  <si>
    <t>1538-067X</t>
  </si>
  <si>
    <t>CLIN J ONCOL NURS</t>
  </si>
  <si>
    <t>Clin. J. Oncol. Nurs.</t>
  </si>
  <si>
    <t>10.1188/23.CJON.595-601</t>
  </si>
  <si>
    <t>Oncology; Nursing</t>
  </si>
  <si>
    <t>RM7K0</t>
  </si>
  <si>
    <t>WOS:001228142900001</t>
  </si>
  <si>
    <t>Rosales, MA; Magsumbol, JAV; Palconit, MGB; Culaba, AB; Dadios, EP</t>
  </si>
  <si>
    <t>Rosales, Marife A.; Magsumbol, Jo-ann, V; Palconit, Maria Gemel B.; Culaba, Alvin B.; Dadios, Elmer P.</t>
  </si>
  <si>
    <t>Artificial Intelligence: The Technology Adoption and Impact in the Philippines</t>
  </si>
  <si>
    <t>2020 IEEE 12TH INTERNATIONAL CONFERENCE ON HUMANOID, NANOTECHNOLOGY, INFORMATION TECHNOLOGY, COMMUNICATION AND CONTROL, ENVIRONMENT, AND MANAGEMENT (HNICEM)</t>
  </si>
  <si>
    <t>IEEE International Conference on Humanoid Nanotechnology Information Technology Communication and Control Environment and Management</t>
  </si>
  <si>
    <t>IEEE 12th International Conference on Humanoid, Nanotechnology, Information Technology, Communication and Control, Environment, and Management (HNICEM)</t>
  </si>
  <si>
    <t>DEC 03-07, 2020</t>
  </si>
  <si>
    <t>Manila, PHILIPPINES</t>
  </si>
  <si>
    <t>artificial intelligence; technology adoption; disruptive technology</t>
  </si>
  <si>
    <t>Artificial intelligence (AI) technology adoption in the Philippines can be seen widely in many sectors such as industry, agriculture, and services. AI may have a negative effect, but AI can generate more employment in all economic sectors through proper talent training. To compensate for the detrimental effects of the implementation of AI, everyone must have enough understanding of the technology's positive benefits. In order to respond to the demands of the industries, the public and private sectors must cooperate with government and academe to develop the correct skill sets of graduates and workers.</t>
  </si>
  <si>
    <t>[Rosales, Marife A.; Magsumbol, Jo-ann, V; Palconit, Maria Gemel B.] De La Salle Univ, Elect &amp; Commun Engn Dept, Manila, Philippines; [Culaba, Alvin B.] De La Salle Univ, Mech Engn Dept, Manila, Philippines; [Dadios, Elmer P.] De La Salle Univ, Mfg Engn &amp; Management Dept, Manila, Philippines</t>
  </si>
  <si>
    <t>De La Salle University; De La Salle University; De La Salle University</t>
  </si>
  <si>
    <t>Rosales, MA (corresponding author), De La Salle Univ, Elect &amp; Commun Engn Dept, Manila, Philippines.</t>
  </si>
  <si>
    <t>marife_rosales@dlsu.edu.ph</t>
  </si>
  <si>
    <t>Palconit, Maria/P-1804-2018; ROSALES, MARIFE/ITW-2260-2023</t>
  </si>
  <si>
    <t>ROSALES, MARIFE/0000-0002-0457-9246; Palconit, Maria Gemel/0000-0002-8531-0408</t>
  </si>
  <si>
    <t>Department of Science and Technology-Engineering Research and Development for Technology</t>
  </si>
  <si>
    <t>The authors would like to thank the Department of Science and Technology-Engineering Research and Development for Technology for funding this study.</t>
  </si>
  <si>
    <t>2475-7152</t>
  </si>
  <si>
    <t>978-1-6654-1971-0</t>
  </si>
  <si>
    <t>I C HUMANOID NANOTEC</t>
  </si>
  <si>
    <t>10.1109/HNICEM51456.2020.9400025</t>
  </si>
  <si>
    <t>Engineering, Multidisciplinary</t>
  </si>
  <si>
    <t>BR8DG</t>
  </si>
  <si>
    <t>WOS:000670913200037</t>
  </si>
  <si>
    <t>Itchhaporia, D</t>
  </si>
  <si>
    <t>Itchhaporia, Dipti</t>
  </si>
  <si>
    <t>Artificial intelligence in cardiology</t>
  </si>
  <si>
    <t>TRENDS IN CARDIOVASCULAR MEDICINE</t>
  </si>
  <si>
    <t>Artificial intelligence; Machine learning; Cardiovascular medicine; Cardiology; Clinical decision making</t>
  </si>
  <si>
    <t>HEART-FAILURE; CLASSIFICATION; DIAGNOSIS; TIME</t>
  </si>
  <si>
    <t>A B S T R A C T This review examines the current state and application of artificial intelligence (AI) and machine learning (ML) in cardiovascular medicine. AI is changing the clinical practice of medicine in other specialties. With progress continuing in this emerging technology, the impact for cardiovascular medicine is highlighted to provide insight for the practicing clinician and to identify potential patient benefits. (c) 2020 Published by Elsevier Inc.</t>
  </si>
  <si>
    <t>[Itchhaporia, Dipti] Hoag Hosp Newport Beach, 520 Super Ave,Suite 325, Newport Beach, CA 92663 USA; [Itchhaporia, Dipti] Univ Calif Irvine, 520 Super Ave,Suite 325, Irvine, CA 92663 USA</t>
  </si>
  <si>
    <t>University of California System; University of California Irvine</t>
  </si>
  <si>
    <t>Itchhaporia, D (corresponding author), Hoag Hosp Newport Beach, 520 Super Ave,Suite 325, Newport Beach, CA 92663 USA.;Itchhaporia, D (corresponding author), Univ Calif Irvine, 520 Super Ave,Suite 325, Irvine, CA 92663 USA.</t>
  </si>
  <si>
    <t>drdipti@yahoo.com</t>
  </si>
  <si>
    <t>ELSEVIER SCIENCE LONDON</t>
  </si>
  <si>
    <t>84 THEOBALDS RD, LONDON WC1X 8RR, ENGLAND</t>
  </si>
  <si>
    <t>1050-1738</t>
  </si>
  <si>
    <t>1873-2615</t>
  </si>
  <si>
    <t>TRENDS CARDIOVAS MED</t>
  </si>
  <si>
    <t>Trends Cardiovasc. Med.</t>
  </si>
  <si>
    <t>10.1016/j.tcm.2020.11.007</t>
  </si>
  <si>
    <t>DEC 2021</t>
  </si>
  <si>
    <t>YD5ZA</t>
  </si>
  <si>
    <t>WOS:000740519000007</t>
  </si>
  <si>
    <t>Geist, EM</t>
  </si>
  <si>
    <t>Geist, Edward Moore</t>
  </si>
  <si>
    <t>(Automated) planning for tomorrow: Will artificial intelligence get smarter?</t>
  </si>
  <si>
    <t>BULLETIN OF THE ATOMIC SCIENTISTS</t>
  </si>
  <si>
    <t>Artificial intelligence; automated planning</t>
  </si>
  <si>
    <t>Artificial-intelligence (AI) researchers have made very considerable advances in their theoretical knowledge of planning over the past few decades. But the impact of AI on society in the coming years will depend on how much these discoveries improve the real-world performance of automated planning, or AP, an AI subfield that seeks to create computer programs that can generate plans to achieve a particular goal. If practical applications of automated planning continue to stagnate, it could hold back all of AI, even as its other subfields continue to mature. Modest progress, meanwhile, would facilitate modest economic and military uses of artificial intelligence. And should AP experience the same kind of spectacular breakout as reinforcement learning, which is being used practically in a wide variety of fields, from robotics to finance, the peril and promise of artificial intelligence might be fully realized.</t>
  </si>
  <si>
    <t>[Geist, Edward Moore] RAND Corp, Santa Monica, CA 90406 USA</t>
  </si>
  <si>
    <t>RAND Corporation</t>
  </si>
  <si>
    <t>Geist, EM (corresponding author), RAND Corp, Santa Monica, CA 90406 USA.</t>
  </si>
  <si>
    <t>egeist@rand.org</t>
  </si>
  <si>
    <t>0096-3402</t>
  </si>
  <si>
    <t>1938-3282</t>
  </si>
  <si>
    <t>B ATOM SCI</t>
  </si>
  <si>
    <t>Bull. Atom. Scient.</t>
  </si>
  <si>
    <t>10.1080/00963402.2017.1288435</t>
  </si>
  <si>
    <t>International Relations; Social Issues</t>
  </si>
  <si>
    <t>EQ2RS</t>
  </si>
  <si>
    <t>WOS:000397918700003</t>
  </si>
  <si>
    <t>Bhagat, R; Chauhan, V; Bhagat, P</t>
  </si>
  <si>
    <t>Bhagat, Rohit; Chauhan, Vinay; Bhagat, Pallavi</t>
  </si>
  <si>
    <t>Investigating the impact of artificial intelligence on consumer's purchase intention in e-retailing</t>
  </si>
  <si>
    <t>e-retailing; faith; subjective norms; consciousness; artificial intelligence; consumer's purchase intention</t>
  </si>
  <si>
    <t>DECISION-MAKING; TECHNOLOGY ACCEPTANCE; BEHAVIORAL INTENTION; BIG DATA; FUTURE; MODEL; AI; READINESS; SERVICES; COMMERCE</t>
  </si>
  <si>
    <t>Purpose Technology has been witnessing a rapid growth. The advent of artificial intelligence has further enhanced the satisfaction level of consumers, which makes it even more vital in the current scenario. This paper aims to explore the factors affecting practical implacability of artificial intelligence and its impact on consumers' online purchase intention. Design/methodology/approach This paper has used a technology-based model as the base to explore the different factors affecting consumers' purchase intention towards e-retailing. This study has formulated a model that demonstrates the integration of artificial intelligence in retailing by the business organizations so as to understand the needs of customers and help them accept technology. This study has further explored faith, subjective norms and consciousness as constructs which enhance the implacability of artificial intelligence. Findings This study shows that artificial intelligence positively influences consumers' buying behaviour. This study through a model also shows that integration of artificial intelligence enhances consumers' purchase intention. Research limitations/implications The study has been focusing on a portion of target population. So there is scope to include the whole set of the population to get closer-to-accurate results. Practical implications The study offers useful inputs for academicians as well as marketers for predicting buying behaviour of consumers. Marketing managers can use artificial intelligence-embedded technology to enhance online purchase intention. Social implications The study shows that an increase in consciousness towards e-retailing has made consumers keenly analyse and purchase products on the basis of merit and usefulness of the products. Originality/value The contribution has been made with the best of knowledge in formulating an integrated artificial intelligence model for consumers' purchase intention in e-retailing.</t>
  </si>
  <si>
    <t>[Bhagat, Rohit; Chauhan, Vinay] Univ Jammu, Business Sch, Bhaderwah Campus, Jammu, India; [Bhagat, Pallavi] GDC Boys, Jammu, India</t>
  </si>
  <si>
    <t>University of Jammu</t>
  </si>
  <si>
    <t>Bhagat, R (corresponding author), Univ Jammu, Business Sch, Bhaderwah Campus, Jammu, India.</t>
  </si>
  <si>
    <t>rohitbhagat.ju@gmail.com</t>
  </si>
  <si>
    <t>APR 4</t>
  </si>
  <si>
    <t>10.1108/FS-10-2021-0218</t>
  </si>
  <si>
    <t>C8EU3</t>
  </si>
  <si>
    <t>WOS:000852636600001</t>
  </si>
  <si>
    <t>Gachkar, D; Gachkar, S; Martínez, AG; Angulo, C; Aghlmand, S; Ahmadi, J</t>
  </si>
  <si>
    <t>Gachkar, Darya; Gachkar, Sadaf; Garcia Martinez, Antonio; Angulo, Cecilio; Aghlmand, Soheila; Ahmadi, Javad</t>
  </si>
  <si>
    <t>Artificial intelligence in building life cycle assessment</t>
  </si>
  <si>
    <t>ARCHITECTURAL SCIENCE REVIEW</t>
  </si>
  <si>
    <t>Life cycle assessment; artificial intelligence (AI); buildings; sustainability; environmental impact; renewable energy</t>
  </si>
  <si>
    <t>RESIDENTIAL BUILDINGS; MULTIOBJECTIVE OPTIMIZATION; ENVIRONMENTAL IMPACTS; ENERGY-CONSUMPTION; NEURAL-NETWORKS; ASSESSMENT LCA; DESIGN; IDENTIFICATION; REFURBISHMENT; PREDICTION</t>
  </si>
  <si>
    <t>As the world's population becomes increasingly urbanized, the building sector is expected to consume even more energy and resources, exacerbating environmental damage. Life cycle Inventory Assessment is one of the main stages of Life Cycle Assessment (LCA) and it is a methodology for quantifying the environmental impacts of buildings and other assets on the environment. We propose a literature review for examining the potential for Artificial Intelligence (AI) to improve the LCA of buildings. In particular, by incorporating AI into the process, it is checked that more accurate predictive modelling is enabled and the time needed for data gathering can be reduced. However, it is also noted that many challenges remain and must be still addressed, such as the need for standardized data and the risk of bias in AI algorithms. Despite these latter open challenges, it can be concluded that AI can significantly enhance sustainability in the building sector.Highlights Potential for AI to improve the life cycle assessment of buildings and reduce the time needed for data gathering.AI can significantly enhance sustainability in the building sector, but there are still open challenges that must be addressed.The use of AI techniques, such as machine learning and neural networks, for data collection can help gather more accurate and relevant data for LCI.</t>
  </si>
  <si>
    <t>[Gachkar, Darya; Gachkar, Sadaf] Univ Seville, Escuela Tecn Super Arquitectura, Seville 41012, Spain; [Garcia Martinez, Antonio] Univ Seville, Escuela Tecn Super Arquitectura, Inst Univ Arquitectura &amp; Ciencias Construcc IUACC, TEP 130 Res Grp, Seville, Spain; [Angulo, Cecilio] Univ Politecn Cataluna, Intelligent Data Sci &amp; Artificial Intelligence Res, Barcelona, Spain; [Aghlmand, Soheila] Islamic Azad Univ, Tabriz Branch, Dept Architecture &amp; Urbanism, Tabriz, Iran; [Ahmadi, Javad] Tarbiat Modares Univ, Dept Architecture, High Performance Architecture Lab HAL, Tehran, Iran</t>
  </si>
  <si>
    <t>University of Sevilla; University of Sevilla; Universitat Politecnica de Catalunya; Islamic Azad University; Tarbiat Modares University</t>
  </si>
  <si>
    <t>Gachkar, S (corresponding author), Univ Seville, Escuela Tecn Super Arquitectura, Seville 41012, Spain.</t>
  </si>
  <si>
    <t>sadgac@alum.us.es</t>
  </si>
  <si>
    <t>ahmadi, javad/IWU-7098-2023; Gachkar, Darya/HNJ-4192-2023; Garcia Martinez, Antonio/I-3578-2015</t>
  </si>
  <si>
    <t>Garcia Martinez, Antonio/0000-0003-4883-2386; Ahmadi, Javad/0000-0002-8802-7456</t>
  </si>
  <si>
    <t>0003-8628</t>
  </si>
  <si>
    <t>1758-9622</t>
  </si>
  <si>
    <t>ARCHIT SCI REV</t>
  </si>
  <si>
    <t>Archit. Sci. Rev.</t>
  </si>
  <si>
    <t>10.1080/00038628.2024.2350491</t>
  </si>
  <si>
    <t>Architecture</t>
  </si>
  <si>
    <t>P8Z2K</t>
  </si>
  <si>
    <t>WOS:001222450500001</t>
  </si>
  <si>
    <t>Dias, RD; Shah, JA; Zenati, MA</t>
  </si>
  <si>
    <t>Dias, Roger D.; Shah, Julie A.; Zenati, Marco A.</t>
  </si>
  <si>
    <t>Artificial intelligence in cardiothoracic surgery</t>
  </si>
  <si>
    <t>MINERVA CARDIOANGIOLOGICA</t>
  </si>
  <si>
    <t>Artificial intelligence; Machine learning; Cardiac surgical procedures</t>
  </si>
  <si>
    <t>SAFETY; ROOM</t>
  </si>
  <si>
    <t>The tremendous and rapid technological advances that humans have achieved in the last decade have definitely impacted how surgical tasks are performed in the operating room (OR). As a high-tech work environment, the contemporary OR has incorporated novel computational systems into the clinical workflow, aiming to optimize processes and support the surgical team. Artificial intelligence (AI) is increasingly important for surgical decision making to help address diverse sources of information, such as patient risk factors, anatomy, disease natural history, patient values and cost, and assist surgeons and patients to make better predictions regarding the consequences of surgical decisions. In this review, we discuss the current initiatives that are using AI in cardiothoracic surgery and surgical care in general. We also address the future of AI and how high-tech ORs will leverage human-machine teaming to optimize performance and enhance patient safety.</t>
  </si>
  <si>
    <t>[Dias, Roger D.] Brigham Hlth, STRATUS Ctr Med Simulat, Boston, MA USA; [Dias, Roger D.] Harvard Med Sch, Dept Emergency Med, 10 Vining St, Boston, MA 02115 USA; [Shah, Julie A.] MIT, Lab Comp Sci &amp; Artificial Intelligence, 77 Massachusetts Ave, Cambridge, MA 02139 USA; [Zenati, Marco A.] VA Boston Healthcare Syst, Lab Med Robot &amp; Comp Assisted Surg MRCAS, Div Cardiothorac Surg, Boston, MA USA; [Zenati, Marco A.] Harvard Med Sch, Dept Surg, Boston, MA 02115 USA</t>
  </si>
  <si>
    <t>Harvard University; Harvard Medical School; Massachusetts Institute of Technology (MIT); Harvard University; Harvard University Medical Affiliates; US Department of Veterans Affairs; Veterans Health Administration (VHA); VA Boston Healthcare System; Harvard University; Harvard Medical School</t>
  </si>
  <si>
    <t>Dias, RD (corresponding author), Harvard Med Sch, Dept Emergency Med, 10 Vining St, Boston, MA 02115 USA.</t>
  </si>
  <si>
    <t>rdias@bwh.harvard.edu</t>
  </si>
  <si>
    <t>Zenati, Marco/G-8776-2011; Dias, Roger Daglius/P-6874-2015</t>
  </si>
  <si>
    <t>Dias, Roger Daglius/0000-0003-4959-5052</t>
  </si>
  <si>
    <t>National Insitutes of Health (NIH) [R01HL126896-01A1]</t>
  </si>
  <si>
    <t>National Insitutes of Health (NIH)(United States Department of Health &amp; Human ServicesNational Institutes of Health (NIH) - USA)</t>
  </si>
  <si>
    <t>This study was funded by the National Insitutes of Health (NIH) (grant number R01HL126896-01A1). The NIH had no role in the design and conduct of the study; collection, management, analysis and interpretation of the data, or preparation, review or approval of the manuscript.</t>
  </si>
  <si>
    <t>EDIZIONI MINERVA MEDICA</t>
  </si>
  <si>
    <t>TURIN</t>
  </si>
  <si>
    <t>CORSO BRAMANTE 83-85 INT JOURNALS DEPT., 10126 TURIN, ITALY</t>
  </si>
  <si>
    <t>0026-4725</t>
  </si>
  <si>
    <t>1827-1618</t>
  </si>
  <si>
    <t>MINERVA CARDIOANGIOL</t>
  </si>
  <si>
    <t>Minerva Cardioangiol.</t>
  </si>
  <si>
    <t>10.23736/S0026-4725.20.05235-4</t>
  </si>
  <si>
    <t>OR4DC</t>
  </si>
  <si>
    <t>WOS:000589422000019</t>
  </si>
  <si>
    <t>Li, RT; Li, CX; Guo, SJ</t>
  </si>
  <si>
    <t>Li, Ruitao; Li, Chuanxian; Guo, Shijun</t>
  </si>
  <si>
    <t>The Impact of Artificial Intelligence on the Labour Market: Evidence from China</t>
  </si>
  <si>
    <t>Artificial intelligence; patents; labour market; employees</t>
  </si>
  <si>
    <t>TECHNOLOGY; EMPLOYMENT; FUTURE; GROWTH; WAGES; JOBS</t>
  </si>
  <si>
    <t>The rapid advancement of artificial intelligence (AI) technology has been the driving force behind the new wave of technological revolution. In this study, we examine the impact of AI technology on corporate employment decisions. Using a sample of Chinese listed firms from 2012 to 2021, we find that AI technology applications have a positive influence on the total number of corporate employees. In addition, we find that this positive relationship is more pronounced in non-state-owned enterprises and in asset-light companies. Furthermore, our mechanism analysis indicates that AI technology has positive effects on corporate employment by increasing sales revenue and attenuating financial constraints. In general, our findings highlight the importance of AI technology to the labour market and have several implications for corporate employment decisions.</t>
  </si>
  <si>
    <t>[Li, Ruitao; Li, Chuanxian] Southwest Univ Polit Sci &amp; Law, Chongqing, Peoples R China; [Guo, Shijun] Chongqing Univ, Chongqing, Peoples R China</t>
  </si>
  <si>
    <t>Southwest University of Political Science &amp; Law - China; Chongqing University</t>
  </si>
  <si>
    <t>Guo, SJ (corresponding author), Chongqing Univ, Chongqing, Peoples R China.</t>
  </si>
  <si>
    <t>guoshijun@cqu.edu.cn</t>
  </si>
  <si>
    <t>Guo, Shijun/KHU-6594-2024; Li, Ruitao/KQU-9665-2024</t>
  </si>
  <si>
    <t>National Natural Science Foundation of China [72302026, 71872022]; China Postdoctoral Science Foundation [2022M710511]; Chongqing Social Science Planning Project [2023NDYB88]; Chongqing Education Commission Humanities and Social Sciences Project [24SKGH032]</t>
  </si>
  <si>
    <t>National Natural Science Foundation of China(National Natural Science Foundation of China (NSFC)); China Postdoctoral Science Foundation(China Postdoctoral Science Foundation); Chongqing Social Science Planning Project; Chongqing Education Commission Humanities and Social Sciences Project</t>
  </si>
  <si>
    <t>This work was supported by the National Natural Science Foundation of China (Grant No. 72302026 and 71872022) , the China Postdoctoral Science Foundation (Grant No. 2022M710511) and Chongqing Social Science Planning Project (Grant No. 2023NDYB88) and Chongqing Education Commission Humanities and Social Sciences Project (Grant No. 24SKGH032) .</t>
  </si>
  <si>
    <t>10.24818/EA/2024/67/867</t>
  </si>
  <si>
    <t>C4O1M</t>
  </si>
  <si>
    <t>WOS:001289160200011</t>
  </si>
  <si>
    <t>Desai, SB; Pareek, A; Lungren, MP</t>
  </si>
  <si>
    <t>Desai, Sudhen B.; Pareek, Anuj; Lungren, Matthew P.</t>
  </si>
  <si>
    <t>Current and emerging artificial intelligence applications for pediatric interventional radiology</t>
  </si>
  <si>
    <t>PEDIATRIC RADIOLOGY</t>
  </si>
  <si>
    <t>Applications; Artificial intelligence; Children; Health care efficiencies; Interventional radiology; Pediatric</t>
  </si>
  <si>
    <t>RADIATION-EXPOSURE; FLUOROSCOPY</t>
  </si>
  <si>
    <t>Artificial intelligence in medicine can help improve the accuracy and efficiency of diagnostics, selection of therapies and prediction of outcomes. Machine learning describes a subset of artificial intelligence that utilizes algorithms that can learn modeling functions from datasets. More complex algorithms, or deep learning, can similarly learn modeling functions for a variety of tasks leveraging massive complex datasets. The aggregation of artificial intelligence tools has the potential to improve many facets of health care delivery, from mundane tasks such as scheduling appointments to more complex functions such as enterprise management modeling and in-suite procedural assistance. Within radiology, the roles and use cases for artificial intelligence (inclusive of machine learning and deep learning) continue to evolve. Significant resources have been devoted to diagnostic radiology tasks via national radiology societies, academic medical centers and hundreds of commercial entities. Despite the widespread interest in artificial intelligence radiology solutions, there remains a lack of applications and discussion for use cases in interventional radiology (IR). Even more relevant to this audience, specific technologies tailored to the pediatric IR space are lacking. In this review, we describe artificial intelligence technologies that have been developed within the IR suite, as well as some future work, with a focus on artificial intelligence's potential impact in pediatric interventional medicine.</t>
  </si>
  <si>
    <t>[Desai, Sudhen B.] Phoenix Childrens Hosp, Sect Intervent Radiol, Div Radiol, 1919 E Thomas Rd, Phoenix, AZ 85018 USA; [Pareek, Anuj; Lungren, Matthew P.] Stanford Univ, Ctr Artificial Intelligence Med &amp; Imaging, Stanford, CA 94305 USA</t>
  </si>
  <si>
    <t>Phoenix Children's Hospital; Stanford University</t>
  </si>
  <si>
    <t>Desai, SB (corresponding author), Phoenix Childrens Hosp, Sect Intervent Radiol, Div Radiol, 1919 E Thomas Rd, Phoenix, AZ 85018 USA.</t>
  </si>
  <si>
    <t>sdesai1@phoenixchildrens.com</t>
  </si>
  <si>
    <t>0301-0449</t>
  </si>
  <si>
    <t>1432-1998</t>
  </si>
  <si>
    <t>PEDIATR RADIOL</t>
  </si>
  <si>
    <t>Pediatr. Radiol.</t>
  </si>
  <si>
    <t>10.1007/s00247-021-05013-y</t>
  </si>
  <si>
    <t>MAY 2021</t>
  </si>
  <si>
    <t>Pediatrics; Radiology, Nuclear Medicine &amp; Medical Imaging</t>
  </si>
  <si>
    <t>5D0TF</t>
  </si>
  <si>
    <t>WOS:000650171000016</t>
  </si>
  <si>
    <t>Vasiliev, AA; Pechatnova, YV; Mamychev, AY</t>
  </si>
  <si>
    <t>Vasiliev, A. A.; Pechatnova, Y. V.; Mamychev, A. Yu.</t>
  </si>
  <si>
    <t>Digital ecology: Artificial intelligence impact on legal and environmental sphere</t>
  </si>
  <si>
    <t>UKRAINIAN JOURNAL OF ECOLOGY</t>
  </si>
  <si>
    <t>Digital ecology; Environmental; Digital law; Legal regulation; Artificial intelligence; Cyberspace; Robots; Cryptocurrency</t>
  </si>
  <si>
    <t>New century turns out the intensive scientific revolution, which leads to the extension the digital technologies. The research is devoted to the analysis the opportunities and prospects for the implementation of the artificial intelligence in the legal system. The urgency of the study predetermines by the large-scale digital revolution that affects all spheres of society, including the area of legal activity (for example, the initiative to use lawyers-robots in the legal corporations; the idea to automate legal activity; the appearance of smart contracts, blockchain technologies, cryptocurrency, which are not regulated by the Russian law yet; increase if the cybercrime and others). The purpose of the study is to analyze the advantages and disadvantages, opportunities and limits of introducing the digital technologies into the legal environment. Research methods are analysis, synthesis and comparative law. The study contains several positions. Firstly, the analysis the points of view about the theme of research among the national and foreign scientists are presented. Secondly, the comprehensive assessment of the artificial intelligence influence on the legal sphere is given. Thirdly, the opportunities for regulation changed relationships, connected with digital technologies, in the current Russian legislation, and the advantages and disadvantages of fixing new categories in the Civil Code of the Russian Federation are researched. Fourthly, examples of the negative impact of legal vacuum on the law enforcement practice and the ways for its overcoming are given. By the way, specific decisions of the courts given as the arguments. Fifthly, the analysis of current trends in the introduction of digital technologies in the legal sphere in the Russian Federation and in the over countries is carried out. There are some contradictory opinions of scientists and practitioners regarding the possibility of using robotic technologies in the legal system. Sixthly, it presents own conclusion based on the conducted research, which is to substantiate the positive trend towards digitalization in the legal system, but the negativity of the possible effects excessive interference of the artificial intelligence in the legal activity.</t>
  </si>
  <si>
    <t>[Vasiliev, A. A.; Pechatnova, Y. V.] Publ Univ, Altai State Univ, Barnaul, Russia; [Mamychev, A. Yu.] Vladivostok State Univ Econ &amp; Serv, Vladivostok, Russia</t>
  </si>
  <si>
    <t>Altai State University; Vladivostok State University of Economics &amp; Services</t>
  </si>
  <si>
    <t>Vasiliev, AA (corresponding author), Publ Univ, Altai State Univ, Barnaul, Russia.</t>
  </si>
  <si>
    <t>anton-vasiliev@mail.ru</t>
  </si>
  <si>
    <t>Vasilyev, Anton/N-8386-2016</t>
  </si>
  <si>
    <t>ALEX MATSYURA PRESS</t>
  </si>
  <si>
    <t>MELITOPOL</t>
  </si>
  <si>
    <t>ALTAI STATE UNIV, VUL LENINA, 20, MELITOPOL, 72312, UKRAINE</t>
  </si>
  <si>
    <t>2520-2138</t>
  </si>
  <si>
    <t>UKR J ECOL</t>
  </si>
  <si>
    <t>Ukr. J. Ecol.</t>
  </si>
  <si>
    <t>10.15421/2020_222</t>
  </si>
  <si>
    <t>Biology</t>
  </si>
  <si>
    <t>Life Sciences &amp; Biomedicine - Other Topics</t>
  </si>
  <si>
    <t>OZ0VB</t>
  </si>
  <si>
    <t>WOS:000594653300025</t>
  </si>
  <si>
    <t>Zhang, JN; Fan, JH; Ma, YF</t>
  </si>
  <si>
    <t>Zhang, Jianing; Fan, Jianhong; Ma, Yifan</t>
  </si>
  <si>
    <t>Does artificial intelligence promote provincial ecological resilience? Evidence from China</t>
  </si>
  <si>
    <t>APPLIED ECONOMICS LETTERS</t>
  </si>
  <si>
    <t>Artificial intelligence; provincial ecological resilience; government environmental attention; public environmental concern</t>
  </si>
  <si>
    <t>How does artificial intelligence affect provincial ecological resilience? This study incorporates artificial intelligence, provincial ecological resilience, government environmental attention and public environmental concern into a framework to construct a research model, and selects the panel data of 30 provinces in the Chinese mainland from 2012 to 2021. The multiple regression analysis method is used to empirically analyse the impact of artificial intelligence on provincial ecological resilience, and the moderating roles played by government environmental attention and public environmental concern. The study finds that there is a positive impact of artificial intelligence on provincial ecological resilience, which is confirmed by various robustness tests. Meanwhile, there is a significant promotion role of artificial intelligence for provincial ecological resilience in eastern region, while the promotion role for provincial ecological resilience in non-eastern region is not significant. Government environmental attention and public environmental concern play moderating roles in the impact of artificial intelligence on provincial ecological resilience. Recognizing these findings, policymakers can design targeted support plans to promote the development of artificial intelligence as well as facilitate the roles of government environmental attention and public environmental concern to achieve the enhancement of provincial ecological resilience.</t>
  </si>
  <si>
    <t>[Zhang, Jianing; Fan, Jianhong; Ma, Yifan] Taiyuan Univ Technol, Coll Econ &amp; Management, 209 Univ St, Jinzhong 030600, Shanxi, Peoples R China</t>
  </si>
  <si>
    <t>Taiyuan University of Technology</t>
  </si>
  <si>
    <t>Fan, JH (corresponding author), Taiyuan Univ Technol, Coll Econ &amp; Management, 209 Univ St, Jinzhong 030600, Shanxi, Peoples R China.</t>
  </si>
  <si>
    <t>jhfan_2008@163.com</t>
  </si>
  <si>
    <t>National Social Science Fund of China [20BGL049]</t>
  </si>
  <si>
    <t>National Social Science Fund of China</t>
  </si>
  <si>
    <t>This study is supported by the General Program of the National Social Science Fund of China A Study on the Impact of Reverse Internationalization on the Innovational Performance of Chinese Export-oriented Enterprise [Grant No. 20BGL049].</t>
  </si>
  <si>
    <t>1350-4851</t>
  </si>
  <si>
    <t>1466-4291</t>
  </si>
  <si>
    <t>APPL ECON LETT</t>
  </si>
  <si>
    <t>Appl. Econ. Lett.</t>
  </si>
  <si>
    <t>SEP 19</t>
  </si>
  <si>
    <t>10.1080/13504851.2024.2384532</t>
  </si>
  <si>
    <t>C0E7D</t>
  </si>
  <si>
    <t>WOS:001286183500016</t>
  </si>
  <si>
    <t>Jaltotage, B; Ihdayhid, AR; Lan, NSR; Pathan, F; Patel, S; Arnott, C; Figtree, G; Kritharides, L; Islam, SMS; Chow, CK; Rankin, JM; Nicholls, SJ; Dwivedi, G</t>
  </si>
  <si>
    <t>Jaltotage, Biyanka; Ihdayhid, Abdul Rahman; Lan, Nick S. R.; Pathan, Faraz; Patel, Sanjay; Arnott, Clare; Figtree, Gemma; Kritharides, Leonard; Islam, Syed Mohammed Shamsul; Chow, Clara K.; Rankin, James M.; Nicholls, Stephen J.; Dwivedi, Girish</t>
  </si>
  <si>
    <t>Artificial Intelligence in Cardiology : An Australian Perspective</t>
  </si>
  <si>
    <t>HEART LUNG AND CIRCULATION</t>
  </si>
  <si>
    <t>Artificial intelligence; Cardiology; Australia</t>
  </si>
  <si>
    <t>COLOR DOPPLER-ECHOCARDIOGRAPHY; ISOVELOCITY SURFACE-AREA; HEALTH-CARE; MITRAL REGURGITATION; ANGIOGRAPHY; QUANTIFICATION; IMPACT; PRIME</t>
  </si>
  <si>
    <t>Significant advances have been made in artificial intelligence technology in recent years. Many health care applications have been investigated to assist clinicians and the technology is close to being integrated into routine clinical practice. The high prevalence of cardiac disease in Australia places overwhelming demands on the existing health care system, challenging its capacity to provide quality patient care. Artificial in-telligence has emerged as a promising solution. This discussion paper provides an Australian perspective on the current state of artificial intelligence in cardiology, including the benefits and challenges of imple-mentation. This paper highlights some current artificial intelligence applications in cardiology, while also detailing challenges such as data privacy, ethical considerations, and integration within existing health infrastructures. Overall, this paper aims to provide insights into the potential benefits of artificial intelli-gence in cardiology, while also acknowledging the barriers that need to be addressed to ensure safe and effective implementation into an Australian health system.</t>
  </si>
  <si>
    <t>[Jaltotage, Biyanka; Ihdayhid, Abdul Rahman; Lan, Nick S. R.; Rankin, James M.; Dwivedi, Girish] Fiona Stanley Hosp, Dept Cardiol, Perth, Australia; [Ihdayhid, Abdul Rahman] Curtin Univ, Sch Med, Perth, Australia; [Ihdayhid, Abdul Rahman; Lan, Nick S. R.; Dwivedi, Girish] Univ Western Australia, Sch Med, Harry Perkins Inst Med Res, Perth, Australia; [Pathan, Faraz] Univ Sydney, Nepean Hosp, Dept Cardiol, Sydney, NSW, Australia; [Pathan, Faraz] Univ Sydney, Nepean Clin Sch, Charles Perkins Ctr, Fac Med &amp; Hlth, Sydney, NSW, Australia; [Patel, Sanjay; Arnott, Clare] Royal Prince Alfred Hosp, Dept Cardiol, Sydney, NSW, Australia; [Patel, Sanjay; Arnott, Clare] Univ New South Wales, George Inst Global Hlth, Sydney, NSW, Australia; [Figtree, Gemma] Univ Sydney, Royal North Shore Hosp, Kolling Inst, Sydney, NSW, Australia; [Figtree, Gemma] Univ Sydney, Fac Med &amp; Hlth, Sydney, NSW, Australia; [Kritharides, Leonard] Univ Sydney, Concord Repatriat Gen Hosp, Dept Cardiol, Sydney, NSW, Australia; [Islam, Syed Mohammed Shamsul] Edith Cowan Univ, Sch Sci, Perth, WA, Australia; [Chow, Clara K.] Univ Sydney, Fac Med &amp; Hlth, Westmead Appl Res Ctr, Sydney, NSW, Australia; [Nicholls, Stephen J.] Monash Univ, Victorian Heart Inst, Melbourne, Vic, Australia; [Dwivedi, Girish] Harry Perkins Inst Med Res South, 5 Robin Warren Dr, Murdoch, WA 6150, Australia</t>
  </si>
  <si>
    <t>South Metropolitan Health Service; Fiona Stanley Fremantle Hospitals Group; Fiona Stanley Hospital; Curtin University; Harry Perkins Institute of Medical Research; University of Western Australia; University of Sydney; Nepean Hospital; University of Sydney; University of Sydney; NSW Health; Royal Prince Alfred Hospital; George Institute for Global Health; University of New South Wales Sydney; University of Sydney; University of Sydney; Kolling Institute of Medical Research; Royal North Shore Hospital; University of Sydney; Concord Repatriation General Hospital; University of Sydney; Edith Cowan University; University of Sydney; Monash University</t>
  </si>
  <si>
    <t>Dwivedi, G (corresponding author), Harry Perkins Inst Med Res South, 5 Robin Warren Dr, Murdoch, WA 6150, Australia.</t>
  </si>
  <si>
    <t>girish.dwivedi@perkins.uwa.edu.au</t>
  </si>
  <si>
    <t>Figtree, Gemma/AGS-7561-2022; Patel, Sanjay/IUN-3550-2023; Chow, Clara/GLT-5718-2022; Lan, Nick S R/IUN-1015-2023; Kritharides, Leonard/AAQ-2720-2020</t>
  </si>
  <si>
    <t>Ihdayhid, Abdul Rahman/0000-0003-0501-0980; Lan, Nick S. R./0000-0002-7222-7314; Chow, Clara/0000-0003-4693-0038; Kritharides, Leonard/0000-0001-5818-8024</t>
  </si>
  <si>
    <t>AstraZeneca, New Amsterdam Pharma; Anthera; Eli Lilly; Esperion; InfraReDx; Roche; Sanofi-Regeneron; Amarin, Akcea; Omthera; Pfizer; Johnson and Johnson; Amgen; Bayer</t>
  </si>
  <si>
    <t>AstraZeneca, New Amsterdam Pharma(AstraZeneca); Anthera; Eli Lilly(Eli Lilly); Esperion; InfraReDx; Roche(Roche Holding); Sanofi-Regeneron(Regeneron); Amarin, Akcea; Omthera; Pfizer(Pfizer); Johnson and Johnson(Johnson &amp; JohnsonJohnson &amp; Johnson USA); Amgen(Amgen); Bayer(Bayer AG)</t>
  </si>
  <si>
    <t>AstraZeneca, New Amsterdam Pharma, Amgen, Anthera, Eli Lilly, Esperion, Novartis, Cerenis, The Medicines Company, Resverlogix, InfraReDx, Roche, Sanofi-Regeneron and Lip-oScience and consulting and honoraria: AstraZeneca, Amarin, Akcea, Eli Lilly, Anthera, Omthera, Merck, Takeda, Resverlogix, Sanofi-Regeneron, CSL Behring, Esperion, Boehringer Ingelheim, Vaxxinity and Sequiris. G.D. receives speaker bureau fees from Pfizer, Johnson and Johnson, Amgen, conference sponsorship from Bayer, and consults for and has equity interest in Artrya Ltd.</t>
  </si>
  <si>
    <t>1443-9506</t>
  </si>
  <si>
    <t>1444-2892</t>
  </si>
  <si>
    <t>HEART LUNG CIRC</t>
  </si>
  <si>
    <t>Heart Lung Circ.</t>
  </si>
  <si>
    <t>10.1016/j.hlc.2023.06.703</t>
  </si>
  <si>
    <t>S7PC6</t>
  </si>
  <si>
    <t>WOS:001073043300001</t>
  </si>
  <si>
    <t>Zaoui, A; Tchuente, D; Wamba, SF; Kamsu-Foguem, B</t>
  </si>
  <si>
    <t>Zaoui, Amina; Tchuente, Dieudonne; Wamba, Samuel Fosso; Kamsu-Foguem, Bernard</t>
  </si>
  <si>
    <t>Impact of artificial intelligence on aeronautics: An industry-wide review</t>
  </si>
  <si>
    <t>JOURNAL OF ENGINEERING AND TECHNOLOGY MANAGEMENT</t>
  </si>
  <si>
    <t>Artificial Intelligence; Use cases; Aeronautics; Performance; Benefits</t>
  </si>
  <si>
    <t>MACHINE; TECHNOLOGY; KNOWLEDGE; SYSTEMS; MAINTENANCE; CONTEXT</t>
  </si>
  <si>
    <t>Curiously, there are few contributions in the scientific literature on the subject of artificial intelligence (AI) and its impact on aeronautics. However, many communications and reports have been published by aeronautic companies about their applications of AI technologies. This article makes an industry-wide review of AI in aeronautics using a three-step sequential approach: (i) a review of AI and its concepts to define and develop a conceptual map; (ii) a selection of 100 use cases from aeronautics companies that use AI technologies (e.g., Airbus, Boeing, Air France, Safran, EasyJet, Dassault Aviation, Altair); and (iii) an analysis of the use cases using the topics defined in the conceptual map. The main results describe a rising interest in the integration of AI technologies by entities in the aeronautic sector. Moreover, the results from the use cases show that the most recurrent technologies are big data analytics, autonomous intelligent systems, predictive analytics, machine learning, and robotics. Another finding is related to the several benefits that motivate companies to integrate AI technologies into their industrial and operational processes. The most frequent benefits include customer satisfaction, saving time, safety and security, cost reduction, better decision making, solving complex problems, and ensuring optimisation and efficiency. It also appears that the performance of companies is positively impacted by using these AI technologies. Such impacts span all operational departments including marketing, where these technologies help satisfy customer needs; the industrial and operational area, which is provided with quality products; and where productivity and economic performance are optimised for more efficiency.</t>
  </si>
  <si>
    <t>[Zaoui, Amina; Kamsu-Foguem, Bernard] Univ Toulouse, LGP ENIT INPT, 47 Ave Azereix,BP 1629, F-65016 Tarbes, France; [Tchuente, Dieudonne; Wamba, Samuel Fosso] TBS Business Sch, 1 Pl Alphonse Jourdain, F-31068 Toulouse, France</t>
  </si>
  <si>
    <t>Universite Federale Toulouse Midi-Pyrenees (ComUE); Universite de Toulouse; Institut National Polytechnique de Toulouse</t>
  </si>
  <si>
    <t>Zaoui, A (corresponding author), Univ Toulouse, LGP ENIT INPT, 47 Ave Azereix,BP 1629, F-65016 Tarbes, France.</t>
  </si>
  <si>
    <t>amina.zaoui@enit.fr</t>
  </si>
  <si>
    <t>Fosso Wamba, Samuel/AAB-4953-2019</t>
  </si>
  <si>
    <t>0923-4748</t>
  </si>
  <si>
    <t>1879-1719</t>
  </si>
  <si>
    <t>J ENG TECHNOL MANAGE</t>
  </si>
  <si>
    <t>J. Eng. Technol. Manage.</t>
  </si>
  <si>
    <t>JAN-MAR</t>
  </si>
  <si>
    <t>10.1016/j.jengtecman.2024.101800</t>
  </si>
  <si>
    <t>LR3K2</t>
  </si>
  <si>
    <t>WOS:001188487700001</t>
  </si>
  <si>
    <t>Ruiz-Talavera, D; De la Cruz-Aguero, JE; Garcia-Palomino, N; Calderón-Espinoza, R; Marín-Rodriguez, WJ</t>
  </si>
  <si>
    <t>Ruiz-Talavera, Doris; Enrique De la Cruz-Aguero, Jaime; Garcia-Palomino, Nereo; Calderon-Espinoza, Renzo; Joel Marin-Rodriguez, William</t>
  </si>
  <si>
    <t>Artificial intelligence and its impact on job opportunities among university students in North Lima, 2023</t>
  </si>
  <si>
    <t>EAI ENDORSED TRANSACTIONS ON SCALABLE INFORMATION SYSTEMS</t>
  </si>
  <si>
    <t>Artificial intelligence; business intelligence; job opportunities</t>
  </si>
  <si>
    <t>KNOWLEDGE</t>
  </si>
  <si>
    <t>Introduction: Artificial intelligence is a technology that replaces human activities, favors business productivity and raises concerns about job losses and economic and social challenges. Method: The research uses a quantitative approach and a non-experimental study design with correlational scope. It identifies two variables: artificial intelligence (AI) and job opportunity. It evaluates students of the Adult Education Program (PFA) of the Universidad Cesar Vallejo. Data collection was done through a virtual survey with Likert scale questions. Results: The study conducted a descriptive analysis of two variables: artificial intelligence and job opportunities. A moderate and positive correlation was observed between both variables, suggesting a significant relationship between the level of artificial intelligence and job opportunities of the respondents. Discussion: The study reveals a positive and moderate correlation between the knowledge of artificial intelligence and the perception of job opportunities. It is important to adapt to this global technology to improve employability. Conclusion: The findings support that artificial intelligence transforms society and the labor market. Although 86% of students know AI, most need more training in this field, even in areas with projected growth in AIrelated employment.</t>
  </si>
  <si>
    <t>[Ruiz-Talavera, Doris; Enrique De la Cruz-Aguero, Jaime; Garcia-Palomino, Nereo; Calderon-Espinoza, Renzo; Joel Marin-Rodriguez, William] Univ Cesar Vallejo, Lima, Peru</t>
  </si>
  <si>
    <t>Universidad Cesar Vallejo</t>
  </si>
  <si>
    <t>Marín-Rodriguez, WJ (corresponding author), Univ Cesar Vallejo, Lima, Peru.</t>
  </si>
  <si>
    <t>MARIN RODRIGUEZ, WILLIAM JOEL/AAY-5625-2021</t>
  </si>
  <si>
    <t>MARIN RODRIGUEZ, WILLIAM JOEL/0000-0002-0861-9663</t>
  </si>
  <si>
    <t>INST COMPUTER SCIENCES, SOCIAL INFORMATICS &amp; TELECOMMUNICATIONS ENG-ICST</t>
  </si>
  <si>
    <t>GHENT</t>
  </si>
  <si>
    <t>BEGIJNHOFLAAN 93, GHENT, 90000, BELGIUM</t>
  </si>
  <si>
    <t>2032-9407</t>
  </si>
  <si>
    <t>EAI ENDORSED TRANS S</t>
  </si>
  <si>
    <t>EAI Endorsed Trans. Scalable Inform. Syst.</t>
  </si>
  <si>
    <t>10.4108/eetsis.3841</t>
  </si>
  <si>
    <t>GA5J4</t>
  </si>
  <si>
    <t>WOS:001149947600002</t>
  </si>
  <si>
    <t>Dong, MF; Wang, G; Han, XF</t>
  </si>
  <si>
    <t>Dong, Mingfang; Wang, Guo; Han, Xianfeng</t>
  </si>
  <si>
    <t>Impacts of artificial intelligence on carbon emissions in China: in terms of artificial intelligence type and regional differences</t>
  </si>
  <si>
    <t>SUSTAINABLE CITIES AND SOCIETY</t>
  </si>
  <si>
    <t>Urban smartification; Urban sustainable development; Carbon emissions; Heterogeneity of artificial intelligence types; Regional heterogeneity</t>
  </si>
  <si>
    <t>The influence of artificial intelligence (AI) on carbon emissions has long been contentious, and accurately clarifying this impact is crucial for the realization of sustainable smart cities. This article investigates the impact of AI on carbon emissions, distinguishing between applied and innovative AI types. Analyzing data from 267 Chinese cities between 2008 and 2019, the study reveals that applied AI reduces carbon dioxide emissions by an average of 40,100 tons per unit increase. In contrast, innovative AI initially leads to emissions increases before ultimately decreasing, illustrating an inverted U-shaped relationship. Regional variations in AI's impact on emissions are influenced by each region's developmental focus and stage of AI deployment. Specifically, differences arise due to the continuous carbon reduction (-0.024) associated with applied AI and the initial emission increase (0.129) attributed to innovative AI. The study underscores the significance of tailored regional strategies in AI development for fostering sustainable smart cities. These findings contribute to the ongoing discourse on AI's environmental impact, offering insights to inform targeted approaches in green, sustainable urban planning.</t>
  </si>
  <si>
    <t>[Dong, Mingfang; Wang, Guo] Xian Univ Architecture &amp; Technol, Sch Management, Xian 710055, Peoples R China; [Han, Xianfeng] Kunming Univ Sci &amp; Technol, Sch Management &amp; Econ, Kunming 650093, Yunnan, Peoples R China</t>
  </si>
  <si>
    <t>Xi'an University of Architecture &amp; Technology; Kunming University of Science &amp; Technology</t>
  </si>
  <si>
    <t>Dong, MF (corresponding author), Xian Univ Architecture &amp; Technol, Sch Management, Xian 710055, Peoples R China.</t>
  </si>
  <si>
    <t>dongmingfang@xauat.edu.cn</t>
  </si>
  <si>
    <t>Dong, Mingfang/0000-0003-1169-0134</t>
  </si>
  <si>
    <t>National Social Science Found of China [20BGL010]; Natural Science Basic Research Foundation of Shaanxi Province, China [2020JQ-689]; National Social Science Foundation of Shaanxi Province, China [2019S002]; National Science Foundation for Postdoctoral Scientists of China [2020M673350]; Scientific Research Fund of Shaanxi Provincial Education Department [19JK0448]</t>
  </si>
  <si>
    <t>National Social Science Found of China; Natural Science Basic Research Foundation of Shaanxi Province, China; National Social Science Foundation of Shaanxi Province, China; National Science Foundation for Postdoctoral Scientists of China(China Postdoctoral Science FoundationNational Natural Science Foundation of China (NSFC)); Scientific Research Fund of Shaanxi Provincial Education Department</t>
  </si>
  <si>
    <t>The article is funded by National Social Science Found of China (Grant No.20BGL010) , Natural Science Basic Research Foundation of Shaanxi Province, China (Grant No.2020JQ-689) , National Social Science Foundation of Shaanxi Province, China (Grant No.2019S002) , National Science Foundation for Postdoctoral Scientists of China (Grant No.2020M673350) and Scientific Research Fund of Shaanxi Provincial Education Department (19JK0448) .</t>
  </si>
  <si>
    <t>2210-6707</t>
  </si>
  <si>
    <t>2210-6715</t>
  </si>
  <si>
    <t>SUSTAIN CITIES SOC</t>
  </si>
  <si>
    <t>Sust. Cities Soc.</t>
  </si>
  <si>
    <t>OCT 15</t>
  </si>
  <si>
    <t>10.1016/j.scs.2024.105682</t>
  </si>
  <si>
    <t>Construction &amp; Building Technology; Green &amp; Sustainable Science &amp; Technology; Energy &amp; Fuels</t>
  </si>
  <si>
    <t>Construction &amp; Building Technology; Science &amp; Technology - Other Topics; Energy &amp; Fuels</t>
  </si>
  <si>
    <t>A9P7A</t>
  </si>
  <si>
    <t>WOS:001285790800001</t>
  </si>
  <si>
    <t>Capinding, AT; Dumayas, FT</t>
  </si>
  <si>
    <t>Capinding, Andie Tangonan; Dumayas, Franklin Tubeje</t>
  </si>
  <si>
    <t>TRANSFORMATIVE PEDAGOGY IN THE DIGITAL AGE: UNRAVELING THE IMPACT OF ARTIFICIAL INTELLIGENCE ON HIGHER EDUCATION STUDENTS</t>
  </si>
  <si>
    <t>PROBLEMS OF EDUCATION IN THE 21ST CENTURY</t>
  </si>
  <si>
    <t>Artificial Intelligence; descriptive-comparative; impact on learning; higher education</t>
  </si>
  <si>
    <t>LAPTOPS</t>
  </si>
  <si>
    <t>Artificial Intelligence (AI) has become a transformative force in education, significantly influencing students. This research explores AI's impact on learning experiences, academic performance, career guidance, motivation, self-reliance, social interaction, and AI dependency. Utilizing a descriptivecomparative design, 194 student respondents were chosen through stratified sampling. The results show that students generally perceive AI positively. Students agree that AI enhances personalized learning, engagement, and critical thinking, although practical hands-on learning experiences received less favorable feedback. Academically, students concur that AI helps them identify weaknesses, improve assignments, and track progress, despite some reservations about its efficacy in exam preparation. For career guidance, students agree that AI effectively matches skills with career options, recommends internships, and provides resources, though it is less effective for long-term planning. Students also believe AI boosts motivation through gamified learning and progress tracking and fosters self-reliance via selfdirected learning and critical thinking support. Socially, students agree that AI facilitates collaboration, peer learning, and networking. Additionally, students demonstrate a reliance on AI for their learning processes. Notably, female students report a more significant impact on social interactions than male students. The type of device used (laptop vs. cellphone) significantly affects the learning experience, with laptop users reporting a more substantial impact. Differences in AI's impact are noted among various courses, particularly benefiting education students more than those in hospitality management and agriculture. However, age and family income do not significantly influence AI's overall impact.</t>
  </si>
  <si>
    <t>[Capinding, Andie Tangonan; Dumayas, Franklin Tubeje] Nueva Ecija Univ Sci &amp; Technol, Gabaldon Campus, Cabanatuan, Philippines</t>
  </si>
  <si>
    <t>Nueva Ecija University of Science &amp; Techology</t>
  </si>
  <si>
    <t>Capinding, AT (corresponding author), Nueva Ecija Univ Sci &amp; Technol, Gabaldon Campus, Cabanatuan, Philippines.</t>
  </si>
  <si>
    <t>andiecapinding103087@gmail.com; dumayas_franklin10@yahoo.com</t>
  </si>
  <si>
    <t>Capinding, Andie/ADQ-1459-2022</t>
  </si>
  <si>
    <t>Capinding, Andie/0000-0003-3809-819X; Dumayas, Franklin/0000-0002-9761-0686</t>
  </si>
  <si>
    <t>The researchers would like to thank the students of Nueva Ecija University of Science and Technology - Gabaldon Campus for serving as respondents in this study.</t>
  </si>
  <si>
    <t>SCIENTIA SOCIALIS</t>
  </si>
  <si>
    <t>SIAULIAI</t>
  </si>
  <si>
    <t>29 K DONELAICIO ST, SIAULIAI, 78115, LITHUANIA</t>
  </si>
  <si>
    <t>1822-7864</t>
  </si>
  <si>
    <t>2538-7111</t>
  </si>
  <si>
    <t>PROBL EDUC 21ST CENT</t>
  </si>
  <si>
    <t>Probl. Educ. 21st Cent.</t>
  </si>
  <si>
    <t>10.33225/pec/24.82.630</t>
  </si>
  <si>
    <t>J1M3C</t>
  </si>
  <si>
    <t>WOS:001334776400005</t>
  </si>
  <si>
    <t>Luo, CS; Zhou, LY; Wei, QF</t>
  </si>
  <si>
    <t>Luo, Changshou; Zhou, Liying; Wei, Qingfeng</t>
  </si>
  <si>
    <t>Identification of Research Fronts in Artificial Intelligence</t>
  </si>
  <si>
    <t>2017 2ND ASIA-PACIFIC CONFERENCE ON INTELLIGENT ROBOT SYSTEMS (ACIRS)</t>
  </si>
  <si>
    <t>2nd Asia-Pacific Conference on Intelligent Robot Systems (ACIRS)</t>
  </si>
  <si>
    <t>JUN 16-18, 2017</t>
  </si>
  <si>
    <t>Wuhan, PEOPLES R CHINA</t>
  </si>
  <si>
    <t>artificial intelligence; research profiling; research fronts</t>
  </si>
  <si>
    <t>Based on the data of artificial intelligence papers in web of science, the subject research trend and front recognition is analyzed. Firstly, using the total papers and aggregate impact factor, the development trend is analyzed. Through the comparison of subject scale and academic influence of 7 computer discipline, the subject status of the field is assessed. Based on the comparison of top 10 agencies, the excellent institutions are found. Secondly, using co-word analysis with citation coupling enhancement, the 11 research fronts in the field is identified. Using the strategy coordinates, the development potential of the research trend is assessed. The results can provide reference for the relevant institutions and personnel to layout and study in artificial intelligence.</t>
  </si>
  <si>
    <t>[Luo, Changshou; Wei, Qingfeng] Beijing Acad Agr &amp; Forestry Sci, Inst Agr Informat &amp; Econ, Beijing, Peoples R China; [Zhou, Liying] China Agr Univ Lib, Beijing, Peoples R China</t>
  </si>
  <si>
    <t>Beijing Academy of Agriculture &amp; Forestry Sciences (BAAFS); China Agricultural University</t>
  </si>
  <si>
    <t>Luo, CS (corresponding author), Beijing Acad Agr &amp; Forestry Sci, Inst Agr Informat &amp; Econ, Beijing, Peoples R China.</t>
  </si>
  <si>
    <t>luochangshou@163.com; zhouliying@163.com; Weiqingfeng201@163.com</t>
  </si>
  <si>
    <t>Beijing science and technology plan project: Beijing science and technology correspondent resources service platform construction and demonstration; fund for agriculture of Beijing municipal commission of rural affair: The application of APP and zixuntong products in the management and service of general agricultural technicians; young scientist fund of BAAFS: Research on agricultural scientific technical online counseling system based on the knowledge map [QNJJ201534]; innovation fund of BAAFS: Agricultural water-saving technology training and counseling service demonstration project [KJCX20151409]</t>
  </si>
  <si>
    <t>Beijing science and technology plan project: Beijing science and technology correspondent resources service platform construction and demonstration; fund for agriculture of Beijing municipal commission of rural affair: The application of APP and zixuntong products in the management and service of general agricultural technicians; young scientist fund of BAAFS: Research on agricultural scientific technical online counseling system based on the knowledge map; innovation fund of BAAFS: Agricultural water-saving technology training and counseling service demonstration project</t>
  </si>
  <si>
    <t>The research work was supported by Beijing science and technology plan project: Beijing science and technology correspondent resources service platform construction and demonstration, the fund for agriculture of Beijing municipal commission of rural affair: The application of APP and zixuntong products in the management and service of general agricultural technicians, the young scientist fund of BAAFS: Research on agricultural scientific technical online counseling system based on the knowledge map (NO. QNJJ201534), the innovation fund of BAAFS: Agricultural water-saving technology training and counseling service demonstration project (NO. KJCX20151409). The correspondence author: Qingfeng Wei (Weiqingfeng201@163.com).</t>
  </si>
  <si>
    <t>978-1-5090-6793-0</t>
  </si>
  <si>
    <t>Automation &amp; Control Systems; Engineering, Electrical &amp; Electronic; Robotics</t>
  </si>
  <si>
    <t>Automation &amp; Control Systems; Engineering; Robotics</t>
  </si>
  <si>
    <t>BJ7BE</t>
  </si>
  <si>
    <t>WOS:000426992200021</t>
  </si>
  <si>
    <t>Benabou, A; Touhami, F</t>
  </si>
  <si>
    <t>Benabou, Adil; Touhami, Fatima</t>
  </si>
  <si>
    <t>Exploring the Impact of Artificial Intelligence on Human Resource Management</t>
  </si>
  <si>
    <t>DIGITAL TECHNOLOGIES AND APPLICATIONS, ICDTA 2024, VOL 4</t>
  </si>
  <si>
    <t>Human Resource Management; Artificial Intelligence; Systematic Literature Review; Technological Transformation; HR practises</t>
  </si>
  <si>
    <t>FUTURE; AL</t>
  </si>
  <si>
    <t>The purpose of this study is to explore the contributions of artificial intelligence (AI) to Human Resource Management (HRM) through a systematic review of the existing literature. To address the impact of AI in HRM integration, this study aimed to determine the current and potential AI implications at organizational and individual levels. It analyses the essence of the HRM practices transformation, such as planning, talent acquisition, performance evaluation, training, employee motivation, recruitment, and human-AI collaboration. This study ultimately examines and cross-relate 66 papers, published in journals indexed by Scopus and Web of Science databases over a period of 6 years (2018-2023). It is emphasized that although AI brings benefits forHRMsuch as data-driven decision-making and automatization, its potential impacts cannot be ignored, including job displacement, ethical, and legal challenges.</t>
  </si>
  <si>
    <t>[Benabou, Adil; Touhami, Fatima] Sultan Moulay Slimane Univ, Fac Econ &amp; Management, Multidisciplinary Res Lab Econ &amp; Management, Beni Mellal, Morocco</t>
  </si>
  <si>
    <t>Sultan Moulay Slimane University of Beni Mellal</t>
  </si>
  <si>
    <t>Benabou, A (corresponding author), Sultan Moulay Slimane Univ, Fac Econ &amp; Management, Multidisciplinary Res Lab Econ &amp; Management, Beni Mellal, Morocco.</t>
  </si>
  <si>
    <t>adil.benabou@usms.ma</t>
  </si>
  <si>
    <t>978-3-031-68674-0; 978-3-031-68675-7</t>
  </si>
  <si>
    <t>10.1007/978-3-031-68675-7_1</t>
  </si>
  <si>
    <t>BX8AY</t>
  </si>
  <si>
    <t>WOS:001329106700001</t>
  </si>
  <si>
    <t>Shu, Y; Zhang, J; Yu, H</t>
  </si>
  <si>
    <t>Meiselwitz, G</t>
  </si>
  <si>
    <t>Shu, Ying; Zhang, Jiehuang; Yu, Han</t>
  </si>
  <si>
    <t>Fairness in Design: A Tool for Guidance in Ethical Artificial Intelligence Design</t>
  </si>
  <si>
    <t>SOCIAL COMPUTING AND SOCIAL MEDIA: EXPERIENCE DESIGN AND SOCIAL NETWORK ANALYSIS, SCSM 2021, PT I</t>
  </si>
  <si>
    <t>Information Systems and Applications, incl. Internet/Web, and HCI</t>
  </si>
  <si>
    <t>13th International Conference on Social Computing and Social Media (SCSM) part of the 23rd International Conference on Human-Computer Interaction (HCI)</t>
  </si>
  <si>
    <t>JUL 24-29, 2021</t>
  </si>
  <si>
    <t>Design method; Design tool; Value sensitive design; Fairness in Artificial Intelligence; Ethical Artificial Intelligence; Responsible Artificial Intelligence</t>
  </si>
  <si>
    <t>IMPACT; BIAS</t>
  </si>
  <si>
    <t>As the artificial intelligence (AI) industry booms and the systems they created are impacting our lives immensely, we begin to realize that these systems are not as impartial as we thought them to be. Even though they are machines that make logical decisions, biases and discrimination are able to creep into the data and model to affect outcomes causing harm. This pushes us to re-evaluate the design metrics for creating such systems and put more focus on integrating human values in the system. However, even when the awareness of the need for ethical AI systems is high, there are currently limited methodologies available for designers and engineers to incorporate human values into their designs. Our methodology tool aims to address this gap by assisting product teams to surface fairness concerns, navigate complex ethical choices around fairness, and overcome blind spots and team biases. It can also help them to stimulate perspective thinking from multiple parties and stakeholders. With our tool, we aim to lower the bar to add fairness into the design discussion so that more design teams can make better and more informed decisions for fairness in their application scenarios.</t>
  </si>
  <si>
    <t>[Shu, Ying; Zhang, Jiehuang; Yu, Han] Nanyang Technol Univ, Sch Comp Sci &amp; Engn, Singapore, Singapore; [Zhang, Jiehuang] Alibaba NTU Singapore Joint Res Inst, Singapore, Singapore</t>
  </si>
  <si>
    <t>Nanyang Technological University</t>
  </si>
  <si>
    <t>Shu, Y (corresponding author), Nanyang Technol Univ, Sch Comp Sci &amp; Engn, Singapore, Singapore.</t>
  </si>
  <si>
    <t>ying005@ntu.edu.sg; jiehuang001@ntu.edu.sg; han.yu@ntu.edu.sg</t>
  </si>
  <si>
    <t>Yu, Han/AAS-5873-2021; Yu, Han/R-3297-2017</t>
  </si>
  <si>
    <t>Yu, Han/0000-0001-6893-8650</t>
  </si>
  <si>
    <t>Nanyang Technological University; Nanyang Assistant Professorship; Alibaba Group through Alibaba Innovative Research; Program and Alibaba-NTU Singapore Joint Research Institute [Alibaba-NTU-AIR2019B1]; Nanyang Technological University, Singapore; RIE 2020 Advanced Manufacturing and Engineering (AME) Programmatic Fund, Singapore [A20G8b0102]; Joint SDU-NTU Centre for Artificial Intelligence Research (C-FAIR)</t>
  </si>
  <si>
    <t>Nanyang Technological University(Nanyang Technological University); Nanyang Assistant Professorship; Alibaba Group through Alibaba Innovative Research; Program and Alibaba-NTU Singapore Joint Research Institute; Nanyang Technological University, Singapore(Nanyang Technological University); RIE 2020 Advanced Manufacturing and Engineering (AME) Programmatic Fund, Singapore; Joint SDU-NTU Centre for Artificial Intelligence Research (C-FAIR)</t>
  </si>
  <si>
    <t>This research is supported, in part, by Nanyang Technological University, Nanyang Assistant Professorship (NAP); Alibaba Group through Alibaba Innovative Research (AIR) Program and Alibaba-NTU Singapore Joint Research Institute (JRI) (Alibaba-NTU-AIR2019B1), Nanyang Technological University, Singapore; the RIE 2020 Advanced Manufacturing and Engineering (AME) Programmatic Fund (No. A20G8b0102), Singapore; and the Joint SDU-NTU Centre for Artificial Intelligence Research (C-FAIR).</t>
  </si>
  <si>
    <t>978-3-030-77625-1; 978-3-030-77626-8</t>
  </si>
  <si>
    <t>IN SY AP IN WE HC</t>
  </si>
  <si>
    <t>10.1007/978-3-030-77626-8_34</t>
  </si>
  <si>
    <t>Computer Science, Cybernetics; Computer Science, Information Systems; Social Sciences, Interdisciplinary</t>
  </si>
  <si>
    <t>Computer Science; Social Sciences - Other Topics</t>
  </si>
  <si>
    <t>BX5EK</t>
  </si>
  <si>
    <t>WOS:001297915300034</t>
  </si>
  <si>
    <t>Seo, K; Tang, J; Roll, I; Fels, S; Yoon, D</t>
  </si>
  <si>
    <t>Seo, Kyoungwon; Tang, Joice; Roll, Ido; Fels, Sidney; Yoon, Dongwook</t>
  </si>
  <si>
    <t>The impact of artificial intelligence on learner-instructor interaction in online learning</t>
  </si>
  <si>
    <t>INTERNATIONAL JOURNAL OF EDUCATIONAL TECHNOLOGY IN HIGHER EDUCATION</t>
  </si>
  <si>
    <t>Artificial intelligence; Boundary; Learner-instructor interaction; Online learning; Speed dating</t>
  </si>
  <si>
    <t>TUTORING SYSTEMS; STUDENTS; ENGAGEMENT</t>
  </si>
  <si>
    <t>Artificial intelligence (AI) systems offer effective support for online learning and teaching, including personalizing learning for students, automating instructors' routine tasks, and powering adaptive assessments. However, while the opportunities for AI are promising, the impact of AI systems on the culture of, norms in, and expectations about interactions between students and instructors are still elusive. In online learning, learner-instructor interaction (inter alia, communication, support, and presence) has a profound impact on students' satisfaction and learning outcomes. Thus, identifying how students and instructors perceive the impact of AI systems on their interaction is important to identify any gaps, challenges, or barriers preventing AI systems from achieving their intended potential and risking the safety of these interactions. To address this need for forward-looking decisions, we used Speed Dating with storyboards to analyze the authentic voices of 12 students and 11 instructors on diverse use cases of possible AI systems in online learning. Findings show that participants envision adopting AI systems in online learning can enable personalized learner-instructor interaction at scale but at the risk of violating social boundaries. Although AI systems have been positively recognized for improving the quantity and quality of communication, for providing just-in-time, personalized support for large-scale settings, and for improving the feeling of connection, there were concerns about responsibility, agency, and surveillance issues. These findings have implications for the design of AI systems to ensure explainability, human-in-the-loop, and careful data collection and presentation. Overall, contributions of this study include the design of AI system storyboards which are technically feasible and positively support learner-instructor interaction, capturing students' and instructors' concerns of AI systems through Speed Dating, and suggesting practical implications for maximizing the positive impact of AI systems while minimizing the negative ones.</t>
  </si>
  <si>
    <t>[Seo, Kyoungwon] Seoul Natl Univ Sci &amp; Technol, Dept Appl Artificial Intelligence, 232 Gongneung Ro, Seoul 01811, South Korea; [Tang, Joice; Yoon, Dongwook] Univ British Columbia, Dept Comp Sci, Vancouver, BC, Canada; [Roll, Ido] Technion Israel Inst Technol, Fac Educ Sci &amp; Technol, Haifa, Israel; [Fels, Sidney] Univ British Columbia, Dept Elect &amp; Comp Engn, Vancouver, BC, Canada</t>
  </si>
  <si>
    <t>Seoul National University of Science &amp; Technology; University of British Columbia; Technion Israel Institute of Technology; University of British Columbia</t>
  </si>
  <si>
    <t>Seo, K (corresponding author), Seoul Natl Univ Sci &amp; Technol, Dept Appl Artificial Intelligence, 232 Gongneung Ro, Seoul 01811, South Korea.</t>
  </si>
  <si>
    <t>kwseo@seoultech.ac.kr</t>
  </si>
  <si>
    <t>Roll, Ido/A-1873-2014; Seo, Kyoungwon/GLN-5886-2022</t>
  </si>
  <si>
    <t>Seo, Kyoungwon/0000-0003-3435-0685; Fels, Sidney/0000-0001-9279-9021</t>
  </si>
  <si>
    <t>Seoul National University of Science Technology</t>
  </si>
  <si>
    <t>This study was financially supported by Seoul National University of Science &amp; Technology.</t>
  </si>
  <si>
    <t>2365-9440</t>
  </si>
  <si>
    <t>INT J EDUC TECHNOL H</t>
  </si>
  <si>
    <t>Int. J. Educ. Technol. High. Educ.</t>
  </si>
  <si>
    <t>OCT 26</t>
  </si>
  <si>
    <t>10.1186/s41239-021-00292-9</t>
  </si>
  <si>
    <t>WM2VB</t>
  </si>
  <si>
    <t>WOS:000710947200001</t>
  </si>
  <si>
    <t>Safdar, NM; Banja, JD; Meltzer, CC</t>
  </si>
  <si>
    <t>Safdar, Nabile M.; Banja, John D.; Meltzer, Carolyn C.</t>
  </si>
  <si>
    <t>Ethical considerations in artificial intelligence</t>
  </si>
  <si>
    <t>EUROPEAN JOURNAL OF RADIOLOGY</t>
  </si>
  <si>
    <t>Artificial intelligence; Machine learning; Ethics; Radiology</t>
  </si>
  <si>
    <t>With artificial intelligence (AI) precipitously perched at the apex of the hype curve, the promise of transforming the disparate fields of healthcare, finance, journalism, and security and law enforcement, among others, is enormous. For healthcare - particularly radiology - AI is anticipated to facilitate improved diagnostics, workflow, and therapeutic planning and monitoring. And, while it is also causing some trepidation among radiologists regarding its uncertain impact on the demand and training of our current and future workforce, most of us welcome the potential to harness AI for transformative improvements in our ability to diagnose disease more accurately and earlier in the populations we serve.</t>
  </si>
  <si>
    <t>[Safdar, Nabile M.; Meltzer, Carolyn C.] Emory Univ, Dept Radiol &amp; Imaging Sci, Atlanta, GA 30322 USA; [Banja, John D.] Emory Univ, Dept Rehabil Med, Atlanta, GA 30322 USA; [Safdar, Nabile M.] Emory Univ, Dept Biomed Informat, Atlanta, GA 30322 USA; [Meltzer, Carolyn C.] Emory Univ, Dept Psychiat &amp; Behav Sci, Atlanta, GA 30322 USA; [Meltzer, Carolyn C.] Emory Univ, Dept Neurol, Atlanta, GA 30322 USA; [Banja, John D.] Emory Univ, Ctr Eth, Atlanta, GA 30322 USA</t>
  </si>
  <si>
    <t>Emory University; Emory University; Emory University; Emory University; Emory University; Emory University</t>
  </si>
  <si>
    <t>Meltzer, CC (corresponding author), Emory Univ Hosp, 1364 Clifton Rd,Suite D-112, Atlanta, GA 30322 USA.</t>
  </si>
  <si>
    <t>cmeltze@emory.edu</t>
  </si>
  <si>
    <t>ELSEVIER IRELAND LTD</t>
  </si>
  <si>
    <t>CLARE</t>
  </si>
  <si>
    <t>ELSEVIER HOUSE, BROOKVALE PLAZA, EAST PARK SHANNON, CO, CLARE, 00000, IRELAND</t>
  </si>
  <si>
    <t>0720-048X</t>
  </si>
  <si>
    <t>1872-7727</t>
  </si>
  <si>
    <t>EUR J RADIOL</t>
  </si>
  <si>
    <t>Eur. J. Radiol.</t>
  </si>
  <si>
    <t>10.1016/j.ejrad.2019.108768</t>
  </si>
  <si>
    <t>JZ5OL</t>
  </si>
  <si>
    <t>WOS:000505150900005</t>
  </si>
  <si>
    <t>Plantinga, P; Shilongo, K; Mudongo, O; Umubyeyi, A; Gastrow, M; Razzano, G</t>
  </si>
  <si>
    <t>Plantinga, Paul; Shilongo, Kristophina; Mudongo, Oarabile; Umubyeyi, Angelique; Gastrow, Michael; Razzano, Gabriella</t>
  </si>
  <si>
    <t>Responsible artificial intelligence in Africa: towards policy learning</t>
  </si>
  <si>
    <t>DATA &amp; POLICY</t>
  </si>
  <si>
    <t>Africa; artificial intelligence; digital governance; legislation; policy</t>
  </si>
  <si>
    <t>Several African countries are developing artificial intelligence (AI) strategies and ethics frameworks with the goal of accelerating responsible AI development and adoption. However, many of these governance actions are emerging without consideration for their suitability to local contexts, including whether the proposed policies are feasible to implement and what their impact may be on regulatory outcomes. In response, we suggest that there is a need for more explicit policy learning, by looking at existing governance capabilities and experiences related to algorithms, automation, data, and digital technology in other countries and in adjacent sectors. From such learning, it will be possible to identify where existing capabilities may be adapted or strengthened to address current AI-related opportunities and risks. This paper explores the potential for learning by analysing existing policy and legislation in twelve African countries across three main areas: strategy and multi-stakeholder engagement, human dignity and autonomy, and sector-specific governance. The findings point to a variety of existing capabilities that could be relevant to responsible AI; from existing model management procedures used in banking and air quality assessment to efforts aimed at enhancing public sector skills and transparency around public-private partnerships, and the way in which existing electronic transactions legislation addresses accountability and human oversight. All of these point to the benefit of wider engagement on how existing governance mechanisms are working, and on where AI-specific adjustments or new instruments may be needed.</t>
  </si>
  <si>
    <t>[Plantinga, Paul; Gastrow, Michael] Human Sci Res Council, Overport, South Africa; [Shilongo, Kristophina] Mozilla Fdn, Dublin, Ireland; [Mudongo, Oarabile] CONSUMERS INT, Gaborone, Botswana; [Razzano, Gabriella] OpenUp, Cape Town, South Africa</t>
  </si>
  <si>
    <t>Plantinga, P (corresponding author), Human Sci Res Council, Overport, South Africa.</t>
  </si>
  <si>
    <t>pplantinga@hsrc.ac.za</t>
  </si>
  <si>
    <t>Plantinga, Paul/0000-0003-0151-3601</t>
  </si>
  <si>
    <t>Research ICT Africa from the International Development Research Centre (IDRC) for the African Observatory on Responsible Artificial Intelligence</t>
  </si>
  <si>
    <t>This research was supported by a grant to Research ICT Africa from the International Development Research Centre (IDRC) for the African Observatory on Responsible Artificial Intelligence. The funder had no role in study design, data collection and analysis, decision to publish, or preparation of the manuscript.</t>
  </si>
  <si>
    <t>CAMBRIDGE UNIV PRESS</t>
  </si>
  <si>
    <t>CAMBRIDGE</t>
  </si>
  <si>
    <t>EDINBURGH BLDG, SHAFTESBURY RD, CB2 8RU CAMBRIDGE, ENGLAND</t>
  </si>
  <si>
    <t>2632-3249</t>
  </si>
  <si>
    <t>DATA POLICY</t>
  </si>
  <si>
    <t>Data Policy</t>
  </si>
  <si>
    <t>e72</t>
  </si>
  <si>
    <t>10.1017/dap.2024.60</t>
  </si>
  <si>
    <t>P8S1V</t>
  </si>
  <si>
    <t>WOS:001380529700008</t>
  </si>
  <si>
    <t>Zhu, J; Zhang, JT; Feng, YQ</t>
  </si>
  <si>
    <t>Zhu, Jun; Zhang, Jingting; Feng, Yiqing</t>
  </si>
  <si>
    <t>Hard budget constraints and artificial intelligence technology</t>
  </si>
  <si>
    <t>TECHNOLOGICAL FORECASTING AND SOCIAL CHANGE</t>
  </si>
  <si>
    <t>Artificial intelligence; Budget constraint; Common prosperity; General equilibrium model</t>
  </si>
  <si>
    <t>GROWTH; ROBOTS</t>
  </si>
  <si>
    <t>Motivated by the contradiction between a government's hard budget constraints and artificial intelligence, this study constructs a computable general equilibrium model embedded with various fiscal and tax policies to study the impact of artificial intelligence development on the Chinese economy under government budget constraints with different intensities. This paper seeks to find a reasonable policy that takes into account China's employ-ment, income distribution, and budget constraints to achieve common prosperity. It finds that the softer the government's budget constraints, the smaller the negative impact of artificial intelligence on the economy. More specifically, allowing the government to increase its debts and spending is more effective than tax cuts. It is suggested that if the goal is to reconcile the contradiction between hard budget constraints and artificial intel-ligence, fiscal and tax policy combinations, together with an improvised soft budget constraint, are required to increase the taxation of capital to an appropriate degree. In order to resolve the contradiction between the government's hard budget constraints and the development of artificial intelligence in pursuit of common prosperity, a robot tax should be levied and automation capital taxed.</t>
  </si>
  <si>
    <t>[Zhu, Jun; Zhang, Jingting] Nanjing Univ Finance &amp; Econ, Sch Publ Finance &amp; Taxat, Nanjing, Peoples R China; [Feng, Yiqing] Univ Calif Santa Cruz, Econ Dept, Santa Cruz, CA USA; [Zhu, Jun] Nanjing Univ Finance &amp; Econ, Sch Publ Finance &amp; Taxat, Nanjing 210023, Peoples R China</t>
  </si>
  <si>
    <t>Nanjing University of Finance &amp; Economics; University of California System; University of California Santa Cruz; Nanjing University of Finance &amp; Economics</t>
  </si>
  <si>
    <t>Zhu, J (corresponding author), Nanjing Univ Finance &amp; Econ, Sch Publ Finance &amp; Taxat, Nanjing 210023, Peoples R China.</t>
  </si>
  <si>
    <t>9120091023@nufe.edu.cn</t>
  </si>
  <si>
    <t>Zhu, Jun/0000-0002-6627-1888; Zhang, Jingting/0000-0001-7658-6835</t>
  </si>
  <si>
    <t>National Social Science Fund [21ZD094]</t>
  </si>
  <si>
    <t>National Social Science Fund</t>
  </si>
  <si>
    <t>Important project supported by National Social Science Fund (21&amp;ZD094) .</t>
  </si>
  <si>
    <t>0040-1625</t>
  </si>
  <si>
    <t>1873-5509</t>
  </si>
  <si>
    <t>TECHNOL FORECAST SOC</t>
  </si>
  <si>
    <t>Technol. Forecast. Soc. Chang.</t>
  </si>
  <si>
    <t>10.1016/j.techfore.2022.121889</t>
  </si>
  <si>
    <t>JUL 2022</t>
  </si>
  <si>
    <t>Business; Regional &amp; Urban Planning</t>
  </si>
  <si>
    <t>Business &amp; Economics; Public Administration</t>
  </si>
  <si>
    <t>3Q3PX</t>
  </si>
  <si>
    <t>WOS:000838147600002</t>
  </si>
  <si>
    <t>Lui, Arid K. H.; Lee, Maggie C. M.; Ngai, Eric W. T.</t>
  </si>
  <si>
    <t>The Impact of Artificial Intelligence Investment on Market Value: An Event Study</t>
  </si>
  <si>
    <t>Artificial intelligence (AI); event study; market value; contextual factors</t>
  </si>
  <si>
    <t>In recent decades, many firms have invested in artificial intelligence (AI) and used them in business applications across industries. However, understanding of the impact of AI on firm value is limited. In this study, 67 AI investment announcements of 42 listed firms were analyzed by adopting the event study methodology. Results reveal that AI investment has a negative impact on a firm's market value, as the stock price of the firms decreased by 1.77% on the day of the announcement. The result also shows that comparing with stable market environment, investors response more negatively to AI investment announcements under unstable market environment.</t>
  </si>
  <si>
    <t>[Lui, Arid K. H.] Swinburne Univ Technol, Melbourne, Vic, Australia; [Lee, Maggie C. M.; Ngai, Eric W. T.] Hong Kong Polytech Univ, Hong Kong, Peoples R China</t>
  </si>
  <si>
    <t>Lui, AKH (corresponding author), Swinburne Univ Technol, Melbourne, Vic, Australia.</t>
  </si>
  <si>
    <t>ariellui@swin.edu.au; mscmlee8@polyu.edu.hk; mswtngai@polyu.edu.hk</t>
  </si>
  <si>
    <t>Lui, Ariel Kam Ha/0000-0002-4353-6302</t>
  </si>
  <si>
    <t>WOS:000559924503046</t>
  </si>
  <si>
    <t>Petrov, E; Mustafina, J; Slavina, L; Al-Jumeily, D; Alloghani, M; Aljaaf, AJ</t>
  </si>
  <si>
    <t>Petrov, E.; Mustafina, J.; Slavina, L.; Al-Jumeily, D.; Alloghani, M.; Aljaaf, A. J.</t>
  </si>
  <si>
    <t>ARTIFICIAL INTELLIGENCE AND TEACHING LANGUAGES</t>
  </si>
  <si>
    <t>13TH INTERNATIONAL TECHNOLOGY, EDUCATION AND DEVELOPMENT CONFERENCE (INTED2019)</t>
  </si>
  <si>
    <t>INTED Proceedings</t>
  </si>
  <si>
    <t>13th International Technology, Education and Development Conference (INTED)</t>
  </si>
  <si>
    <t>MAR 11-13, 2019</t>
  </si>
  <si>
    <t>Valencia, SPAIN</t>
  </si>
  <si>
    <t>Artificial Intelligence; Languages; Education; Analysis</t>
  </si>
  <si>
    <t>Artificial Intelligence (AI), although being opposed to the natural intelligence, has become a vital and, sometimes, an integral part of modern society. Nowadays we see that AI and its distinct features are being applied in the growing number of areas, both in industry and services, public healthcare and education. In this article we provide an analysis of the current state of AI technologies applied in the area of language teaching. The language teaching process requires an individual approach to every participant of the language class - at the current state of educational system, it is sometimes hard or even impossible for a teacher to provide a sufficient attention and support to every member of the class. It may result in negative quality of language teaching process. We believe that a broader use of modern technologies such as AI might help improve this situation. In this article we focus our attention on investigation of Natural Language Processing (NLP), Machine Learning (ML), and Learning Analytics (LA) in education, how it is being implemented in language teaching and what possible ways for improvement exist. We observe the current problems of NLP, ML, LA and artificial intelligence in general, from the perspective of natural languages. Based on that observation, we suggest how AI can improve the quality of language teaching process and what problems the current society needs to solve in order for AI to have fruitful impact on education.</t>
  </si>
  <si>
    <t>[Petrov, E.; Mustafina, J.; Slavina, L.] Kazan Fed Univ, Kazan, Russia; [Al-Jumeily, D.; Alloghani, M.; Aljaaf, A. J.] Liverpool John Moores Univ, Liverpool, Merseyside, England</t>
  </si>
  <si>
    <t>Kazan Federal University; Liverpool John Moores University</t>
  </si>
  <si>
    <t>Petrov, E (corresponding author), Kazan Fed Univ, Kazan, Russia.</t>
  </si>
  <si>
    <t>Mustafina, Jamila/HTP-0852-2023; Aljaaf, Ahmed/G-9047-2019; Alloghani, Mohamed/AAJ-7651-2020</t>
  </si>
  <si>
    <t>Alloghani, Mohamed/0000-0003-3617-0987</t>
  </si>
  <si>
    <t>2340-1079</t>
  </si>
  <si>
    <t>978-84-09-08619-1</t>
  </si>
  <si>
    <t>INTED PROC</t>
  </si>
  <si>
    <t>Education &amp; Educational Research; Psychology, Educational</t>
  </si>
  <si>
    <t>Education &amp; Educational Research; Psychology</t>
  </si>
  <si>
    <t>BP0RK</t>
  </si>
  <si>
    <t>WOS:000536018104058</t>
  </si>
  <si>
    <t>Marcial, VF; Gomes, LIE</t>
  </si>
  <si>
    <t>Marcial, Viviana Fernandez; Gomes, Liliana Isabel Esteves</t>
  </si>
  <si>
    <t>THE IMPACT OF ARTIFICIAL INTELLIGENCE ON INFORMATION BEHAVIOR: TOPICS FOR DEBATE</t>
  </si>
  <si>
    <t>BIBLIOTECAS-ANALES DE INVESTIGACION</t>
  </si>
  <si>
    <t>Information Behavior; Artificial Intelligence; Social Changes; Digital transformation</t>
  </si>
  <si>
    <t>Objective: Artificial Intelligence (AI) has had a significant boost since the first decade of this century with the implementation of new improvements, under the digital transformation process. AI reaches the widest spheres of society, and it has a crucial impact on the use of technologies and information behavior. The article analyzes this impact and it is an invitation to the discussion on this topic. Design/Methodology/Approach: The qualitative methodology adopted comprises a literature review and descriptive and exploratory analysis of recent data. Results/Discussion: Individuals' information behavior is affected by AI in various facets, including the ways they search, process and share information, their critical attitude toward it, and their cognitive abilities. Conclusions: It emphasizes the need for continual research and reflection, with a critical and constructive focus on the progress of AI and its impacts, today and in the future, on information skills. It is also important to study the profound social changes that affect behavior. Originality/Value: This study provides an overview of the impact of AI on information behavior and contributes to the discussion and debate on this topic in the scientific field of Information Science.</t>
  </si>
  <si>
    <t>[Marcial, Viviana Fernandez] Univ A Coruna, La Coruna, Spain; [Gomes, Liliana Isabel Esteves] Univ Coimbra, Coimbra, Portugal</t>
  </si>
  <si>
    <t>Universidade da Coruna; Universidade de Coimbra</t>
  </si>
  <si>
    <t>Marcial, VF (corresponding author), Univ A Coruna, La Coruna, Spain.</t>
  </si>
  <si>
    <t>viviana.fernandez@udc.es; liliana.gomes@fl.uc.pt</t>
  </si>
  <si>
    <t>Gomes, Liliana/AAK-1436-2021</t>
  </si>
  <si>
    <t>BIBLIOTECA NACL CUBA JOSE MARTI</t>
  </si>
  <si>
    <t>HAVANA</t>
  </si>
  <si>
    <t>AVE INDEPENDENCIA &amp; 20 MAYO, PLAZA DE LA REVOLUCION, HAVANA, 00000, CUBA</t>
  </si>
  <si>
    <t>0006-176X</t>
  </si>
  <si>
    <t>1683-8947</t>
  </si>
  <si>
    <t>BIBL-AN INVESTIG</t>
  </si>
  <si>
    <t>Bibl.-An. Investig.</t>
  </si>
  <si>
    <t>SEP-DEC</t>
  </si>
  <si>
    <t>7Y1UW</t>
  </si>
  <si>
    <t>WOS:000914674300003</t>
  </si>
  <si>
    <t>Gensure, RH; Chiang, MF; Campbell, JP</t>
  </si>
  <si>
    <t>Gensure, Rebekah H.; Chiang, Michael F.; Campbell, John P.</t>
  </si>
  <si>
    <t>Artificial intelligence for retinopathy of prematurity</t>
  </si>
  <si>
    <t>artificial intelligence; deep learning; machine learning; retinopathy of prematurity</t>
  </si>
  <si>
    <t>COMPUTER-AIDED DIAGNOSIS; PLUS DISEASE; DIABETIC-RETINOPATHY; SYSTEM; IMAGES; IMPLEMENTATION; TORTUOSITY; MEDICINE; HISTORY; IMPACT</t>
  </si>
  <si>
    <t>Purpose of review In this article, we review the current state of artificial intelligence applications in retinopathy of prematurity (ROP) and provide insight on challenges as well as strategies for bringing these algorithms to the bedside. Recent findings In the past few years, there has been a dramatic shift from machine learning approaches based on feature extraction to 'deep' convolutional neural networks for artificial intelligence applications. Several artificial intelligence for ROP approaches have demonstrated adequate proof-of-concept performance in research studies. The next steps are to determine whether these algorithms are robust to variable clinical and technical parameters in practice. Integration of artificial intelligence into ROP screening and treatment is limited by generalizability of the algorithms to maintain performance on unseen data and integration of artificial intelligence technology into new or existing clinical workflows. Real-world implementation of artificial intelligence for ROP diagnosis will require massive efforts targeted at developing standards for data acquisition, true external validation, and demonstration of feasibility. We must now focus on ethical, technical, clinical, regulatory, and financial considerations to bring this technology to the infant bedside to realize the promise offered by this technology to reduce preventable blindness from ROP.</t>
  </si>
  <si>
    <t>[Gensure, Rebekah H.] Univ Utah, John A Moran Eye Ctr, Dept Ophthalmol &amp; Visual Sci, Salt Lake City, UT USA; [Chiang, Michael F.; Campbell, John P.] Oregon Hlth &amp; Sci Univ, Dept Ophthalmol, 3375 SW Terwilliger Blvd, Portland, OR 97239 USA</t>
  </si>
  <si>
    <t>Utah System of Higher Education; University of Utah; Oregon Health &amp; Science University</t>
  </si>
  <si>
    <t>Campbell, JP (corresponding author), Oregon Hlth &amp; Sci Univ, Dept Ophthalmol, 3375 SW Terwilliger Blvd, Portland, OR 97239 USA.</t>
  </si>
  <si>
    <t>campbelp@ohsu.edu</t>
  </si>
  <si>
    <t>Chiang, Michael/0000-0002-8172-7636</t>
  </si>
  <si>
    <t>National Institutes of Health (Bethesda, MD) [R01EY19474, K12EY027720, P30EY10572]; National Science Foundation (Arlington, VA) [SCH1622679]; Research to Prevent Blindness (New York, NY); Genentech</t>
  </si>
  <si>
    <t>National Institutes of Health (Bethesda, MD)(United States Department of Health &amp; Human ServicesNational Institutes of Health (NIH) - USA); National Science Foundation (Arlington, VA)(National Science Foundation (NSF)); Research to Prevent Blindness (New York, NY)(Research to Prevent Blindness (RPB)); Genentech(Roche HoldingGenentech)</t>
  </si>
  <si>
    <t>The project was supported by grants R01EY19474, K12EY027720, and P30EY10572 from the National Institutes of Health (Bethesda, MD), by grant SCH1622679 from the National Science Foundation (Arlington, VA), by unrestricted departmental funding and a Career Development Award (JPC) from Research to Prevent Blindness (New York, NY), and by research support from Genentech.</t>
  </si>
  <si>
    <t>10.1097/ICU.0000000000000680</t>
  </si>
  <si>
    <t>NP5BI</t>
  </si>
  <si>
    <t>WOS:000570190900002</t>
  </si>
  <si>
    <t>Tan, JD; Roslan, NB; Chong, KH; Koh, SP; Tiong, SK</t>
  </si>
  <si>
    <t>Tan, Jian-Ding; Roslan, Nurzanariah Binti; Chong, Kok-Hen; Koh, Siaw-Paw; Tiong, Sieh-Kiong</t>
  </si>
  <si>
    <t>Energy Load Profiling and Artificial Intelligence</t>
  </si>
  <si>
    <t>ADVANCED SCIENCE LETTERS</t>
  </si>
  <si>
    <t>3rd International Conference on Education (ICOED)</t>
  </si>
  <si>
    <t>NOV 07-09, 2017</t>
  </si>
  <si>
    <t>Melaka, MALAYSIA</t>
  </si>
  <si>
    <t>Malaysian Tech Scientist Assoc</t>
  </si>
  <si>
    <t>Energy Load Profiling; Load Segmentation; Artificial Intelligence; Prediction Algorithm</t>
  </si>
  <si>
    <t>ELECTRICITY DEMAND; PATTERN-RECOGNITION; PREDICTION; CLASSIFICATION; IDENTIFICATION; CLIMATE; CURVES; MODEL</t>
  </si>
  <si>
    <t>Electrical power supply is one of the most basic necessities for the well-being and development of a country. However, ensuring a steady and continuous supply of electrical energy is not an easy task. Since electrical energy cannot be stored, the balancing between the supply and the consumption of active power has always been a major challenge in the effort to eliminate power system frequency deviation. An accurate energy load profiling and prediction has proven to be crucial in order to strike a balance in controlling the supply of active power. Over the past few decades, researchers around the world have been looking for ways to effectively predict and profile energy consumptions. With the rising of artificial intelligence, many of the studies have resorted into categorization and prediction algorithms. This paper reports a comprehensive and thorough study on the advancements and implementations of artificial intelligence algorithms in energy load profiling and predictions. Discussions on the impact of different artificial intelligence approaches are also carried out.</t>
  </si>
  <si>
    <t>[Tan, Jian-Ding; Roslan, Nurzanariah Binti; Chong, Kok-Hen; Koh, Siaw-Paw; Tiong, Sieh-Kiong] Univ Tenaga Nas, Inst Sustainable Energy, Kajang 43000, Selangor, Malaysia</t>
  </si>
  <si>
    <t>Universiti Tenaga Nasional</t>
  </si>
  <si>
    <t>Tan, JD (corresponding author), Univ Tenaga Nas, Inst Sustainable Energy, Kajang 43000, Selangor, Malaysia.</t>
  </si>
  <si>
    <t>Tan, Jian Ding/HJP-6545-2023; Roslan, Nurzanariah/ABH-5628-2022; Koh Siaw Paw, Johnny/AFS-7202-2022; Tiong, Sieh Kiong/GLR-1734-2022</t>
  </si>
  <si>
    <t>Tiong, Sieh Kiong/0000-0002-4447-262X</t>
  </si>
  <si>
    <t>UNITEN [J510050620]</t>
  </si>
  <si>
    <t>UNITEN</t>
  </si>
  <si>
    <t>This work was supported in part by UNITEN under Internal Grant Project J510050620.</t>
  </si>
  <si>
    <t>AMER SCIENTIFIC PUBLISHERS</t>
  </si>
  <si>
    <t>VALENCIA</t>
  </si>
  <si>
    <t>26650 THE OLD RD, STE 208, VALENCIA, CA 91381-0751 USA</t>
  </si>
  <si>
    <t>1936-6612</t>
  </si>
  <si>
    <t>1936-7317</t>
  </si>
  <si>
    <t>ADV SCI LETT</t>
  </si>
  <si>
    <t>Adv. Sci. Lett.</t>
  </si>
  <si>
    <t>10.1166/asl.2018.12392</t>
  </si>
  <si>
    <t>Multidisciplinary Sciences</t>
  </si>
  <si>
    <t>Science &amp; Technology - Other Topics</t>
  </si>
  <si>
    <t>HF8RA</t>
  </si>
  <si>
    <t>WOS:000454508700257</t>
  </si>
  <si>
    <t>Wang, Y</t>
  </si>
  <si>
    <t>ASSOC COMP MACHINERY</t>
  </si>
  <si>
    <t>Wang, Yi</t>
  </si>
  <si>
    <t>Research on the Application of AI Anchors in TV Media under the Background of Artificial Intelligence</t>
  </si>
  <si>
    <t>PROCEEDINGS OF 2021 2ND INTERNATIONAL CONFERENCE ON ARTIFICIAL INTELLIGENCE AND INFORMATION SYSTEMS (ICAIIS '21)</t>
  </si>
  <si>
    <t>2nd International Conference on Artificial Intelligence and Information Systems (ICAIIS )</t>
  </si>
  <si>
    <t>MAY 28-30, 2021</t>
  </si>
  <si>
    <t>Chongqing, PEOPLES R CHINA</t>
  </si>
  <si>
    <t>AI anchor; artificial intelligence; broadcast host</t>
  </si>
  <si>
    <t>At present, AI anchors based on artificial intelligence technology are beginning to be used in the media industry. AI anchors have triggered many changes in the media industry in information collection, content production, and communication methods. AI anchors began to move from network media to TV media. This has had a particular impact on the broadcast host industry. This article analyzes the application of artificial intelligence technology in AI anchors. By analyzing the advantages and disadvantages of artificial intelligence technology in the anchor industry, people can have a deeper understanding of AI anchors. At the same time, this article discusses the application of AI anchors in TV media, so that the host can clarify his position and better deal with the opportunities and challenges arising from the rapid changes in the intelligent media era.</t>
  </si>
  <si>
    <t>[Wang, Yi] Sejong Univ, Seoul, South Korea</t>
  </si>
  <si>
    <t>Sejong University</t>
  </si>
  <si>
    <t>Wang, Y (corresponding author), Sejong Univ, Seoul, South Korea.</t>
  </si>
  <si>
    <t>984791595@qq.com</t>
  </si>
  <si>
    <t>978-1-4503-9020-0</t>
  </si>
  <si>
    <t>10.1145/3469213.3470671</t>
  </si>
  <si>
    <t>BS8CD</t>
  </si>
  <si>
    <t>WOS:000770803700238</t>
  </si>
  <si>
    <t>Zheng, H; Peng, CY</t>
  </si>
  <si>
    <t>Zheng, Hao; Peng, Chuanyuan</t>
  </si>
  <si>
    <t>The impact of public health emergency governance based on artificial intelligence</t>
  </si>
  <si>
    <t>JOURNAL OF INTELLIGENT SYSTEMS</t>
  </si>
  <si>
    <t>artificial intelligence; public health emergencies; social governance capacity</t>
  </si>
  <si>
    <t>To optimize the data clustering effect of public health emergencies, an application research on social governance ability under public health emergencies based on artificial intelligence is proposed. First, the firefly optimization algorithm is used to collect the information data of the social governance ability of public health emergencies, establish a unified format, and save it. Then, artificial intelligence technology is used to mine the correlation of clustering data, and on this basis, a learning model integrating global structure information and local structure information is established. Finally, the social governance model under public health emergencies is established. The experimental results show that the design method has high clustering accuracy, regularization cross index, and adjusted rand index (ARI) index. This shows that the design method can improve the social governance ability of data fusion clustering and improve the social governance ability.</t>
  </si>
  <si>
    <t>[Peng, Chuanyuan] Daqing Childrens Rescue &amp; Protect Ctr, Daqing 163000, Peoples R China; [Zheng, Hao] Heilongjiang Bayi Agr Univ, Sch Humanities &amp; Social Sci, Daqing 163000, Peoples R China</t>
  </si>
  <si>
    <t>Heilongjiang Bayi Agricultural University</t>
  </si>
  <si>
    <t>Peng, CY (corresponding author), Daqing Childrens Rescue &amp; Protect Ctr, Daqing 163000, Peoples R China.</t>
  </si>
  <si>
    <t>zhenghao@byau.edu.cn; swgarf@163.com</t>
  </si>
  <si>
    <t>Zheng, Hao/AAQ-6266-2021</t>
  </si>
  <si>
    <t>guiding for science and technology project of Daqing (Research on the cooperative governance mechanism of social psychological crisis assistance in Daqing during the post epidemic period) [dz2020-56]</t>
  </si>
  <si>
    <t>guiding for science and technology project of Daqing (Research on the cooperative governance mechanism of social psychological crisis assistance in Daqing during the post epidemic period)</t>
  </si>
  <si>
    <t>This work was supported by the guiding for science and technology project of Daqing (Research on the cooperative governance mechanism of social psychological crisis assistance in Daqing during the post epidemic period), project number (dz2020-56)</t>
  </si>
  <si>
    <t>DE GRUYTER POLAND SP Z O O</t>
  </si>
  <si>
    <t>BOGUMILA ZUGA 32A STR, 01-811 WARSAW, MAZOVIA, POLAND</t>
  </si>
  <si>
    <t>0334-1860</t>
  </si>
  <si>
    <t>2191-026X</t>
  </si>
  <si>
    <t>J INTELL SYST</t>
  </si>
  <si>
    <t>J. Intell. Syst.</t>
  </si>
  <si>
    <t>JUL 11</t>
  </si>
  <si>
    <t>10.1515/jisys-2022-0065</t>
  </si>
  <si>
    <t>2W9YY</t>
  </si>
  <si>
    <t>WOS:000824872900002</t>
  </si>
  <si>
    <t>Moore, M; Sharma, P</t>
  </si>
  <si>
    <t>Moore, Matthew; Sharma, Prateek</t>
  </si>
  <si>
    <t>Updates in artificial intelligence in gastroenterology endoscopy in 2020</t>
  </si>
  <si>
    <t>CURRENT OPINION IN GASTROENTEROLOGY</t>
  </si>
  <si>
    <t>artificial intelligence; computer-aided detection; endoscopy</t>
  </si>
  <si>
    <t>COMPUTER-AIDED DETECTION; BARRETTS-ESOPHAGUS; NEOPLASIA; CLASSIFICATION; DIAGNOSIS; ACCURACY; PREDICTION; EFFICACY; INVASION; LESIONS</t>
  </si>
  <si>
    <t>Purpose of review Artificial intelligence is becoming rapidly integrated into modern technology including medicine. Artificial intelligence has a wide range of potential in gastroenterology, particularly with endoscopy, given the required analysis of large datasets of images. The aim of this review is to summarize the advances of artificial intelligence in gastroenterology (GI) endoscopy over the past year. Recent findings Computer-aided detection (CADe) systems during real-time colonoscopy have resulted in increased adenoma detection rate with no significant increase in procedure times. Deep learning techniques have been utilized to accurately assess bowel preparation quality, which would impact surveillance colonoscopy recommendations. For the upper GI tract, CADe systems have been developed to aid in improving the diagnosis of Barrett's neoplasia during real-time endoscopy. Artificial intelligence-assisted real-time endoscopy has been shown to reduce blind spots during EGD. The application of artificial intelligence in gastroenterology endoscopy remains promising. Advances over the past year include improved detection of GI neoplasia during endoscopy and characterization of lesions. Further research including randomized, multicenter trials are needed to further evaluate the use of artificial intelligence for real-time endoscopy.</t>
  </si>
  <si>
    <t>[Moore, Matthew; Sharma, Prateek] Univ Kansas, Sch Med, Div Gastroenterol, Lawrence, KS 66045 USA; [Sharma, Prateek] Vet Affairs Med Ctr, Div Gastroenterol, Kansas City, MO 64108 USA</t>
  </si>
  <si>
    <t>University of Kansas; University of Kansas Medical Center; US Department of Veterans Affairs; Veterans Health Administration (VHA)</t>
  </si>
  <si>
    <t>Moore, M (corresponding author), Univ Kansas, Sch Med, Div Gastroenterol, Lawrence, KS 66045 USA.;Moore, M (corresponding author), 3701 W 106th St 304, Leawood, KS 66206 USA.</t>
  </si>
  <si>
    <t>mmoore8@kumc.edu</t>
  </si>
  <si>
    <t>0267-1379</t>
  </si>
  <si>
    <t>1531-7056</t>
  </si>
  <si>
    <t>CURR OPIN GASTROEN</t>
  </si>
  <si>
    <t>Curr. Opin. Gastroenterol.</t>
  </si>
  <si>
    <t>10.1097/MOG.0000000000000774</t>
  </si>
  <si>
    <t>TQ9AA</t>
  </si>
  <si>
    <t>WOS:000678567500005</t>
  </si>
  <si>
    <t>De Ussel, II</t>
  </si>
  <si>
    <t>De Ussel, Ignacio Iglesias</t>
  </si>
  <si>
    <t>EUROPEAN PROJECT LAW ON ARTIFICIAL INTELLIGENCE</t>
  </si>
  <si>
    <t>REVISTA GENERAL DE DERECHO ADMINISTRATIVO</t>
  </si>
  <si>
    <t>Artificial intelligence; European Union Artificial Intelligence Act; AI Risks</t>
  </si>
  <si>
    <t>The article addresses the European Artificial Intelligence (AI) Act processed in the Parliament of the European Union. The regulation promotes precautions for the risks associated with AI, while favoring its development. It classifies AI systems into three categories based on the level of risk they present: unacceptable, high, and minor. Unacceptable risk AI systems, such as harmful or discriminatory are prohibited; high risk are subject to more stringent requirements; while low risk systems are not subject to any specific requirements. The law includes provisions to address risks associated with AI, such as security, ethical and discrimination risks. It is an important step in AI regulation in the EU and could have a significant impact on the development and use of AI with potential effects even outside the EU.</t>
  </si>
  <si>
    <t>[De Ussel, Ignacio Iglesias] Swiss Fed Inst Technol, Salvador Pane Vidal, Zurich, Switzerland</t>
  </si>
  <si>
    <t>Swiss Federal Institutes of Technology Domain; ETH Zurich</t>
  </si>
  <si>
    <t>De Ussel, II (corresponding author), Swiss Fed Inst Technol, Salvador Pane Vidal, Zurich, Switzerland.</t>
  </si>
  <si>
    <t>Revistas@iustel.com</t>
  </si>
  <si>
    <t>IUSTEL</t>
  </si>
  <si>
    <t>C PRINCESA NO 29, 2A DCHA, MADRID, 28008, SPAIN</t>
  </si>
  <si>
    <t>1696-9650</t>
  </si>
  <si>
    <t>REV GEN DERECHO ADM</t>
  </si>
  <si>
    <t>Rev. Gen. Derecho Adm.</t>
  </si>
  <si>
    <t>W4QD1</t>
  </si>
  <si>
    <t>WOS:001091477400012</t>
  </si>
  <si>
    <t>Tairov, I; Stefanova, N</t>
  </si>
  <si>
    <t>Tairov, Iskren; Stefanova, Nadezhda</t>
  </si>
  <si>
    <t>Cryptocurrencies Collapse - Analysis of Artificial Intelligence Applications for Countering Coin Value Fluctuations in the Crypto Market</t>
  </si>
  <si>
    <t>TEM JOURNAL-TECHNOLOGY EDUCATION MANAGEMENT INFORMATICS</t>
  </si>
  <si>
    <t>Keywords - Cryptocurrency; artificial intelligence</t>
  </si>
  <si>
    <t>POLITICAL UNCERTAINTY; INVESTOR SENTIMENT; RETURNS EVIDENCE; ASSET PRICES; BITCOIN; PREDICTION; VOLATILITY; HEDGE</t>
  </si>
  <si>
    <t>Driven by the present worldwide turbulence, this research investigates the consequences of ambiguity and psychological variables on cryptocurrency valuation and artificial intelligence applications in the cryptocurrency market. Results demonstrate that many factors impact cryptocurrency pricing, and artificial intelligence algorithms have the potential to provide an average level of stability. Nevertheless, the interplay among shareholder opinions displayed on various channels has a considerable negative impact on cryptocurrency investment refunds, as this effect is especially noticeable for coins inside the same environment. Furthermore, there may be a considerable dispersion across currencies within the same network when unpleasant information occurs. Given the significant uninsured deficits many crypto traders face during crypto trade, the findings offer vital insights into how investing professionals might build appropriate placement methods aided by artificial intelligence.</t>
  </si>
  <si>
    <t>[Tairov, Iskren; Stefanova, Nadezhda] Tsenov Acad Econ, 2 Em Chakarov Str, Svishtov, Bulgaria</t>
  </si>
  <si>
    <t>Tsenov Academy of Economics</t>
  </si>
  <si>
    <t>Tairov, I (corresponding author), Tsenov Acad Econ, 2 Em Chakarov Str, Svishtov, Bulgaria.</t>
  </si>
  <si>
    <t>i.tairov@uni-svishtov.bg</t>
  </si>
  <si>
    <t>Bulgarian National Science Fund at the Bulgarian Ministry of Education and Science, Funding Competition [Kcy;Pcy;-06-Mcy;65/2]</t>
  </si>
  <si>
    <t>Bulgarian National Science Fund at the Bulgarian Ministry of Education and Science, Funding Competition</t>
  </si>
  <si>
    <t>This research was funded by The Bulgarian National Science Fund at the Bulgarian Ministry of Education and Science, Funding Competition for financial support for projects of junior researchers and postdocs - 2022, Project title: Artificial intelligence in the economic perspective, Administrative contract: No. &amp; Kcy;&amp; Pcy;-06-&amp; Mcy;65/2 from 12.12.2022.</t>
  </si>
  <si>
    <t>UIKTEN - ASSOC INFORMATION COMMUNICATION TECHNOLOGY EDUCATION &amp; SCIENCE</t>
  </si>
  <si>
    <t>NOVI PAZAR</t>
  </si>
  <si>
    <t>HILMA ROZAJCA 15, NOVI PAZAR, 36300, SERBIA</t>
  </si>
  <si>
    <t>2217-8309</t>
  </si>
  <si>
    <t>2217-8333</t>
  </si>
  <si>
    <t>TEM J</t>
  </si>
  <si>
    <t>TEM J.</t>
  </si>
  <si>
    <t>G3G1N</t>
  </si>
  <si>
    <t>WOS:001315548100018</t>
  </si>
  <si>
    <t>Iorgovan, D</t>
  </si>
  <si>
    <t>Iorgovan, Daniela</t>
  </si>
  <si>
    <t>Artificial Intelligence and Renewable Energy Utilization</t>
  </si>
  <si>
    <t>18th International Conference on Business Excellence (ICBE) - Smart Solutions for a Sustainable Future</t>
  </si>
  <si>
    <t>MAR 21-23, 2024</t>
  </si>
  <si>
    <t>artificial intelligence; renewable energy; sustainable economy; energy resources; sustainable development; energy efficiency</t>
  </si>
  <si>
    <t>This article shows the role that digital intelligence has on renewable energy, based on literature underpinnings. Therefore, the methodological research is based on literature review to demonstrate the link between artificial intelligence and renewable energy, with a focus on global sustainable development strategies in this field. The main findings reveal the fact that we must take advantage of the opportunities offered by artificial intelligence on energy, in general, and renewable energy, in particular. Referring to literature, it is constantly expanding due to the importance of the development of renewable energy for researchers but also for the population, being many parties interested in this field. The aim of the study is to highlight the relationship between renewable energy and artificial intelligence. Therefore, with the help of artificial intelligence and energy innovations, the population enjoys renewable energy that exists in its many forms (solar panels or photovoltaic panels, water, or wind energy and so on). To put in a nutshell, the research considered in this article reflects the impact of artificial intelligence on renewable energy as part of supporting the achievement of sustainable economic development.</t>
  </si>
  <si>
    <t>[Iorgovan, Daniela] Univ Craiova, Doctoral Sch Econ Eugeniu Carada, Craiova, Romania</t>
  </si>
  <si>
    <t>University of Craiova</t>
  </si>
  <si>
    <t>Iorgovan, D (corresponding author), Univ Craiova, Doctoral Sch Econ Eugeniu Carada, Craiova, Romania.</t>
  </si>
  <si>
    <t>iorgovandaniela@yahoo.com</t>
  </si>
  <si>
    <t>JUN 1</t>
  </si>
  <si>
    <t>10.2478/picbe-2024-0231</t>
  </si>
  <si>
    <t>XM6P5</t>
  </si>
  <si>
    <t>WOS:001262143700018</t>
  </si>
  <si>
    <t>Sen, IA; Laaroussi, K; Rabhi, O; Erramdani, M; Hassas, M</t>
  </si>
  <si>
    <t>Serrhini, M; Ghoumid, K</t>
  </si>
  <si>
    <t>Sen, Ibtissam Arras; Laaroussi, Khadija; Rabhi, Ouzayr; Erramdani, Mohammed; Hassas, Mohammed</t>
  </si>
  <si>
    <t>Impact of Artificial Intelligence on the Generation Process of the Data Warehouse Model</t>
  </si>
  <si>
    <t>ADVANCES IN SMART MEDICAL, IOT &amp; ARTIFICIAL INTELLIGENCE, VOL 1, ICSMAI 2024</t>
  </si>
  <si>
    <t>Information Systems Engineering and Management</t>
  </si>
  <si>
    <t>1st International Conference on Smart Medical, IoT and Artificial Intelligence (ICSMAI)</t>
  </si>
  <si>
    <t>AUG 18-20, 2024</t>
  </si>
  <si>
    <t>Saidia, MOROCCO</t>
  </si>
  <si>
    <t>Artificial Intelligence; Data Warehouse; ETL; DWH Analytics</t>
  </si>
  <si>
    <t>MANAGEMENT; INVENTORY; SYSTEMS</t>
  </si>
  <si>
    <t>This article explores the intersection of data warehousing (DW) and artificial intelligence (AI) techniques, aiming to address the challenges posed by escalating data volumes and the imperative for informed decision-making. In the Related Work section, foundational insights into DW development methodologies are provided, alongside discussions on AI's burgeoning role in augmenting warehouse management. The limitations of existing solutions, particularly regarding data accuracy and human error, are highlighted. Moving to the Background Knowledge section, a comprehensive understanding of DW fundamentals and AI applications in warehouse management is presented. Key characteristics of DWs are elucidated, highlighting their critical function in supporting data-driven decision-making. The evolving significance of AI in optimizing warehouse operations and enhancing data quality is explored. Finally, in Our Proposition, novel methodologies and approaches for advancing DWsystems through AI integration are delineated. The article delves into the incorporation of AI into the Extract, Transform, Load (ETL) process, highlighting its potential in intelligent data modeling, automated data cleansing, and continuous data quality monitoring. The myriad benefits of AI in DWs are underscored, emphasizing its crucial role in optimizing operations and facilitating informed decision-making in contemporary enterprises.</t>
  </si>
  <si>
    <t>[Sen, Ibtissam Arras; Laaroussi, Khadija] Mohammed First Univ, AlQods, LARI, Oujda 60000, Morocco; [Rabhi, Ouzayr; Erramdani, Mohammed] Mohammed First Univ, AlQods, MATSI, Oujda 60000, Morocco; [Hassas, Mohammed] Mohammed First Univ, AlQods, ESDLL, Oujda 60000, Morocco</t>
  </si>
  <si>
    <t>Mohammed First University of Oujda; Mohammed First University of Oujda; Mohammed First University of Oujda</t>
  </si>
  <si>
    <t>Sen, IA (corresponding author), Mohammed First Univ, AlQods, LARI, Oujda 60000, Morocco.</t>
  </si>
  <si>
    <t>i.arrassen@ump.ac.ma; kh.laaroussi@ump.ac.ma; o.rabh@ump.ac.ma</t>
  </si>
  <si>
    <t>ARRASSEN, ibtissam/LSK-4539-2024; LAAROUSSI, Khadija/LUZ-8047-2024; RABHI, Ouzayr/ACC-2798-2022</t>
  </si>
  <si>
    <t>arrassen, ibtissam/0009-0007-0891-4463; LAAROUSSI, Khadija/0009-0006-6669-8335</t>
  </si>
  <si>
    <t>3004-958X</t>
  </si>
  <si>
    <t>978-3-031-66852-4; 978-3-031-66850-0; 978-3-031-66849-4</t>
  </si>
  <si>
    <t>Inf Sys Eng Manag</t>
  </si>
  <si>
    <t>10.1007/978-3-031-66850-0_7</t>
  </si>
  <si>
    <t>BX7PJ</t>
  </si>
  <si>
    <t>WOS:001324586000007</t>
  </si>
  <si>
    <t>Ma, SP; Liang, AS; Shah, SJ; Smith, M; Jeong, Y; Devon-Sand, A; Crowell, T; Delahaie, C; Hsia, C; Lin, S; Shanafelt, T; Pfeffer, MA; Sharp, C; Garcia, P</t>
  </si>
  <si>
    <t>Ma, Stephen P.; Liang, April S.; Shah, Shreya J.; Smith, Margaret; Jeong, Yejin; Devon-Sand, Anna; Crowell, Trevor; Delahaie, Clarissa; Hsia, Caroline; Lin, Steven; Shanafelt, Tait; Pfeffer, Michael A.; Sharp, Christopher; Garcia, Patricia</t>
  </si>
  <si>
    <t>Ambient artificial intelligence scribes: utilization and impact on documentation time</t>
  </si>
  <si>
    <t>artificial intelligence; ambient intelligence; documentation; ambient scribes; informatics</t>
  </si>
  <si>
    <t>CARE</t>
  </si>
  <si>
    <t>Objectives To quantify utilization and impact on documentation time of a large language model-powered ambient artificial intelligence (AI) scribe.Materials and Methods This prospective quality improvement study was conducted at a large academic medical center with 45 physicians from 8 ambulatory disciplines over 3 months. Utilization and documentation times were derived from electronic health record (EHR) use measures.Results The ambient AI scribe was utilized in 9629 of 17 428 encounters (55.25%) with significant interuser heterogeneity. Compared to baseline, median time per note reduced significantly by 0.57 minutes. Median daily documentation, afterhours, and total EHR time also decreased significantly by 6.89, 5.17, and 19.95 minutes/day, respectively.Discussion An early pilot of an ambient AI scribe demonstrated robust utilization and reduced time spent on documentation and in the EHR. There was notable individual-level heterogeneity.Conclusion Large language model-powered ambient AI scribes may reduce documentation burden. Further studies are needed to identify which users benefit most from current technology and how future iterations can support a broader audience.</t>
  </si>
  <si>
    <t>[Ma, Stephen P.; Liang, April S.; Shah, Shreya J.; Lin, Steven; Shanafelt, Tait; Pfeffer, Michael A.; Sharp, Christopher; Garcia, Patricia] Stanford Univ, Sch Med, Dept Med, 300 Pasteur Dr,3rd Floor,East Pavil, Stanford, CA 94305 USA; [Shah, Shreya J.; Smith, Margaret; Jeong, Yejin; Devon-Sand, Anna; Crowell, Trevor; Lin, Steven] Stanford Univ, Div Primary Care &amp; Populat Hlth, Stanford Healthcare AI Appl Res Team, Sch Med, Stanford, CA 94305 USA; [Delahaie, Clarissa; Hsia, Caroline; Pfeffer, Michael A.] Stanford Med, Technol &amp; Digital Solut, Stanford, CA 94305 USA; [Shanafelt, Tait] Stanford Univ, WellMD Ctr, Sch Med, Stanford, CA 94305 USA</t>
  </si>
  <si>
    <t>Stanford University; Stanford Medicine; Stanford University; Stanford University</t>
  </si>
  <si>
    <t>Ma, SP; Liang, AS (corresponding author), Stanford Univ, Sch Med, Dept Med, 300 Pasteur Dr,3rd Floor,East Pavil, Stanford, CA 94305 USA.;Liang, AS (corresponding author), Stanford Univ, Sch Med, Dept Med, 453 Quary Rd,4th Floor, Palo Alto, CA 94304 USA.</t>
  </si>
  <si>
    <t>spma@stanford.edu; asliang@stanford.edu</t>
  </si>
  <si>
    <t>Sharp, Christopher/KAZ-9365-2024</t>
  </si>
  <si>
    <t>Ma, Stephen P./0000-0003-3738-9569; Sharp, Christopher/0000-0001-7169-6904; Pfeffer, Michael/0000-0002-8958-0843; Shanafelt, Tait/0000-0002-7106-5202; Lin, Steven/0000-0001-8108-053X</t>
  </si>
  <si>
    <t>Stanford Technology and Digital Solutions, Stanford Informatics Education, Stanford Healthcare AI Applied Research Team; Microsoft</t>
  </si>
  <si>
    <t>Stanford Technology and Digital Solutions, Stanford Informatics Education, Stanford Healthcare AI Applied Research Team; Microsoft(Microsoft)</t>
  </si>
  <si>
    <t>Individuals from multiple groups contributed to this work: Stanford Technology and Digital Solutions, Stanford Informatics Education, Stanford Healthcare AI Applied Research Team, Microsoft, and Epic Systems. Chris Lieven, BS (Epic Systems) and Kevin Carlyle, BS (Epic Systems) were critical for technical implementation and data reporting. They were not compensated for this work.</t>
  </si>
  <si>
    <t>2024 DEC 17</t>
  </si>
  <si>
    <t>10.1093/jamia/ocae304</t>
  </si>
  <si>
    <t>P6S3K</t>
  </si>
  <si>
    <t>WOS:001379178100001</t>
  </si>
  <si>
    <t>Radke, P</t>
  </si>
  <si>
    <t>Radke, Peter</t>
  </si>
  <si>
    <t>Artificial Intelligence in Cardiovascular Medicine - Status and Perspectives</t>
  </si>
  <si>
    <t>AKTUELLE KARDIOLOGIE</t>
  </si>
  <si>
    <t>artificial intelligence; machine learning; cardiology</t>
  </si>
  <si>
    <t>The amount of medical knowledge is constantly increasing. However, to an even greater extent, the availability and complexity of health data from electronic medical records, imaging data, genetic profiles or data from smartwatch sensors is increasing. A core task of the physician is to synthesize and analyze all available patient data. However, the available data exceeds the capacity of the human brain and, therefore, requires innovative approaches in the fields of informatics and computer science.Artificial intelligence (AI) can simulate human-like cognitive processes via a combination of algorithms, data, and computing power. Machine learning (ML) in particular has significant impact in the field of cardiovascular medicine. For example, interpretation of ECG findings or diagnosis of atrial fibrillation by smartwatches is already based on ML techniques.The further development of artificial intelligence in medicine, however, is also accompanied by new ethical, data protection or regulatory challenges. A transformative value of artificial intelligence for cardiovascular medicine will only be able to unfold its full potential by overcoming these challenges.</t>
  </si>
  <si>
    <t>[Radke, Peter] Schon Klin Neustadt, Klink Innere Med &amp; Kardiol Elektrophysiol Gastroen, Neustadt In Holstein, Germany; [Radke, Peter] Schon Klin Neustadt, Klin Innere Med Kardiol Elektrophysiol Gastroenter, Am Kiebitzberg 10, D-23730 Neustadt In Holstein, Germany</t>
  </si>
  <si>
    <t>Radke, P (corresponding author), Schon Klin Neustadt, Klin Innere Med Kardiol Elektrophysiol Gastroenter, Am Kiebitzberg 10, D-23730 Neustadt In Holstein, Germany.</t>
  </si>
  <si>
    <t>PRadke@schoen-klinik.de</t>
  </si>
  <si>
    <t>GEORG THIEME VERLAG KG</t>
  </si>
  <si>
    <t>STUTTGART</t>
  </si>
  <si>
    <t>RUDIGERSTR 14, D-70469 STUTTGART, GERMANY</t>
  </si>
  <si>
    <t>2193-5203</t>
  </si>
  <si>
    <t>2193-5211</t>
  </si>
  <si>
    <t>AKTUELLE KARDIOL</t>
  </si>
  <si>
    <t>Aktuelle Kardiol.</t>
  </si>
  <si>
    <t>10.1055/a-2146-0667</t>
  </si>
  <si>
    <t>Z4PR8</t>
  </si>
  <si>
    <t>WOS:001111918300004</t>
  </si>
  <si>
    <t>Abad-Itoiz, N; Solórzano-García, M; Hernández-Marí, D</t>
  </si>
  <si>
    <t>Abad-Itoiz, Nerea; Solorzano-Garcia, Marta; Hernandez-Mari, Daniel</t>
  </si>
  <si>
    <t>Innovative approaches to social impact measurement: a focus on the potential of artificial intelligence solutions</t>
  </si>
  <si>
    <t>SOCIAL ENTERPRISE JOURNAL</t>
  </si>
  <si>
    <t>Social impact measurement; Social return on investment (SROI); Social and solidarity economy; Artificial intelligence (AI); Ethical considerations; Generative artificial intelligence; AI ethics</t>
  </si>
  <si>
    <t>INVESTMENT SROI; RETURN; ACCOUNTABILITY; ENTERPRISES; PROGRAM; CARE</t>
  </si>
  <si>
    <t>Purpose - The existing literature highlights challenges in measuring social impact within social and solidarity economy organisations, particularly regarding the social return on investment (SROI) methodology. This paper aims to address the barriers to SROI implementation while exploring the potential of artificial intelligence (AI) in enhancing the measurement of social impact. Design/methodology/approach - This review-based paper synthesises research on SROI methodology limitations and recent AI developments while focusing on ethical considerations. Drawing from these domains, the study constructs a conceptual framework to guide future research. Findings - The study identifies necessary enhancements to existing AI systems for social impact measurement and explores how advances in generative AI could refine current tools and address SROI constraints. It advocates for open AI models to address ethical concerns. Originality/value - This study pioneers the integration of social impact assessment and AI, an innovative intersection in the academic literature. The growing disparity between academia and the rapidly evolving AI industry is highlighted and scholarly discourse is enriched through theoretical deliberations and innovative technological solutions.</t>
  </si>
  <si>
    <t>[Abad-Itoiz, Nerea; Solorzano-Garcia, Marta; Hernandez-Mari, Daniel] Univ Nacl Educ Distancia, UNED, Fac Ciencias Econ &amp; Empresariales, Dept Org Empresas, Madrid, Spain</t>
  </si>
  <si>
    <t>Universidad Nacional de Educacion a Distancia (UNED)</t>
  </si>
  <si>
    <t>Solórzano-García, M (corresponding author), Univ Nacl Educ Distancia, UNED, Fac Ciencias Econ &amp; Empresariales, Dept Org Empresas, Madrid, Spain.</t>
  </si>
  <si>
    <t>nerabad@cee.uned.es; msolorzano@cee.uned.es; dhernande134@alumno.uned.es</t>
  </si>
  <si>
    <t>Abad Itoiz, Nerea/0000-0001-7174-956X</t>
  </si>
  <si>
    <t>Vicerrectorado de Investigacion, Transferencia del Conocimiento y Divulgacion Cientifica de la Universidad Nacional de Educacion a Distancia, UNED</t>
  </si>
  <si>
    <t>This article forms part of the research project entitled Innovacion social de la mujer rural: creacion de valor a traves de comunidades sociales en la era digital (Social innovation of rural women: value creation through social communities in the digital age) funded by the Vicerrectorado de Investigacion, Transferencia del Conocimiento y Divulgacion Cientifica de la Universidad Nacional de Educacion a Distancia, UNED, in the framework of the Convocatoria Proyectos de Investigacion UNED 2023.</t>
  </si>
  <si>
    <t>1750-8614</t>
  </si>
  <si>
    <t>1750-8533</t>
  </si>
  <si>
    <t>SOC ENTERP J</t>
  </si>
  <si>
    <t>Soc. Enterp. J.</t>
  </si>
  <si>
    <t>2024 OCT 8</t>
  </si>
  <si>
    <t>10.1108/SEJ-03-2024-0050</t>
  </si>
  <si>
    <t>I4U5N</t>
  </si>
  <si>
    <t>WOS:001330224600001</t>
  </si>
  <si>
    <t>Islam, MT; Hossain, MJ</t>
  </si>
  <si>
    <t>Islam, Md Tariqul; Hossain, M. J.</t>
  </si>
  <si>
    <t>Artificial Intelligence for Hosting Capacity Analysis: A Systematic Literature Review</t>
  </si>
  <si>
    <t>ENERGIES</t>
  </si>
  <si>
    <t>artificial intelligence; machine learning; deep learning; hosting capacity; impact factors; optimisation; distributed energy resources</t>
  </si>
  <si>
    <t>DISTRIBUTED GENERATION CLASSIFICATION; LOW-VOLTAGE GRIDS; POWER-SYSTEMS; IMPACT; SCHEME</t>
  </si>
  <si>
    <t>Distribution network operators face technical and operational challenges in integrating the increasing number of distributed energy resources (DER) with the distribution network. The hosting capacity analysis quantifies the level of power quality violation on the network due to the high penetration of the DER, such as over voltage, under voltage, transformer and feeder overloading, and protection failures. Real-time monitoring of the power quality factors such as the voltage, current, angle, frequency, harmonics and overloading that would help the distribution network operators overcome the challenges created by the high penetration of the DER. In this paper, different conventional hosting capacity analysis methods have been discussed. These methods have been compared based on the network constraints, impact factors, required input data, computational efficiency, and output accuracy. The artificial intelligence approaches of the hosting capacity analysis for the real-time monitoring of distribution network parameters have also been covered in this paper. Different artificial intelligence techniques have been analysed for sustainable integration, power system optimisation, and overcoming real-time monitoring challenges of conventional hosting capacity analysis methods. An overview of the conventional hosting capacity analysis methods, artificial intelligence techniques for overcoming the challenges of distributed energy resources integration, and different impact factors affecting the real-time hosting capacity analysis has been summarised. The distribution system operators and researchers will find the review paper as an easy reference for planning and further research. Finally, it is evident that artificial intelligence techniques could be a better alternative solution for real-time estimation and forecasting of the distribution network hosting capacity considering the intermittent nature of the DER, consumer loads, and network constraints.</t>
  </si>
  <si>
    <t>[Islam, Md Tariqul; Hossain, M. J.] Univ Technol Sydney, Sch Elect &amp; Data Engn, Sydney, NSW 2007, Australia</t>
  </si>
  <si>
    <t>University of Technology Sydney</t>
  </si>
  <si>
    <t>Hossain, MJ (corresponding author), Univ Technol Sydney, Sch Elect &amp; Data Engn, Sydney, NSW 2007, Australia.</t>
  </si>
  <si>
    <t>jahangir.hossain@uts.edu.au</t>
  </si>
  <si>
    <t>Hossain, Jahangir/AAD-5492-2020</t>
  </si>
  <si>
    <t>Islam, Md Tariqul/0000-0002-7142-5212; Hossain, Jahangir/0000-0001-7602-3581</t>
  </si>
  <si>
    <t>1996-1073</t>
  </si>
  <si>
    <t>Energies</t>
  </si>
  <si>
    <t>10.3390/en16041864</t>
  </si>
  <si>
    <t>9Q5IB</t>
  </si>
  <si>
    <t>WOS:000944996400001</t>
  </si>
  <si>
    <t>Rampat, R; Debellemanière, G; Gatinel, D; Ting, DSJ</t>
  </si>
  <si>
    <t>Rampat, Radhika; Debellemaniere, Guillaume; Gatinel, Damien; Ting, Darren S. J.</t>
  </si>
  <si>
    <t>Artificial intelligence applications in cataract and refractive surgeries</t>
  </si>
  <si>
    <t>artificial intelligence; cataract surgery; machine learning; ophthalmology; refractive surgery</t>
  </si>
  <si>
    <t>OPHTHALMOLOGY; ACCURACY; CHATGPT; FORMULA</t>
  </si>
  <si>
    <t>Purpose of reviewThis review highlights the recent advancements in the applications of artificial intelligence within the field of cataract and refractive surgeries. Given the rapid evolution of artificial intelligence technologies, it is essential to provide an updated overview of the significant strides and emerging trends in this field.Recent findingsKey themes include artificial intelligence-assisted diagnostics and intraoperative support, image analysis for anterior segment surgeries, development of artificial intelligence-based diagnostic scores and calculators for early disease detection and treatment planning, and integration of generative artificial intelligence for patient education and postoperative monitoring.SummaryThe impact of artificial intelligence on cataract and refractive surgeries is becoming increasingly evident through improved diagnostic accuracy, enhanced patient education, and streamlined clinical workflows. These advancements hold significant implications for clinical practice, promising more personalized patient care and facilitating early disease detection and intervention. Equally, the review also highlights the fact that only some of this work reaches the clinical stage, successful integration of which may benefit from our focus.</t>
  </si>
  <si>
    <t>[Rampat, Radhika] Royal Free London NHS Trust, London, England; [Debellemaniere, Guillaume; Gatinel, Damien] Rothschild Fdn Hosp, Dept Anterior Segment &amp; Refract Surg, Paris, France; [Ting, Darren S. J.] Univ Birmingham, Inst Inflammat &amp; Ageing, Coll Med &amp; Dent Sci, Acad Unit Ophthalmol, Birmingham B15 2TT, England; [Ting, Darren S. J.] Birmingham &amp; Midland Eye Ctr, Sandwell &amp; West Birmingham NHS Trust, Birmingham, England; [Ting, Darren S. J.] Univ Nottingham, Sch Med, Acad Ophthalmol, Nottingham, England</t>
  </si>
  <si>
    <t>University of London; University College London; Royal Free London NHS Foundation Trust; Fondation Adolphe de Rothschild; University of Birmingham; University of Nottingham</t>
  </si>
  <si>
    <t>Ting, DSJ (corresponding author), Univ Birmingham, Inst Inflammat &amp; Ageing, Coll Med &amp; Dent Sci, Acad Unit Ophthalmol, Birmingham B15 2TT, England.</t>
  </si>
  <si>
    <t>ting.darren@gmail.com</t>
  </si>
  <si>
    <t>Birmingham Health Partners(BHP) Clinician Scientist Fellowship</t>
  </si>
  <si>
    <t>D.S.J.T. is supported by the Birmingham Health Partners(BHP) Clinician Scientist Fellowship</t>
  </si>
  <si>
    <t>10.1097/ICU.0000000000001090</t>
  </si>
  <si>
    <t>H3P3C</t>
  </si>
  <si>
    <t>WOS:001322587400010</t>
  </si>
  <si>
    <t>Anishchenko, MA; Gidenko, I; Kaliman, M; Polyvaniuk, V; Demianchuk, YV</t>
  </si>
  <si>
    <t>Anishchenko, Mykhailo A.; Gidenko, Ievgen; Kaliman, Maksym; Polyvaniuk, Vasyl; Demianchuk, Yurii V.</t>
  </si>
  <si>
    <t>ARTIFICIAL INTELLIGENCE IN MEDICINE: LEGAL, ETHICAL AND SOCIAL ASPECTS</t>
  </si>
  <si>
    <t>ACTA BIOETHICA</t>
  </si>
  <si>
    <t>Artificial intelligence; medicine; legal regulation; ethics; society</t>
  </si>
  <si>
    <t>In this article, the authors reflected the legal, ethical and social aspects of the introduction of artificial intelligence in the field of medicine. The authors used the dialectical method to understand the problematic aspects of qualitative changes in the healthcare system of Ukraine in connection with the quantitative increase in the use of artificial intelligence technology. The system method contributed to determining the nature of the impact of the introduction of artificial intelligence on the transformation of the structural elements of legislation in the healthcare sector. Analytical and formal-logical methods were useful in the process of identifying legal and ethical and social problems from the introduction of artificial intelligence and providing proposals for their solution. Emphasis was placed on the current state of the legal regulation of artificial intelligence in Ukraine and the problems of a legal, ethical and social nature that need to be addressed in the process of its implementation. The authors came to the conclusion that Ukraine is now at the initial stage of introducing artificial intelligence into public life. The problem of the lack of legislative work to streamline public relations associated with the use of artificial intelligence has been identified. Proposals are provided that can help mitigate the risks from the introduction of artificial intelligence.</t>
  </si>
  <si>
    <t>[Anishchenko, Mykhailo A.] Zaporizhzhia State Med Univ, Dept Social Med Publ Hlth Med &amp; Pharmaceut Law, Zaporizhzhia, Ukraine; [Gidenko, Ievgen; Kaliman, Maksym; Polyvaniuk, Vasyl] Dnipropetrovsk State Univ Internal Affairs, Dept Tact Special Training, Dnipropetrovska, Ukraine; [Demianchuk, Yurii V.] Open Int Univ Human Dev Ukraine, Bila Tserkva Inst Econ Management, Dept Law &amp; Social &amp; Behav Sci, Kiev, Ukraine</t>
  </si>
  <si>
    <t>Zaporizhzhia State Medical University; Dnipro State University of Internal Affairs; HEI Open International University of Human Development Ukraine</t>
  </si>
  <si>
    <t>Anishchenko, MA (corresponding author), Zaporizhzhia State Med Univ, Dept Social Med Publ Hlth Med &amp; Pharmaceut Law, Zaporizhzhia, Ukraine.</t>
  </si>
  <si>
    <t>amakpu@ukr.net</t>
  </si>
  <si>
    <t>Anishchenko, Mykhailo/AAE-7920-2022; Polyvaniuk, Vasyl/AAL-6917-2021; Demianchuk, YUrii/AAR-9862-2021</t>
  </si>
  <si>
    <t>Gidenko, Evgen/0000-0002-8959-6466; Polyvaniuk, Vasyl/0000-0003-3295-4434; Demianchuk, Yurii/0000-0002-7695-6338</t>
  </si>
  <si>
    <t>UNIV CHILE, CENTRO INTERDISCIPLINARIO ESTUDIOS BIOETICA</t>
  </si>
  <si>
    <t>SANTIAGO</t>
  </si>
  <si>
    <t>DIAGONAL PARAGUAY #265, TORRE 15, PISO 8, SANTIAGO, 00000, CHILE</t>
  </si>
  <si>
    <t>0717-5906</t>
  </si>
  <si>
    <t>1726-569X</t>
  </si>
  <si>
    <t>ACTA BIOETH</t>
  </si>
  <si>
    <t>Acta Bioet.</t>
  </si>
  <si>
    <t>Ethics; Medical Ethics; Social Sciences, Biomedical</t>
  </si>
  <si>
    <t>Social Sciences - Other Topics; Medical Ethics; Biomedical Social Sciences</t>
  </si>
  <si>
    <t>I4GX1</t>
  </si>
  <si>
    <t>WOS:001002390900008</t>
  </si>
  <si>
    <t>Ribeiro, T; Reis, JL</t>
  </si>
  <si>
    <t>Rocha, A; Adeli, H; Reis, LP; Costanzo, S; Orovic, I; Moreira, F</t>
  </si>
  <si>
    <t>Ribeiro, Tiago; Reis, Jose Luis</t>
  </si>
  <si>
    <t>Artificial Intelligence Applied to Digital Marketing</t>
  </si>
  <si>
    <t>TRENDS AND INNOVATIONS IN INFORMATION SYSTEMS AND TECHNOLOGIES, VOL 2</t>
  </si>
  <si>
    <t>World Conference on Information Systems and Technologies (WorldCIST)</t>
  </si>
  <si>
    <t>APR 07-10, 2020</t>
  </si>
  <si>
    <t>Budva, MONTENEGRO</t>
  </si>
  <si>
    <t>Artificial Intelligence; Marketing; Digital Marketing; Machine learning; Integration</t>
  </si>
  <si>
    <t>Based on the theory that both manual and cognitive tasks can be replaced by Artificial Intelligence, this study explores, using a qualitative research method, the impact of Artificial Intelligence (AI) in Digital Marketing. An analysis of interviews with 15 experts from different industries related to Marketing and AI shows that AI have impact in Marketing processes and the impact will be bigger in the future. The study reinforces that many of the manual and repetitive tasks of a marketer's life can already be replaced by AI, and the use of machines working together with humans are the key to better marketing results. The challenges and ethical aspects that lead to a slow or non-adoption of AI have been addressed, and one of the major obstacles is that humans aren't yet confident in technology and, they are not yet ready for this cultural change. Based on these findings, business decision-makers and managers need to prepare their companies and employees for the implementation of AI in Marketing.</t>
  </si>
  <si>
    <t>[Ribeiro, Tiago; Reis, Jose Luis] Portuguese Inst Mkt, IPAM, Porto, Portugal; [Reis, Jose Luis] Maia Univ Inst, ISMAI, Res Units, UNICES,CEDTUR,CETRAD, Maia, Portugal</t>
  </si>
  <si>
    <t>Instituto Universitario da Maia (ISMAI)</t>
  </si>
  <si>
    <t>Reis, JL (corresponding author), Portuguese Inst Mkt, IPAM, Porto, Portugal.;Reis, JL (corresponding author), Maia Univ Inst, ISMAI, Res Units, UNICES,CEDTUR,CETRAD, Maia, Portugal.</t>
  </si>
  <si>
    <t>tiagoribeiro0698@gmail.com; jreis@ismai.pt</t>
  </si>
  <si>
    <t>978-3-030-45690-0; 978-3-030-45691-7</t>
  </si>
  <si>
    <t>ADV INTELL SYST COMP</t>
  </si>
  <si>
    <t>10.1007/978-3-030-45691-7_15</t>
  </si>
  <si>
    <t>Computer Science, Information Systems; Computer Science, Interdisciplinary Applications; Telecommunications</t>
  </si>
  <si>
    <t>BX5LG</t>
  </si>
  <si>
    <t>WOS:001300369900015</t>
  </si>
  <si>
    <t>Bansal, S; Chuluunbaatar, Y; Brodie, A; Vasdev, N</t>
  </si>
  <si>
    <t>Bansal, Saakshi; Chuluunbaatar, Yanjinlkham; Brodie, Andrew; Vasdev, Nikhil</t>
  </si>
  <si>
    <t>Applications of artificial intelligence in benign prostatic hyperplasia</t>
  </si>
  <si>
    <t>ARTIFICIAL INTELLIGENCE SURGERY</t>
  </si>
  <si>
    <t>Artificial intelligence; benign prostate; urology; deep learning</t>
  </si>
  <si>
    <t>CANCER</t>
  </si>
  <si>
    <t>The advancement of computational abilities has taken us from the days of machines performing simple, one-dimensional tasks to themselves learning and applying knowns to unknowns. Artificial intelligence (AI) has become integral in daily life, yet there is vast room for application in surgery. Cancer research can divert attention from more prevalent benign diseases which may equally cause a significant impact on quality of life. Here we review recent advancements in the field of AI for diagnostics, management, and prognostication of benign prostatic hyperplasia, evaluating the strengths and limitations of these approaches with implications for future research.</t>
  </si>
  <si>
    <t>[Bansal, Saakshi; Chuluunbaatar, Yanjinlkham; Brodie, Andrew; Vasdev, Nikhil] Lister Hosp, Hertfordshire &amp; Bedfordshire Urol Canc Ctr, Dept Urol, Coreys Mill Lane, Stevenage SG1 4AB, England; [Vasdev, Nikhil] Univ Hertfordshire, Sch Life &amp; Med Sci, Hatfield AL10 9AB, England</t>
  </si>
  <si>
    <t>Lister Hospital; University of Hertfordshire</t>
  </si>
  <si>
    <t>Vasdev, N (corresponding author), Lister Hosp, Hertfordshire &amp; Bedfordshire Urol Canc Ctr, Dept Urol, Coreys Mill Lane, Stevenage SG1 4AB, England.</t>
  </si>
  <si>
    <t>nikhil.vasdev@nhs.net</t>
  </si>
  <si>
    <t>DECLARATIONS Acknowledgement We would like to thank Camillo Moschner, Robert Smyth and Roy Zhang for proofreading the article.</t>
  </si>
  <si>
    <t>OAE PUBLISHING INC</t>
  </si>
  <si>
    <t>ALHAMBRA</t>
  </si>
  <si>
    <t>245 E MAIN ST, ST122, ALHAMBRA, CA 91801 USA</t>
  </si>
  <si>
    <t>2771-0408</t>
  </si>
  <si>
    <t>ARTIF INTELL SURG</t>
  </si>
  <si>
    <t>Artif. Intell. Surg.</t>
  </si>
  <si>
    <t>10.20517/ais.2023.07</t>
  </si>
  <si>
    <t>Surgery</t>
  </si>
  <si>
    <t>G8B7V</t>
  </si>
  <si>
    <t>WOS:001318833100007</t>
  </si>
  <si>
    <t>Gao, XY; Feng, H</t>
  </si>
  <si>
    <t>Gao, Xueyuan; Feng, Hua</t>
  </si>
  <si>
    <t>AI-Driven Productivity Gains: Artificial Intelligence and Firm Productivity</t>
  </si>
  <si>
    <t>SUSTAINABILITY</t>
  </si>
  <si>
    <t>artificial intelligence; productivity; total factor productivity; technological upgrading; labor force skills</t>
  </si>
  <si>
    <t>TECHNOLOGY; INNOVATION; PATENT</t>
  </si>
  <si>
    <t>Artificial intelligence is profoundly influencing various facets of our lives, indicating its potential to significantly impact sustainability. Nevertheless, capturing the productivity gains stemming from artificial intelligence in macro-level data poses challenges, leading to the question of whether artificial intelligence is reminiscent of the Solow paradox. This study employs micro-level manufacturing data to investigate the impact of artificial intelligence on firms' productivity. The study finds that every 1% increase in artificial intelligence penetration can lead to a 14.2% increase in total factor productivity. This conclusion remains robust even after conducting endogeneity analysis and a series of robustness tests. The study identifies that the positive impact of artificial intelligence on productivity is primarily achieved through the value-added enhancement effect, skill-biased enhancement effect, and technology upgrading effect. Furthermore, the study reveals that the effects of artificial intelligence on productivity vary across different property rights and industry concentration contexts. Additionally, the structure of factor endowments within firms can also influence the productivity gains from artificial intelligence. Our study presents compelling evidence demonstrating the role of artificial intelligence in fostering economic sustainability within the framework of Industry 4.0.</t>
  </si>
  <si>
    <t>[Gao, Xueyuan; Feng, Hua] Beijing Jiaotong Univ, Sch Econ &amp; Management, Beijing 100044, Peoples R China</t>
  </si>
  <si>
    <t>Beijing Jiaotong University</t>
  </si>
  <si>
    <t>Feng, H (corresponding author), Beijing Jiaotong Univ, Sch Econ &amp; Management, Beijing 100044, Peoples R China.</t>
  </si>
  <si>
    <t>gaoxyonns@outlook.com; hfeng@bjtu.edu.cn</t>
  </si>
  <si>
    <t>Beijing Municipal Social Science Foundation [22JJA003]; Beijing Jiaotong University Education Foundation [KBRC21001532]</t>
  </si>
  <si>
    <t>Beijing Municipal Social Science Foundation; Beijing Jiaotong University Education Foundation</t>
  </si>
  <si>
    <t>This research was funded by the Beijing Municipal Social Science Foundation Research on the Construction of a Global Digital Economy Benchmark City in Beijing (No. 22JJA003) and Beijing Jiaotong University Education Foundation Research on Building a Theory System of Industrial Innovation with Chinese Characteristics (No. KBRC21001532).</t>
  </si>
  <si>
    <t>2071-1050</t>
  </si>
  <si>
    <t>SUSTAINABILITY-BASEL</t>
  </si>
  <si>
    <t>Sustainability</t>
  </si>
  <si>
    <t>10.3390/su15118934</t>
  </si>
  <si>
    <t>Green &amp; Sustainable Science &amp; Technology; Environmental Sciences; Environmental Studies</t>
  </si>
  <si>
    <t>I7WU0</t>
  </si>
  <si>
    <t>WOS:001004860700001</t>
  </si>
  <si>
    <t>Wu, J; Liu, T; Sun, JS</t>
  </si>
  <si>
    <t>Wu, Jie; Liu, Tao; Sun, Jiasen</t>
  </si>
  <si>
    <t>Impact of artificial intelligence on carbon emission efficiency: evidence from China</t>
  </si>
  <si>
    <t>ENVIRONMENTAL SCIENCE AND POLLUTION RESEARCH</t>
  </si>
  <si>
    <t>Artificial intelligence; Carbon emission efficiency; Global super-efficiency SBM model; STIRPAT model</t>
  </si>
  <si>
    <t>PRODUCTIVITY; DESIGN</t>
  </si>
  <si>
    <t>Artificial intelligence (AI) has been extensively used as a revolutionary and versatile technology in various fields. However, scholars have not given substantial consideration to the impact of AI on the environment, particularly carbon emission efficiency (CEE). This study adopts the global super-efficiency slacks-based model to evaluate CEE of 30 provinces in China from 2006 to 2019. Thereafter, the current study investigates the impact mechanism of AI on CEE using the stochastic impact of population, affluence, and technology (STIRPAT) model. The empirical analysis provides the following valuable research findings. First, AI, represented by industrial robots, can significantly improve CEE. Second, AI can enhance CEE by promoting technological innovation and upgrading industrial structures. Lastly, the relationship between AI and CEE is influenced by marketization and government intervention.</t>
  </si>
  <si>
    <t>[Wu, Jie; Liu, Tao] Univ Sci &amp; Technol China, Sch Management, Hefei 230026, Anhui, Peoples R China; [Sun, Jiasen] Soochow Univ, Sch Business &amp; Dongwu Think Tank, Suzhou 215012, Jiangsu, Peoples R China</t>
  </si>
  <si>
    <t>Chinese Academy of Sciences; University of Science &amp; Technology of China, CAS; Soochow University - China</t>
  </si>
  <si>
    <t>Sun, JS (corresponding author), Soochow Univ, Sch Business &amp; Dongwu Think Tank, Suzhou 215012, Jiangsu, Peoples R China.</t>
  </si>
  <si>
    <t>jiasen@suda.edu.cn</t>
  </si>
  <si>
    <t>Sun, Jiasen/JZD-3473-2024; Liu, Tao/AAE-6061-2019</t>
  </si>
  <si>
    <t>National Natural Science Funds of China [72371232, 72371179, 71871153, 71971203]; Four Batch Talent Programs of China; Fundamental Research Funds for the Central Universities [WK2040000027]; Anhui Philosophy and Social Science Foundation [AHSKY2021D147]; Tang Scholar of Soochow University</t>
  </si>
  <si>
    <t>National Natural Science Funds of China(National Natural Science Foundation of China (NSFC)); Four Batch Talent Programs of China; Fundamental Research Funds for the Central Universities(Fundamental Research Funds for the Central Universities); Anhui Philosophy and Social Science Foundation; Tang Scholar of Soochow University</t>
  </si>
  <si>
    <t>The work is fnancially supported by National Natural Science Funds of China (Nos. 72371232, 72371179, 71871153, 71971203), the Four Batch Talent Programs of China, the Fundamental Research Funds for the Central Universities (WK2040000027), Anhui Philosophy and Social Science Foundation (AHSKY2021D147) and the sponsorship of the Tang Scholar of Soochow University.</t>
  </si>
  <si>
    <t>0944-1344</t>
  </si>
  <si>
    <t>1614-7499</t>
  </si>
  <si>
    <t>ENVIRON SCI POLLUT R</t>
  </si>
  <si>
    <t>Environ. Sci. Pollut. Res.</t>
  </si>
  <si>
    <t>10.1007/s11356-023-31139-7</t>
  </si>
  <si>
    <t>DEC 2023</t>
  </si>
  <si>
    <t>EW8B0</t>
  </si>
  <si>
    <t>WOS:001123797700002</t>
  </si>
  <si>
    <t>Saúde, S; Barros, JP; Almeida, I</t>
  </si>
  <si>
    <t>Saude, Sandra; Barros, Joao Paulo; Almeida, Ines</t>
  </si>
  <si>
    <t>Impacts of Generative Artificial Intelligence in Higher Education: Research Trends and Students' Perceptions</t>
  </si>
  <si>
    <t>SOCIAL SCIENCES-BASEL</t>
  </si>
  <si>
    <t>bibliometric analysis; systematic literature review; generative artificial intelligence; higher education; impacts; students' perceptions</t>
  </si>
  <si>
    <t>CHATGPT</t>
  </si>
  <si>
    <t>In this paper, the effects of the rapid advancement of generative artificial intelligence (Gen AI) in higher education (HE) are discussed. A mixed exploratory research approach was employed to understand these impacts, combining analysis of current research trends and students' perceptions of the effects of Gen AI tools in academia. Through bibliometric analysis and systematic literature review, 64 publications (indexed in the SCOPUS and Web of Science databases) were examined, highlighting Gen AI's disruptive effect on the pedagogical aspects of HE. The impacts identified by the literature were compared with the perceptions held by computer science students of two different HE institutions (HEIs) on the topic. An exploratory study was developed based on the application of a questionnaire to a group of 112 students. The results suggest that while Gen AI can enhance academic work and learning feedback, it requires appropriate pedagogical support to foster critical, ethical, and digital literacy competencies. Students demonstrate awareness of both the risks and benefits associated with Gen AI in academic settings. The research concludes that failing to recognize and effectively use Gen AI in HE impedes educational progress and the adequate preparation of citizens and workers to think and act in an AI-mediated world.</t>
  </si>
  <si>
    <t>[Saude, Sandra] Polytech Inst Beja, Sch Educ, LabAT, Campus IPBeja,Rua Pedro Soares,Apartado 6155, P-7800295 Beja, Portugal; [Saude, Sandra] Univ Nova Lisboa, NOVA Interdisciplinary Ctr Social Sci, CICS, Colegio Almada Negreiros, Campus Campolide, P-1070312 Lisbon, Portugal; [Barros, Joao Paulo] Polytech Inst Beja, Sch Technol &amp; Management, LabSI2, Campus IPBeja,Rua Pedro Soares,Apartado 6155, P-7800295 Beja, Portugal; [Barros, Joao Paulo] Ctr Technol &amp; Syst UNINOVA CTS, P-2829516 Caparica, Portugal; [Barros, Joao Paulo] Associated Lab Intelligent Syst LASI, P-2829516 Caparica, Portugal; [Almeida, Ines] Univ Autonoma Lisboa, Autonoma Techlab, Pl Condes Redondo,Rua St Marta 56, P-1169023 Lisbon, Portugal</t>
  </si>
  <si>
    <t>Universidade Nova de Lisboa</t>
  </si>
  <si>
    <t>Saúde, S (corresponding author), Polytech Inst Beja, Sch Educ, LabAT, Campus IPBeja,Rua Pedro Soares,Apartado 6155, P-7800295 Beja, Portugal.;Saúde, S (corresponding author), Univ Nova Lisboa, NOVA Interdisciplinary Ctr Social Sci, CICS, Colegio Almada Negreiros, Campus Campolide, P-1070312 Lisbon, Portugal.</t>
  </si>
  <si>
    <t>ssaude@ipbeja.pt; joao.barros@ipbeja.pt; ialmeida@autonoma.pt</t>
  </si>
  <si>
    <t>Saude, Sandra/A-5246-2018; Barros, Joao Paulo/HJY-1382-2023</t>
  </si>
  <si>
    <t>Saude, Sandra/0000-0003-0935-1133; Barros, Joao Paulo/0000-0002-0097-9883</t>
  </si>
  <si>
    <t>FCT-Foundation for Science and Technology, I.P. (Portugal); CICS.NOVA-Interdisciplinary Centre of Social Sciences of Universidade Nova de Lisboa [UIDB/00066/2020/UIDP/00066/2020]; [UIDB/04647/2020]</t>
  </si>
  <si>
    <t>FCT-Foundation for Science and Technology, I.P. (Portugal)(Fundacao para a Ciencia e a Tecnologia (FCT)); CICS.NOVA-Interdisciplinary Centre of Social Sciences of Universidade Nova de Lisboa;</t>
  </si>
  <si>
    <t>This research was funded by FCT-Foundation for Science and Technology, I.P. (Portugal), within the scope of the project UIDB/04647/2020 of CICS.NOVA-Interdisciplinary Centre of Social Sciences of Universidade Nova de Lisboa and of the project UIDB/00066/2020/UIDP/00066/2020 of Center of Technology and Systems (CTS).</t>
  </si>
  <si>
    <t>2076-0760</t>
  </si>
  <si>
    <t>SOC SCI-BASEL</t>
  </si>
  <si>
    <t>Soc. Sci.-Basel</t>
  </si>
  <si>
    <t>10.3390/socsci13080410</t>
  </si>
  <si>
    <t>E7W6I</t>
  </si>
  <si>
    <t>WOS:001305073700001</t>
  </si>
  <si>
    <t>Artificial Intelligence: From Popular Myths to Risk Scenarios</t>
  </si>
  <si>
    <t>artificial intelligence; risk scenarios; informational and psychological security; ICT; malicious use of artificial intelligence</t>
  </si>
  <si>
    <t>We are living in a world of complicated relations. And if we at least have learnt (but in fact we have not) how to build relationships with people around us, the relations within the paradigm of IoT are different, to put it mildly. The fact that there are more devices connected to the internet than people, or that these devices are able to communicate themselves not involving people, still seems unusual and exotic. In the sphere of the development of artificial intelligence (AI), things are far too complicated. To start with, AI has always been a controversial idea since it was first proposed. Ambitious goals and scientific challenges have attracted scientists from different fields. They started to conduct research with varying perspectives, interests and motivations, from mysteries of human thought to the design of intelligent, thinking machines. In other words, there has always been a controversy between conducting fundamental research and creating a functional device. What's more, most people are not familiar with the concept of AI. Quite a vivid example came from the USA: only 17% of senior business leaders out of 1,500 who were asked in 2017 were familiar with the concept, despite the fact that AI is penetrating and/or transforming every sphere of our life. These changes on one hand, and the lack of clear and understandable information on the other, are the main causes of the thriving myths and anxiety around the development of AI. The proposed paper addresses such issues as the popular myths around AI and their origin and aims at debunking them. However, while we are caught up with the myths, AI is already altering the world and raising important questions for society, the economy and governments. In this paper we will discuss highly likely risk scenarios in order to understand the chain of events, think of effective strategies and optimise the efforts.</t>
  </si>
  <si>
    <t>[Polunina, Olga] Russian State Social Univ, Moscow, Russia</t>
  </si>
  <si>
    <t>Polunina, O (corresponding author), Russian State Social Univ, Moscow, Russia.</t>
  </si>
  <si>
    <t>10.34190/EAIR.21.018</t>
  </si>
  <si>
    <t>WOS:000838033200019</t>
  </si>
  <si>
    <t>Khan, K; Khurshid, A; Cifuentes-Faura, J</t>
  </si>
  <si>
    <t>Khan, Khalid; Khurshid, Adnan; Cifuentes-Faura, Javier</t>
  </si>
  <si>
    <t>Is artificial intelligence a new battleground for cybersecurity?</t>
  </si>
  <si>
    <t>Artificial intelligence; Cybersecurity; Geopolitical risk; Technology innovations; Cyberwar</t>
  </si>
  <si>
    <t>PARAMETER INSTABILITY; TESTS; INNOVATION</t>
  </si>
  <si>
    <t>This study investigates the relationship between artificial intelligence and cybersecurity in the context of geopolitical risk. The findings from the full sample indicate that there is no correlation between artificial intelligence and cybersecurity. On the other hand, the outcomes demonstrate that artificial intelligence has a significant effect on cybersecurity and vice versa for the subsamples driven by increased automation, the sophistication of cyberattacks that outpace defensive capabilities, state-sponsored threats, and tensions between global powers. These results confirm the bidirectional relationship between artificial intelligence and cybersecurity across different subsamples, which coincides with greater geopolitical tension. The results align with the diffusion of the innovation model, which states that geopolitics can influence the adoption and impact of AI innovations in cybersecurity. Therefore, the AI-cybersecurity relationship requires balanced innovation and security policies.</t>
  </si>
  <si>
    <t>[Khan, Khalid] Hengxing Univ, Int Educ Dept, Qingdao, Shandong, Peoples R China; [Khurshid, Adnan] Zhejiang Normal Univ, Coll Econ &amp; Management, Jinhua, Zhejiang, Peoples R China; [Cifuentes-Faura, Javier] Tech Univ Cartagena, Univ Ctr Def, Murcia, Spain</t>
  </si>
  <si>
    <t>Zhejiang Normal University; Universidad Politecnica de Cartagena</t>
  </si>
  <si>
    <t>Khurshid, A (corresponding author), Zhejiang Normal Univ, Coll Econ &amp; Management, Jinhua, Zhejiang, Peoples R China.;Cifuentes-Faura, J (corresponding author), Tech Univ Cartagena, Univ Ctr Def, Murcia, Spain.</t>
  </si>
  <si>
    <t>khalid.khan665@gmail.com; adnankhurshid83@gmail.com; javier.cifuentes@um.es</t>
  </si>
  <si>
    <t>; Khurshid, Adnan/HCI-7538-2022</t>
  </si>
  <si>
    <t>Cifuentes-Faura, Javier/0000-0001-6763-8525; Khurshid, Adnan/0000-0002-1598-1097</t>
  </si>
  <si>
    <t>10.1016/j.iot.2024.101428</t>
  </si>
  <si>
    <t>M2I7D</t>
  </si>
  <si>
    <t>WOS:001355831600001</t>
  </si>
  <si>
    <t>Kingston, J</t>
  </si>
  <si>
    <t>Kingston, John</t>
  </si>
  <si>
    <t>Artificial Intelligence, Knowledge Management and Human Vulnerability</t>
  </si>
  <si>
    <t>Cyber security; knowledge management; artificial intelligence; human factors; expert systems; machine learning</t>
  </si>
  <si>
    <t>Knowledge management is the art of getting the right knowledge to the right people in the right place at the right time. The potential benefits of good knowledge management for reducing the most exploited cyber security vulnerability in any organisation - its staff - could be huge. Artificial Intelligence can also have benefits for reducing human deception and error because it can deliver knowledge, whether from humans or from 'machine learning' of data patterns, to those who need it. The paper describes two different types of AI systems and concludes that both are useful at different stages of a cyber attack. Furthermore, both are capable of encoding the knowledge about cyber attacks that is necessary to deliver their benefits. It then briefly describes some knowledge management techniques before focussing on the question of how to encourage people to access the knowledge that is available from knowledge management. It proposes that a mixture of three methods should be used: training; policies; and automated alerts. Case studies are used to illustrate that different techniques are appropriate for different situations.</t>
  </si>
  <si>
    <t>[Kingston, John] Nottingham Trent Univ, Nottingham, England</t>
  </si>
  <si>
    <t>Nottingham Trent University</t>
  </si>
  <si>
    <t>Kingston, J (corresponding author), Nottingham Trent Univ, Nottingham, England.</t>
  </si>
  <si>
    <t>John.Kingston@ntu.ac.uk</t>
  </si>
  <si>
    <t>10.34190/ECIAIR.19.011</t>
  </si>
  <si>
    <t>WOS:000539633500023</t>
  </si>
  <si>
    <t>Chen, MT; Qi, C; Wu, X</t>
  </si>
  <si>
    <t>Chen, Mengting; Qi, Cong; Wu, Xuan</t>
  </si>
  <si>
    <t>Applications of Artificial Intelligence in Oceanic Nuclear Contamination Management</t>
  </si>
  <si>
    <t>2024 IEEE CONFERENCE ON ARTIFICIAL INTELLIGENCE, CAI 2024</t>
  </si>
  <si>
    <t>2nd IEEE Conference on Artificial Intelligence (CAI)</t>
  </si>
  <si>
    <t>JUN 25-27, 2024</t>
  </si>
  <si>
    <t>Singapore, SINGAPORE</t>
  </si>
  <si>
    <t>Inst Elect &amp; Elect Engineers,IEEE Comp Soc,Hewlett Packard Enterprise,Adv Micro Devices,Dell Technologies,Agcy Sci, Technol &amp; Res,Chen Inst,Alibaba Cloud,Cerebras,Inst Singapore Chartered Accountants,Chongqing Jiaotong Univ,Infocomm Media Dev Author,IEEE Computat Intelligence Soc,IEEE Systems, Man, &amp; Cybernet Soc,IEEE Signal Proc Soc</t>
  </si>
  <si>
    <t>Artificial Intelligence; Oceanic Nuclear Contamination</t>
  </si>
  <si>
    <t>Recently, nuclear pollution in the ocean has become a hot debate. The unprecedented advancement of Artificial Intelligence (AI) has engendered practical applications for addressing environmental issues such as nuclear contamination in oceans. AI algorithms and applications have been widely studied in multiple scientific fields, however, the research on marine science, especially oceanic nuclear contamination is limited. To fill in the gap in the related field, this paper introduces four major categories of AI technologies in oceanic nuclear contamination management, explores their applications in six companies/institutions across three leading countries, and compares the similarity and differences among them. It is found that UK, Japan, and China mainly use robots or drones for nuclear contamination management, and rely heavily on state fundings and the scientific output from research institutions. On the other hand, different countries have various objectives and motivations to drive AI in this area. What is more, we found that although most traditional big IT companies have not clearly stated the usage of AI in marine pollution, the need to diminish the impacts of nuclear pollution in oceans will inevitably urge new applications of AI in oceanic nuclear contamination.</t>
  </si>
  <si>
    <t>[Chen, Mengting; Qi, Cong; Wu, Xuan] Hong Kong Polytech Univ, Fac Business, Hong Kong, Peoples R China</t>
  </si>
  <si>
    <t>Hong Kong Polytechnic University</t>
  </si>
  <si>
    <t>Chen, MT (corresponding author), Hong Kong Polytech Univ, Fac Business, Hong Kong, Peoples R China.</t>
  </si>
  <si>
    <t>tracymengting.chen@connect.polyu.hk; cong.qi@polyu.edu.hk; isabellal25.wu@connect.polyu.hk</t>
  </si>
  <si>
    <t>979-8-3503-5410-2; 979-8-3503-5409-6</t>
  </si>
  <si>
    <t>10.1109/CAI59869.2024.00046</t>
  </si>
  <si>
    <t>BX4GU</t>
  </si>
  <si>
    <t>WOS:001289387700038</t>
  </si>
  <si>
    <t>Hashfi, MI; Raharjo, T</t>
  </si>
  <si>
    <t>Hashfi, Muhammad Irfan; Raharjo, Teguh</t>
  </si>
  <si>
    <t>Exploring the Challenges and Impacts of Artificial Intelligence Implementation in Project Management: A Systematic Literature Review</t>
  </si>
  <si>
    <t>INTERNATIONAL JOURNAL OF ADVANCED COMPUTER SCIENCE AND APPLICATIONS</t>
  </si>
  <si>
    <t>-Artificial intelligence; project management; PMBOK process groups; challenge; impact</t>
  </si>
  <si>
    <t>This paper presents a systematic literature review (SLR) investigating the challenges and impacts of implementing artificial intelligence (AI) in project management, specifically mapping them into the process groups defined in the Project Management Body of Knowledge (PMBOK). The study aims to contribute to the understanding of integrating AI in project management and provides insights into the challenges and impacts within each process group. The SLR methodology was applied, and a total of 34 scientific articles were analyzed. The results and analysis reveal the specific challenges and impacts within each process group. In the Initiating Process Group, AI tools and analysis techniques address challenges in risk assessment, cost prediction, and decision-making. The Planning process group benefits from various tools and methodologies that improve risk assessment, project selection, cost estimation, resource allocation, and decision-making. The Execution process group emphasizes the importance of advanced tools and techniques in enhancing productivity, resource utilization, cost reduction, and decision-making. The Monitoring and Controlling process group demonstrates the potential of advanced tools in achieving efficiency, cost reduction, improved quality, and informed decision-making. Lastly, the Closing process group emphasizes the importance of utilizing advanced tools to minimize waste, optimize resource utilization, reduce costs, improve quality, and project closure success. Overall, this research provides valuable insights and strategies for organizations seeking to implement AI in project management, thereby enhancing the potential for success within the PMBOK Process Group.</t>
  </si>
  <si>
    <t>[Hashfi, Muhammad Irfan; Raharjo, Teguh] Univ Indonesia, Fac Comp Sci, Salemba 10430, Indonesia</t>
  </si>
  <si>
    <t>University of Indonesia</t>
  </si>
  <si>
    <t>Hashfi, MI (corresponding author), Univ Indonesia, Fac Comp Sci, Salemba 10430, Indonesia.</t>
  </si>
  <si>
    <t>SCIENCE &amp; INFORMATION SAI ORGANIZATION LTD</t>
  </si>
  <si>
    <t>WEST YORKSHIRE</t>
  </si>
  <si>
    <t>19 BOLLING RD, BRADFORD, WEST YORKSHIRE, 00000, ENGLAND</t>
  </si>
  <si>
    <t>2158-107X</t>
  </si>
  <si>
    <t>2156-5570</t>
  </si>
  <si>
    <t>INT J ADV COMPUT SC</t>
  </si>
  <si>
    <t>Int. J. Adv. Comput. Sci. Appl.</t>
  </si>
  <si>
    <t>T9RC2</t>
  </si>
  <si>
    <t>WOS:001081273100001</t>
  </si>
  <si>
    <t>Bataev, A; Zaborovskaia, O; Gorovoy, A</t>
  </si>
  <si>
    <t>Bataev, Alexey; Zaborovskaia, Olga; Gorovoy, Alexandr</t>
  </si>
  <si>
    <t>Innovative Approaches in Russian Education: a Model of Adaptive Learning Process Based on Artificial Intelligence</t>
  </si>
  <si>
    <t>information technology management; educational process; systems with artificial intelligence; adaptive learning; modelling; higher educational institutions</t>
  </si>
  <si>
    <t>EVOLUTION</t>
  </si>
  <si>
    <t>Nowadays, one of the most promising technologies is artificial intelligence systems capable of providing new, high-quality control in all areas, including education. The paper discusses the possibility of using artificial intelligence in education. In this regard, a large-scale study of the global market for artificial intelligence systems was carried out. The size of the artificial intelligence market was determined, the growth rates were estimated, and a comparative assessment with the growth rates of the entire global IT market was made; the main players were identified. The future development of the global artificial intelligence market was determined on the basis of the conducted study. Particular attention is paid to the development of the Russian artificial intelligence market; comparative analysis with the global market is carried out. The strengths and weaknesses of the Russian artificial intelligence market were identified on the basis of this study. Large-scale research on the global and Russian markets for technologies in this area has allowed identifying the main promising areas of using artificial intelligence. One of these areas is education, which is one of the five leaders in its ability to increase factor productivity. Based on the analysis of using artificial intelligence in the field of education, it was revealed that adaptive learning is one of the most promising areas. In this regard, the model of adaptive learning at higher education institutions, using artificial intelligence technologies was considered. This model includes a pedagogical model, a student model, a domain model, a social model, an emotional state model, and a meta-cognitive model. The formation of adaptive learning on the basis of artificial intelligence technology allows setting for the learner an individual plan of study both for a separate subject, and education as a whole, by individualizing the learning process in accordance with the abilities and capabilities of each student.</t>
  </si>
  <si>
    <t>[Bataev, Alexey] Peter Great St Petersburg Polytech Univ, St Petersburg, Russia; [Zaborovskaia, Olga] State Inst Econ Finance Law &amp; Technol, Gatchina, Russia; [Gorovoy, Alexandr] St Petersburg Natl Res Univ Informat Technol, St Petersburg, Russia</t>
  </si>
  <si>
    <t>Peter the Great St. Petersburg Polytechnic University; ITMO University</t>
  </si>
  <si>
    <t>Bataev, A (corresponding author), Peter Great St Petersburg Polytech Univ, St Petersburg, Russia.</t>
  </si>
  <si>
    <t>bat_a68@mail.ru; ozabor@mail.ru; gorovoy@limtu.ru</t>
  </si>
  <si>
    <t>10.34190/ECIAIR.19.009</t>
  </si>
  <si>
    <t>WOS:000539633500004</t>
  </si>
  <si>
    <t>Chang, JH; Wang, CJ; Zhong, HX; Weng, HC; Zhou, YK; Ong, HY; Lai, CF</t>
  </si>
  <si>
    <t>Chang, Jui-Hung; Wang, Chi-Jane; Zhong, Hua-Xu; Weng, Hsiu-Chen; Zhou, Yu-Kai; Ong, Hoe-Yuan; Lai, Chin-Feng</t>
  </si>
  <si>
    <t>Artificial intelligence learning platform in a visual programming environment: exploring an artificial intelligence learning model</t>
  </si>
  <si>
    <t>ETR&amp;D-EDUCATIONAL TECHNOLOGY RESEARCH AND DEVELOPMENT</t>
  </si>
  <si>
    <t>Artificial intelligence; Cognitive style; Computational thinking; Self-regulated learning; Learning platform</t>
  </si>
  <si>
    <t>COMPUTATIONAL THINKING; COGNITIVE-STYLE; ACADEMIC-ACHIEVEMENT; PERFORMANCE; TECHNOLOGIES; PERSPECTIVE; VALIDATION; VARIABLES; LANGUAGES; EDUCATION</t>
  </si>
  <si>
    <t>Amidst the rapid advancement in the application of artificial intelligence learning, questions regarding the evaluation of students' learning status and how students without relevant learning foundation on this subject can be trained to familiarize themselves in the field of artificial intelligence are important research topics. This study employed the use of a self-built AI platform (Ladder) for students to systematically learn and apply AI learning model established by the partial least squares (PLS) method to investigate the influence between variables (learning attitudes, self-regulated learning, AI anxiety, individual impact, computational thinking abilities, cognitive styles). This study was particularly conducted in the Department of Computer Science and Information Engineering of a top national university in Southern Taiwan. The valid data were collected from 65 students (55 male students; 10 female students). Furthermore, this study demonstrated the relationship between cognitive style, self-regulated learning and computational thinking. For the first time, it explored the impact of AI anxiety and completed existing research on it. The results of this study show that interest in learning positively affects learning attitudes. In addition, learning attitudes have a positive influence on each individual's performance. Based on multiple theories and the artificial intelligence learning platform, the model proposed in this study effectively understood students' learning status.</t>
  </si>
  <si>
    <t>[Chang, Jui-Hung] Natl Cheng Kung Univ, Comp &amp; Network Ctr, Dept Comp Sci &amp; Informat Engn, 1 Univ Rd, Tainan 701, Taiwan; [Wang, Chi-Jane] Natl Cheng Kung Univ, Coll Med, Dept Nursing, 1 Univ Rd, Tainan 701, Taiwan; [Zhong, Hua-Xu; Lai, Chin-Feng] Natl Cheng Kung Univ, Dept Engn Sci, 1 Univ Rd, Tainan 701, Taiwan; [Weng, Hsiu-Chen; Zhou, Yu-Kai; Ong, Hoe-Yuan] Natl Cheng Kung Univ, Dept Comp Sci &amp; Informat Engn, 1 Univ Rd, Tainan 701, Taiwan</t>
  </si>
  <si>
    <t>National Cheng Kung University; National Cheng Kung University; National Cheng Kung University; National Cheng Kung University</t>
  </si>
  <si>
    <t>Lai, CF (corresponding author), Natl Cheng Kung Univ, Dept Engn Sci, 1 Univ Rd, Tainan 701, Taiwan.</t>
  </si>
  <si>
    <t>changrh@ncku.edu.tw; w49110@mail.ncku.edu.tw; k43122003@gmail.com; tristaxj35@gmail.com; b94dg010@gmail.com; onghoeyuan0214@outlook.com; nckucfssci@gmail.com</t>
  </si>
  <si>
    <t>Wang, Chi-Jane/AAW-4782-2021; Lai, Chin-Feng/IAP-5353-2023</t>
  </si>
  <si>
    <t>Lai, Chin-Feng/0000-0001-7138-0272</t>
  </si>
  <si>
    <t>National Science and Technology Council [NSTC 112-2221-E-006-164 -, MOST 110-2511-H-006 -011 -MY3, MOST 109-2511-H-006-004-MY3, MOST 112-2917-I-006-018]; National Science and Technology Council of Taiwan, ROC</t>
  </si>
  <si>
    <t>National Science and Technology Council; National Science and Technology Council of Taiwan, ROC</t>
  </si>
  <si>
    <t>We thank the anonymous reviewers for their constructive comments. This research work was supported in part by the National Science and Technology Council of Taiwan, ROC. (NSTC 112-2221-E-006-164 -, MOST 110-2511-H-006 -011 -MY3, MOST 109-2511-H-006-004-MY3, and MOST 112-2917-I-006-018)</t>
  </si>
  <si>
    <t>1042-1629</t>
  </si>
  <si>
    <t>1556-6501</t>
  </si>
  <si>
    <t>ETR&amp;D-EDUC TECH RES</t>
  </si>
  <si>
    <t>ETR&amp;D-Educ. Tech. Res. Dev.</t>
  </si>
  <si>
    <t>10.1007/s11423-023-10323-z</t>
  </si>
  <si>
    <t>QV8E3</t>
  </si>
  <si>
    <t>WOS:001110763000001</t>
  </si>
  <si>
    <t>Fischetti, C; Bhatter, P; Frisch, E; Sidhu, A; Helmy, M; Lungren, M; Duhaime, E</t>
  </si>
  <si>
    <t>Fischetti, Chanel; Bhatter, Param; Frisch, Emily; Sidhu, Amreet; Helmy, Mohammad; Lungren, Matt; Duhaime, Erik</t>
  </si>
  <si>
    <t>The Evolving Importance of Artificial Intelligence and Radiology in Medical Trainee Education</t>
  </si>
  <si>
    <t>Artificial intelligence; Medical education; Radiology</t>
  </si>
  <si>
    <t>SCHOOL; EXPERIENCE; COVID-19</t>
  </si>
  <si>
    <t>Radiology education is understood to be an important component of medical school and resident training, yet lacks a standardization of instruction. The lack of uniformity in both how radiology is taught and learned has afforded opportunities for new technologies to intervene. Now with the integration of artificial intelligence within medicine, it is likely that the current medical trainee curricula will experience the impact it has to offer both for education and medical practice. In this paper, we seek to investigate the landscape of radiologic education within the current medical trainee curricula, and also to understand how artificial intelligence may potentially impact the current and future radiologic education model.</t>
  </si>
  <si>
    <t>[Fischetti, Chanel] Brigham &amp; Womens Dept Emergency Med, 75 Francis St.Neville House, Boston, MA 02115 USA; [Bhatter, Param; Frisch, Emily; Helmy, Mohammad] UC Irvine, Sch Med, Irvine, CA USA; [Sidhu, Amreet] St Mary Mercy Hosp, Dept Internal Med, Livonia, MI USA; [Lungren, Matt] Stanford Univ Med Ctr, Stanford, CA USA; [Lungren, Matt] Dept Radiol, Stan ford Ctr Artificial Intelligence Med &amp; Imagi, Stanford, CA USA; [Duhaime, Erik] Centaur Labs Diagnost Inc, Boston, MA USA</t>
  </si>
  <si>
    <t>University of California System; University of California Irvine; Stanford University; Stanford Medicine</t>
  </si>
  <si>
    <t>Fischetti, C (corresponding author), Brigham &amp; Womens Dept Emergency Med, 75 Francis St.Neville House, Boston, MA 02115 USA.</t>
  </si>
  <si>
    <t>cfischetti@bwh.hardvard.edu</t>
  </si>
  <si>
    <t>Fischetti, Chanel/AAB-5936-2021</t>
  </si>
  <si>
    <t>Frisch, Emily/0000-0002-8049-6434; Fischetti, Chanel/0000-0002-5959-5614</t>
  </si>
  <si>
    <t>S70</t>
  </si>
  <si>
    <t>S75</t>
  </si>
  <si>
    <t>10.1016/j.acra.2021.03.023</t>
  </si>
  <si>
    <t>1A5UA</t>
  </si>
  <si>
    <t>WOS:000791820300012</t>
  </si>
  <si>
    <t>Pinheiro, AB; Pinto, AS; Abreu, A; Costa, E; Borges, I</t>
  </si>
  <si>
    <t>DeCarvalho, JV; Rocha, A; Liberato, P; Pena, A</t>
  </si>
  <si>
    <t>Pinheiro, Arnaldo Borges; Pinto, Agostinho Sousa; Abreu, Antonio; Costa, Eusebio; Borges, Isabel</t>
  </si>
  <si>
    <t>The Impact of Artificial Intelligence on the Tourism Industry: A Systematic Review</t>
  </si>
  <si>
    <t>ADVANCES IN TOURISM, TECHNOLOGY AND SYSTEMS, VOL 1</t>
  </si>
  <si>
    <t>International Conference on Tourism, Technology and Systems (ICOTTS)</t>
  </si>
  <si>
    <t>NOV 04-06, 2021</t>
  </si>
  <si>
    <t>Univ Cartagena, Cartagena, COLOMBIA</t>
  </si>
  <si>
    <t>Univ Cartagena</t>
  </si>
  <si>
    <t>Tourism; Artificial intelligence; Intelligent systems; Systematic review</t>
  </si>
  <si>
    <t>INFORMATION-TECHNOLOGY</t>
  </si>
  <si>
    <t>The travel and tourism industry are one of the most important in the service industry, occupying one in ten jobs worldwide and with more than 10% of the GDP of the global economy. The existing synergistic interaction with technology has been transforming the industry, observing for several years a constant adaptation to technological developments. Due to its importance and given the proliferation of intelligent systems, successfully applied in other industries, it has raised interest in studying the impact that the latest technology, based on Artificial Intelligence, has had as a strategic tool for tourism. Due to the absence of any study so far, as far as we are aware, a Systematic Literature Review was developed, in order to evaluate and interpret all relevant research available, through case studies or empirical research, which would allow to study what is being done at the level of academic or professional research and evaluate its impact on industry.</t>
  </si>
  <si>
    <t>[Pinheiro, Arnaldo Borges] Inst Politecn Gestao &amp; Tecnol, Rua Cabo Borges, P-4430646 VN Gaia, Portugal; [Pinto, Agostinho Sousa; Abreu, Antonio] CEOS Polytech Porto, Rua Jaime Lopes Amorim, Sao Mamede de Infesta, Portugal; [Costa, Eusebio; Borges, Isabel] Inst Estudos Super Fafe, Rua Univ, P-4824909 Fafe, Portugal</t>
  </si>
  <si>
    <t>Instituto Politecnico do Porto; Universidade do Porto; Centre for Organisational &amp; Social Studies of the Polytechnic Institute of Porto (CEOS.PP)</t>
  </si>
  <si>
    <t>Pinto, AS (corresponding author), CEOS Polytech Porto, Rua Jaime Lopes Amorim, Sao Mamede de Infesta, Portugal.</t>
  </si>
  <si>
    <t>arnaldo.pinheiro@islagaia.pt; apinto@iscap.ipp.pt; aabreu@iscap.ipp.pt; eusebiocosta@iesfafe.pt; isabelsantana@iesfafe.pt</t>
  </si>
  <si>
    <t>Abreu, Antonio/AAW-8047-2021; Ferreira da Costa, Eusebio/B-6218-2017; Sousa Pinto, Agostinho/A-5004-2016</t>
  </si>
  <si>
    <t>Borges, Isabel/0000-0003-4183-475X; Ferreira da Costa, Eusebio/0000-0003-4167-2455; Abreu, Antonio/0000-0001-5958-9188; Borges Pinheiro, Arnaldo/0000-0001-7583-3662; Sousa Pinto, Agostinho/0000-0003-1454-030X</t>
  </si>
  <si>
    <t>978-981-33-4256-9; 978-981-33-4255-2</t>
  </si>
  <si>
    <t>10.1007/978-981-33-4256-9_42</t>
  </si>
  <si>
    <t>Computer Science, Artificial Intelligence; Hospitality, Leisure, Sport &amp; Tourism; Public, Environmental &amp; Occupational Health; Management</t>
  </si>
  <si>
    <t>Computer Science; Social Sciences - Other Topics; Public, Environmental &amp; Occupational Health; Business &amp; Economics</t>
  </si>
  <si>
    <t>BS7DL</t>
  </si>
  <si>
    <t>WOS:000759163000042</t>
  </si>
  <si>
    <t>Jen, SL; Salam, AR</t>
  </si>
  <si>
    <t>Jen, Shirley Ling; Salam, Abdul Rahim</t>
  </si>
  <si>
    <t>Using Artificial Intelligence for Essay Writing</t>
  </si>
  <si>
    <t>Artificial Intelligence; systematic literature review; technology in education; essay writing; ChatGPT; student-centred activities</t>
  </si>
  <si>
    <t>This study hopes to bring insights for researchers and educators in using artificial intelligence for essay writing through a systematic review on the use of AI in writing for the past 10 years. Although Artificial Intelligence has long existed in other fields such as medicine, engineering, journalism, and forensic analysis, it has only made a great impact in the education field after the emergence of ChatGPT. Generative Artificial Intelligence is seen as a tool that can assist teachers and students in academics such as generating ideas, evaluating essays, storytelling, and providing feedback. It has even been considered as the co- author in students' manuscripts and essays. However, there are still lack of studies on the usage of Artificial Intelligence in developing students' essay writing performance. Thus, this study hopes to enlighten researchers and educators in using Artificial Intelligence tools in improving students' essay writing performance. This study will provide insights for researchers and teachers on the different types of artificial intelligence tools that can be used in teaching essay writing. It also provides areas that researchers can focus on since majority of the studies are conducted overseas and only two studies are carried out in Malaysia so far. Hopefully, this study will provide useful information for language teachers in using artificial intelligence tools in teaching essay writing to students.</t>
  </si>
  <si>
    <t>[Jen, Shirley Ling; Salam, Abdul Rahim] Univ Teknol Malaysia, Language Acad, Fac Social Sci &amp; Humanities, Skudai, Johor, Malaysia</t>
  </si>
  <si>
    <t>Universiti Teknologi Malaysia</t>
  </si>
  <si>
    <t>Jen, SL (corresponding author), Univ Teknol Malaysia, Language Acad, Fac Social Sci &amp; Humanities, Skudai, Johor, Malaysia.</t>
  </si>
  <si>
    <t>lingjen81@yahoo.com</t>
  </si>
  <si>
    <t>SALAM, ABDUL/B-3986-2018</t>
  </si>
  <si>
    <t>JEN, SHIRLEY LING/0000-0003-4363-5690</t>
  </si>
  <si>
    <t>10.24093/awej/ChatGPT.5</t>
  </si>
  <si>
    <t>WOS:001245053900006</t>
  </si>
  <si>
    <t>Bertaina, S; Biganzoli, I; Desiante, R; Fontanella, D; Inverardi, N; Penco, IG; Cosentini, AC</t>
  </si>
  <si>
    <t>Bertaina, Samuele; Biganzoli, Ilaria; Desiante, Rachele; Fontanella, Dario; Inverardi, Nicole; Penco, Ilaria Giuseppina; Cosentini, Andrea Claudio</t>
  </si>
  <si>
    <t>Fundamental rights and artificial intelligence impact assessment: A new quantitative methodology in the upcoming era of AI Act</t>
  </si>
  <si>
    <t>COMPUTER LAW &amp; SECURITY REVIEW</t>
  </si>
  <si>
    <t>AI risk assessment; Fundamental rights; Artificial intelligence Act; AI ethics; Trustworthy AI; Fairness</t>
  </si>
  <si>
    <t>The EU Artificial Intelligence Act requires that deployers of Artificial Intelligence (AI) systems perform a Fundamental Rights Impact Assessment (FRIA) for some high-risk AI systems identified in Art. 27 of the regulation. The aim of this work is to offer a comprehensive framework to assess the impact of AI systems on Fundamental Rights (FR) of individuals. In a nutshell, the assessment approach that we propose consists of two stages: (1) an open-ended questionnaire that helps gather the contextual information and the technical features, in order to properly identify potential threats for FR, and (2) a quantitative matrix that considers each right guaranteed by the European Charter of Fundamentals Rights and tries to measure the potential impacts with a traceable and robust procedure. In light of an increasingly pervasive use of AI systems and considering the specificity of such technologies, we believe that a structured and quantitative process for assessing the impact on FR of individuals is still lacking and could be of great importance in discovering and remedying possible violations. Indeed, the proposed framework could allow to: (1) be accountable and transparent in assessing the risks of implementing AI systems that affect people; (2) gain insights to understand if any right is threatened or any group of people is more vulnerable; (3) put in place, if necessary, remediation strategies before the deployment of AI systems through demonstrable mitigative actions, with the aim of being compliant with the regulation and limiting reputational damage.</t>
  </si>
  <si>
    <t>[Bertaina, Samuele; Biganzoli, Ilaria; Desiante, Rachele; Fontanella, Dario; Inverardi, Nicole; Penco, Ilaria Giuseppina; Cosentini, Andrea Claudio] Intesa Sanpaolo SpA, Data Sci &amp; Artificial Intelligence, Turin, Italy</t>
  </si>
  <si>
    <t>Intesa Sanpaolo Bank</t>
  </si>
  <si>
    <t>Inverardi, N (corresponding author), Intesa Sanpaolo SpA, Data Sci &amp; Artificial Intelligence, Turin, Italy.</t>
  </si>
  <si>
    <t>samuele.bertaina@intesasanpaolo.com; ilaria.biganzoli@intesasanpaolo.com; rachele.desiante@intesasanpaolo.com; dario.fontanella@intesasanpaolo.com; nicole.inverardi@intesasanpaolo.com; ilaria.penco@intesasanpaolo.com; andrea.cosentini@intesasanpaolo.com</t>
  </si>
  <si>
    <t>Bertaina, Samuele/0009-0004-9201-8781; Inverardi, Nicole/0009-0006-0048-7455</t>
  </si>
  <si>
    <t>ELSEVIER ADVANCED TECHNOLOGY</t>
  </si>
  <si>
    <t>OXFORD FULFILLMENT CENTRE THE BOULEVARD, LANGFORD LANE, KIDLINGTON, OXFORD OX5 1GB, OXON, ENGLAND</t>
  </si>
  <si>
    <t>0267-3649</t>
  </si>
  <si>
    <t>COMPUT LAW SECUR REV</t>
  </si>
  <si>
    <t>Comput. Law Secur. Rev.</t>
  </si>
  <si>
    <t>10.1016/j.clsr.2024.106101</t>
  </si>
  <si>
    <t>S6J0O</t>
  </si>
  <si>
    <t>WOS:001399250000001</t>
  </si>
  <si>
    <t>Duran, HT; Kingeter, M; Reale, C; Weinger, MB; Salwei, ME</t>
  </si>
  <si>
    <t>Duran, Huong-Tram; Kingeter, Meredith; Reale, Carrie; Weinger, Matthew B.; Salwei, Megan E.</t>
  </si>
  <si>
    <t>Decision-making in anesthesiology: will artificial intelligence make intraoperative care safer?</t>
  </si>
  <si>
    <t>CURRENT OPINION IN ANESTHESIOLOGY</t>
  </si>
  <si>
    <t>anesthesiology; artificial intelligence; decision-making; safety</t>
  </si>
  <si>
    <t>NONROUTINE EVENTS; PREVALENCE; VIGILANCE; SUPPORT</t>
  </si>
  <si>
    <t>Purpose of review: This article explores the impact of recent applications of artificial intelligence on clinical anesthesiologists' decision-making. Recent findings: Naturalistic decision-making, a rich research field that aims to understand how cognitive work is accomplished in complex environments, provides insight into anesthesiologists' decision processes. Due to the complexity of clinical work and limits of human decision-making (e.g. fatigue, distraction, and cognitive biases), attention on the role of artificial intelligence to support anesthesiologists' decision-making has grown. Artificial intelligence, a computer's ability to perform human-like cognitive functions, is increasingly used in anesthesiology. Examples include aiding in the prediction of intraoperative hypotension and postoperative complications, as well as enhancing structure localization for regional and neuraxial anesthesia through artificial intelligence integration with ultrasound. Summary: To fully realize the benefits of artificial intelligence in anesthesiology, several important considerations must be addressed, including its usability and workflow integration, appropriate level of trust placed on artificial intelligence, its impact on decision-making, the potential de-skilling of practitioners, and issues of accountability. Further research is needed to enhance anesthesiologists' clinical decision-making in collaboration with artificial intelligence.</t>
  </si>
  <si>
    <t>[Duran, Huong-Tram] Univ Pittsburgh, Med Ctr, Pittsburgh, PA USA; [Kingeter, Meredith; Reale, Carrie; Weinger, Matthew B.; Salwei, Megan E.] Vanderbilt Univ, Med Ctr, Nashville, TN USA; [Duran, Huong-Tram] Univ Pittsburgh, Med Ctr, 1400 Locust St,Suite 2192, Pittsburgh, PA 15216 USA</t>
  </si>
  <si>
    <t>Pennsylvania Commonwealth System of Higher Education (PCSHE); University of Pittsburgh; Vanderbilt University; Pennsylvania Commonwealth System of Higher Education (PCSHE); University of Pittsburgh</t>
  </si>
  <si>
    <t>Duran, HT (corresponding author), Univ Pittsburgh, Med Ctr, 1400 Locust St,Suite 2192, Pittsburgh, PA 15216 USA.</t>
  </si>
  <si>
    <t>Duranhh@upmc.edu</t>
  </si>
  <si>
    <t>Salwei, Megan/ABB-7727-2020; Reale, Carrie/LVS-1651-2024</t>
  </si>
  <si>
    <t>Agency for Healthcare Research and Quality (AHRQ) [R18HS26158, K01HS029042]</t>
  </si>
  <si>
    <t>Agency for Healthcare Research and Quality (AHRQ)(United States Department of Health &amp; Human ServicesAgency for Healthcare Research &amp; Quality)</t>
  </si>
  <si>
    <t>This research was made possible by funding from the Agency for Healthcare Research and Quality (AHRQ) grants R18HS26158 (M.B.W., PI) and K01HS029042(M.E.S., PI). The content is solely the responsibility of the authors and does not necessarily represent the official views of the AHRQ. The authors are members of the Simulation Assessment Research Group (SARG, www.vumc.org/sarg) and the support of the following individuals is recognized: David Gaba, Laura Militello, Shilo Anders, Jason Slagle, Amanda Burden, Arna Banerjee, Lisa Sinz, Bill McIvor, Michael Andreae, John Rask, Jeff Cooper, Laurence Torsher, Adam Levine, Jack Boulet, Randy Steadman, &amp; Huaping Sun.</t>
  </si>
  <si>
    <t>0952-7907</t>
  </si>
  <si>
    <t>1473-6500</t>
  </si>
  <si>
    <t>CURR OPIN ANESTHESIO</t>
  </si>
  <si>
    <t>Curr. Opin. Anesthesiol.</t>
  </si>
  <si>
    <t>10.1097/ACO.0000000000001318</t>
  </si>
  <si>
    <t>Anesthesiology</t>
  </si>
  <si>
    <t>GD2T4</t>
  </si>
  <si>
    <t>WOS:001150669500010</t>
  </si>
  <si>
    <t>Antonelli, G; Badalamenti, M; Hassan, C; Repici, A</t>
  </si>
  <si>
    <t>Antonelli, Giulio; Badalamenti, Matteo; Hassan, Cesare; Repici, Alessandro</t>
  </si>
  <si>
    <t>Impact of artificial intelligence on colorectal polyp detection</t>
  </si>
  <si>
    <t>BEST PRACTICE &amp; RESEARCH CLINICAL GASTROENTEROLOGY</t>
  </si>
  <si>
    <t>Artificial intelligence; CADe system; Adenoma detection rate; Colonoscopy</t>
  </si>
  <si>
    <t>ADENOMA DETECTION; COLONOSCOPY; RISK; CANCER; SYSTEM</t>
  </si>
  <si>
    <t>Since colonoscopy and polypectomy were introduced, Colorectal Cancer (CRC) incidence and mortality decreased significantly. Although we have entered the era of quality measurement and improvement, literature shows that a considerable amount of colorectal neoplasia is still missed by colonoscopists up to 25%, leading to an high rate of interval colorectal cancer that account for nearly 10% of all diagnosed CRC. Two main reasons have been recognised: recognition failure and mucosal exposure. For this purpose, Artificial Intelligence (AI) systems have been recently developed that identify a hot area during the endoscopic examination. In retrospective studies, where the systems are tested with a batch of unknown images, deep learning systems have shown very good performances, with high levels of accuracy. Of course, this setting may not reflect actual clinical practice where different pitfalls can occur, like sub -optimal bowel preparation or poor examination technique. For this reason, a number of randomised clinical trials have recently been published where AI was tested in real time during endoscopic exami-nations. We present here an overview on recent literature addressing the performance of Computer Assisted Detection (CADe) of colorectal polyps in colonoscopy. (c) 2020 Elsevier Ltd. All rights reserved.</t>
  </si>
  <si>
    <t>[Antonelli, Giulio; Hassan, Cesare] Nuovo Regina Margherita Hosp, Gastroenterol Unit, Rome, Italy; [Badalamenti, Matteo; Repici, Alessandro] Humanitas Clin &amp; Res Ctr IRCCS, Div Gastroenterol, Digest Endoscopy Unit, I-20089 Rozzano, Italy; [Repici, Alessandro] Humanitas Univ, Dept Biomed Sci, Pieve Emanuele, MI, Italy</t>
  </si>
  <si>
    <t>Poliambulatorio Nuovo Regina Margherita</t>
  </si>
  <si>
    <t>Badalamenti, M (corresponding author), Humanitas Clin &amp; Res Ctr IRCCS, Div Gastroenterol, Digest Endoscopy Unit, I-20089 Rozzano, Italy.</t>
  </si>
  <si>
    <t>badalamenti.matteo@gmail.com</t>
  </si>
  <si>
    <t>; hassan, cesare/H-2844-2012; Repici, Alessandro/HFH-8162-2022</t>
  </si>
  <si>
    <t>Badalamenti, Matteo/0000-0002-9543-9862; Antonelli, Giulio/0000-0003-1797-3864; hassan, cesare/0000-0001-7167-1459; Repici, Alessandro/0000-0002-1621-6450</t>
  </si>
  <si>
    <t>1521-6918</t>
  </si>
  <si>
    <t>1532-1916</t>
  </si>
  <si>
    <t>BEST PRACT RES CL GA</t>
  </si>
  <si>
    <t>Best Pract. Res. Clin. Gastroenterol.</t>
  </si>
  <si>
    <t>JUN-AUG</t>
  </si>
  <si>
    <t>52-53</t>
  </si>
  <si>
    <t>10.1016/j.bpg.2020.101713</t>
  </si>
  <si>
    <t>SX0UM</t>
  </si>
  <si>
    <t>WOS:000664928200004</t>
  </si>
  <si>
    <t>Winkelman, J; Nguyen, D; vanSonnenberg, E; Kirk, A; Lieberman, S</t>
  </si>
  <si>
    <t>Winkelman, Jeremy; Nguyen, Diep; vanSonnenberg, Eric; Kirk, Alison; Lieberman, Steven</t>
  </si>
  <si>
    <t>Artificial Intelligence (AI) in pediatric endocrinology</t>
  </si>
  <si>
    <t>JOURNAL OF PEDIATRIC ENDOCRINOLOGY &amp; METABOLISM</t>
  </si>
  <si>
    <t>AI; Artificial Intelligence; pediatric endocrinology; review</t>
  </si>
  <si>
    <t>DIABETIC-RETINOPATHY; YOUNG-ADULTS; CHILDREN; TYPE-1; ADOLESCENTS; PERFORMANCE; GROWTH; AGE</t>
  </si>
  <si>
    <t>Artificial Intelligence is integrating itself throughout the medical community. AI's ability to analyze complex patterns and interpret large amounts of data will have considerable impact on all areas of medicine, including pediatric endocrinology. In this paper, we review and update the current studies of AI in pediatric endocrinology. Specific topics that are addressed include: diabetes management, bone growth, metabolism, obesity, and puberty. Becoming knowledgeable and comfortable with AI will assist pediatric endocrinologists, the goal of the paper.</t>
  </si>
  <si>
    <t>[Winkelman, Jeremy] Univ Arizona, Coll Med Phoenix, MS4,HSEB Bldg C523,475 N 5th St, Phoenix, AZ 85004 USA; [Nguyen, Diep; vanSonnenberg, Eric; Kirk, Alison; Lieberman, Steven] Univ Arizona, Coll Med Phoenix, Phoenix, AZ USA; [vanSonnenberg, Eric] Univ Arizona, Dept Radiol, Coll Med Phoenix, Phoenix, AZ USA; [Kirk, Alison] Univ Arizona, Coll Med Phoenix, Pediat, Phoenix, AZ USA; [Lieberman, Steven] Univ Arizona, Coll Med Phoenix, Div Endocrinol, Internal Med, Phoenix, AZ USA</t>
  </si>
  <si>
    <t>University of Arizona; University of Arizona; University of Arizona; University of Arizona; University of Arizona</t>
  </si>
  <si>
    <t>Winkelman, J (corresponding author), Univ Arizona, Coll Med Phoenix, MS4,HSEB Bldg C523,475 N 5th St, Phoenix, AZ 85004 USA.</t>
  </si>
  <si>
    <t>jwinkelman@arizona.edu</t>
  </si>
  <si>
    <t>WALTER DE GRUYTER GMBH</t>
  </si>
  <si>
    <t>GENTHINER STRASSE 13, D-10785 BERLIN, GERMANY</t>
  </si>
  <si>
    <t>0334-018X</t>
  </si>
  <si>
    <t>2191-0251</t>
  </si>
  <si>
    <t>J PEDIATR ENDOCR MET</t>
  </si>
  <si>
    <t>J. Pediatr. Endocrinol. Metab.</t>
  </si>
  <si>
    <t>10.1515/jpem-2023-0287</t>
  </si>
  <si>
    <t>AUG 2023</t>
  </si>
  <si>
    <t>Endocrinology &amp; Metabolism; Pediatrics</t>
  </si>
  <si>
    <t>AP8J6</t>
  </si>
  <si>
    <t>WOS:001050267700001</t>
  </si>
  <si>
    <t>Shinners, L; Grace, S; Smith, S; Stephens, A; Aggar, C</t>
  </si>
  <si>
    <t>Shinners, Lucy; Grace, Sandra; Smith, Stuart; Stephens, Alexandre; Aggar, Christina</t>
  </si>
  <si>
    <t>Exploring healthcare professionals' perceptions of artificial intelligence: Piloting the Shinners Artificial Intelligence Perception tool</t>
  </si>
  <si>
    <t>DIGITAL HEALTH</t>
  </si>
  <si>
    <t>artificial intelligence; health informatics; healthcare; perception</t>
  </si>
  <si>
    <t>INFORMATION-TECHNOLOGY; USER ACCEPTANCE; NURSES</t>
  </si>
  <si>
    <t>Objective There is an urgent need to prepare the healthcare workforce for the implementation of artificial intelligence (AI) into the healthcare setting. Insights into workforce perception of AI could identify potential challenges that an organisation may face when implementing this new technology. The aim of this study was to psychometrically evaluate and pilot the Shinners Artificial Intelligence Perception (SHAIP) questionnaire that is designed to explore healthcare professionals' perceptions of AI. Instrument validation was achieved through a cross-sectional study of healthcare professionals (n = 252) from a regional health district in Australia. Methods and Results Exploratory factor analysis was conducted and analysis yielded a two-factor solution consisting of 10 items and explained 51.7% of the total variance. Factor one represented perceptions of 'Professional impact of AI' (alpha = .832) and Factor two represented 'Preparedness for AI' (alpha = .632). An analysis of variance indicated that 'use of AI' had a significant effect on healthcare professionals' perceptions of both factors. 'Discipline' had a significant effect on Allied Health professionals' perception of Factor one and low mean scale score across all disciplines suggests that all disciplines perceive that they are not prepared for AI. Conclusions The results of this study provide preliminary support for the SHAIP tool and a two-factor solution that measures healthcare professionals' perceptions of AI. Further testing is needed to establish the reliability or re-modelling of Factor 2 and the overall performance of the SHAIP tool as a global instrument.</t>
  </si>
  <si>
    <t>[Shinners, Lucy; Grace, Sandra; Smith, Stuart; Aggar, Christina] Southern Cross Univ, Fac Hlth, Bilinga, Australia; [Stephens, Alexandre] Northern NSW Local Hlth Dist NSWHlth, Lismore, NSW, Australia</t>
  </si>
  <si>
    <t>Southern Cross University</t>
  </si>
  <si>
    <t>Shinners, L (corresponding author), Southern Cross Univ, Terminal Dr, Bilinga, Qld 4225, Australia.</t>
  </si>
  <si>
    <t>Lucy.shinners@scu.edu.au</t>
  </si>
  <si>
    <t>Smith, Stuart/B-8144-2011; Aggar, Christina/ABD-7762-2021; Shinners, Lucy/AAN-9086-2021; Stephens, Alexandre/P-1396-2016; Grace, Sandra/Q-3626-2017</t>
  </si>
  <si>
    <t>Shinners, Lucy/0000-0002-7160-5838; Stephens, Alexandre/0000-0003-2465-8117; Smith, Stuart/0000-0002-4735-6026; Aggar, Christina/0000-0002-0137-7796; Grace, Sandra/0000-0002-0300-4088</t>
  </si>
  <si>
    <t>2055-2076</t>
  </si>
  <si>
    <t>DIGIT HEALTH</t>
  </si>
  <si>
    <t>Digit. Health</t>
  </si>
  <si>
    <t>10.1177/20552076221078110</t>
  </si>
  <si>
    <t>Health Care Sciences &amp; Services; Health Policy &amp; Services; Public, Environmental &amp; Occupational Health; Medical Informatics</t>
  </si>
  <si>
    <t>ZD5BF</t>
  </si>
  <si>
    <t>WOS:000758212900001</t>
  </si>
  <si>
    <t>Dong, ZL; Xin, ZJ; Liu, DW; Yu, FK</t>
  </si>
  <si>
    <t>Dong, Zhenlin; Xin, Zijun; Liu, Dewen; Yu, Fangkun</t>
  </si>
  <si>
    <t>The impact of artificial intelligence application on company environmental investment in Chinese manufacturing companies</t>
  </si>
  <si>
    <t>INTERNATIONAL REVIEW OF FINANCIAL ANALYSIS</t>
  </si>
  <si>
    <t>Artificial intelligence application; Corporate environmental investment; Manufacturing industry; Managerial myopia; Company pollution emission</t>
  </si>
  <si>
    <t>BIG DATA ANALYTICS; GREEN; INDUSTRY; MANAGEMENT; REGULATIONS; TECHNOLOGY; INNOVATION; POLLUTION; CHAIN</t>
  </si>
  <si>
    <t>The environmental effect of operating activities in the manufacturing industry is crucial to the sustainable development of the economy and society. Since we have entered the era of information explosion, the artificial intelligence has been involved to address the environmental problems caused by daily operations. This study examines the complex relation between artificial intelligence application and corporate environmental investment. The results show that: (1) AI application have a direct and positive impact on corporate environmental investment; (2) Managerial myopia plays a negative moderating role, inhibiting the positive effect of AI application on corporate environmental investment; (3) Companies' pollution emission mediates the relationship between AI application and corporate environmental investment. When reduced by AI application, a lower pollution emission will trigger a larger scale of corporate environmental investment; (4) Compared with undervalued companies and those in the Western region, AI application has a greater positive impact on the environmental investment of the over-valued companies and those in the East -Central region. By verifying the relationship between artificial intelligence applications and manufacturing enterprise investment, this study has a positive impact on promoting green innovation in the manufacturing industry and is of great significance for sustainable development strategies.</t>
  </si>
  <si>
    <t>[Dong, Zhenlin] Anyang Normal Univ, Sch Business, Anyang, Peoples R China; [Xin, Zijun] Univ Macau, Fac Business Adm, Dept Accounting &amp; Informat Management, Macau, Peoples R China; [Liu, Dewen] Nanjing Univ Posts &amp; Telecommun, Sch Management, Nanjing, Peoples R China; [Yu, Fangkun] Dongbei Univ Finance &amp; Econ, Sch Finance, Dalian, Peoples R China</t>
  </si>
  <si>
    <t>Anyang Normal University; University of Macau; Nanjing University of Posts &amp; Telecommunications; Dongbei University of Finance &amp; Economics</t>
  </si>
  <si>
    <t>Xin, ZJ (corresponding author), Univ Macau, Fac Business Adm, Dept Accounting &amp; Informat Management, Macau, Peoples R China.</t>
  </si>
  <si>
    <t>john.xin@connect.um.edu.mo</t>
  </si>
  <si>
    <t>National Natural Science Foun-dation of China [72302119]; Jiangsu Social Science Foundation [23GLC016]</t>
  </si>
  <si>
    <t>National Natural Science Foun-dation of China(National Natural Science Foundation of China (NSFC)); Jiangsu Social Science Foundation</t>
  </si>
  <si>
    <t>This research was supported by the National Natural Science Foun-dation of China [Grant no. 72302119] , and the Jiangsu Social Science Foundation [Grant no. 23GLC016] .</t>
  </si>
  <si>
    <t>1057-5219</t>
  </si>
  <si>
    <t>1873-8079</t>
  </si>
  <si>
    <t>INT REV FINANC ANAL</t>
  </si>
  <si>
    <t>Int. Rev. Financ. Anal.</t>
  </si>
  <si>
    <t>10.1016/j.irfa.2024.103403</t>
  </si>
  <si>
    <t>JUN 2024</t>
  </si>
  <si>
    <t>XG0P2</t>
  </si>
  <si>
    <t>WOS:001260415800001</t>
  </si>
  <si>
    <t>Chen, LJ; Chen, PP; Lin, ZJ</t>
  </si>
  <si>
    <t>Chen, Lijia; Chen, Pingping; Lin, Zhijian</t>
  </si>
  <si>
    <t>Artificial Intelligence in Education: A Review</t>
  </si>
  <si>
    <t>Education; Technological innovation; Learning (artificial intelligence); Microcomputers; Robots; Education; artificial intelligence; leaner</t>
  </si>
  <si>
    <t>INSTRUCTIONAL TOOLS</t>
  </si>
  <si>
    <t>The purpose of this study was to assess the impact of Artificial Intelligence (AI) on education. Premised on a narrative and framework for assessing AI identified from a preliminary analysis, the scope of the study was limited to the application and effects of AI in administration, instruction, and learning. A qualitative research approach, leveraging the use of literature review as a research design and approach was used and effectively facilitated the realization of the study purpose. Artificial intelligence is a field of study and the resulting innovations and developments that have culminated in computers, machines, and other artifacts having human-like intelligence characterized by cognitive abilities, learning, adaptability, and decision-making capabilities. The study ascertained that AI has extensively been adopted and used in education, particularly by education institutions, in different forms. AI initially took the form of computer and computer related technologies, transitioning to web-based and online intelligent education systems, and ultimately with the use of embedded computer systems, together with other technologies, the use of humanoid robots and web-based chatbots to perform instructors' duties and functions independently or with instructors. Using these platforms, instructors have been able to perform different administrative functions, such as reviewing and grading students' assignments more effectively and efficiently, and achieve higher quality in their teaching activities. On the other hand, because the systems leverage machine learning and adaptability, curriculum and content has been customized and personalized in line with students' needs, which has fostered uptake and retention, thereby improving learners experience and overall quality of learning.</t>
  </si>
  <si>
    <t>[Chen, Lijia] Yango Univ, Sch Design, Fuzhou 350015, Peoples R China; [Chen, Pingping] Fuzhou Univ, Sch Adv Mfg, Sci Pk, Jinjiang 362251, Peoples R China; [Lin, Zhijian] Fuzhou Univ, Sch Informat, Fuzhou 35008, Peoples R China</t>
  </si>
  <si>
    <t>Fuzhou University; Fuzhou University</t>
  </si>
  <si>
    <t>Chen, PP (corresponding author), Fuzhou Univ, Sch Adv Mfg, Sci Pk, Jinjiang 362251, Peoples R China.</t>
  </si>
  <si>
    <t>ppchen.xm@gmail.com</t>
  </si>
  <si>
    <t>Chen, Pingping/J-9561-2013</t>
  </si>
  <si>
    <t>Humanities and Social Science Planning Funds of Fujian Province [275 JAS19453]; Distinguished Scholar Grant of Educational Commission of Fujian Province</t>
  </si>
  <si>
    <t>Humanities and Social Science Planning Funds of Fujian Province; Distinguished Scholar Grant of Educational Commission of Fujian Province</t>
  </si>
  <si>
    <t>This work was supported in part by the Humanities and Social Science Planning Funds of Fujian Province under Grant 275 JAS19453, and in part by the Distinguished Scholar Grant of Educational Commission of Fujian Province.</t>
  </si>
  <si>
    <t>10.1109/ACCESS.2020.2988510</t>
  </si>
  <si>
    <t>LK3WZ</t>
  </si>
  <si>
    <t>WOS:000530793700016</t>
  </si>
  <si>
    <t>Xu, LY; Zhang, YY; Yu, F; Ding, XJ; Wu, JH</t>
  </si>
  <si>
    <t>Xu, Liying; Zhang, Yuyan; Yu, Feng; Ding, Xiaojun; Wu, Jiahua</t>
  </si>
  <si>
    <t>Folk Beliefs of Artificial Intelligence and Robots</t>
  </si>
  <si>
    <t>INTERNATIONAL JOURNAL OF SOCIAL ROBOTICS</t>
  </si>
  <si>
    <t>Artificial intelligence; Robot; Folk belief; Metaphor; Free listing</t>
  </si>
  <si>
    <t>METAANALYSIS; METAPHOR; WARMTH; CHINA; LOVE</t>
  </si>
  <si>
    <t>Artificial intelligence (AI) and robots have the potential to revolutionize society, with impacts ranging from the broadest reaches of industry and policy to the minutiae of daily life. The extent to which AI-based technologies can bring benefits to human society depends on how people perceive them--folk beliefs of AI and robots. The present paper aims to gain insights into people's perspectives on artificial intelligence and robots by examining their folk beliefs. In Study 1, we explored folk beliefs regarding general artificial intelligence and robots using metaphor nomination (Phase 1, N = 99), factor analysis (Phase 2, N = 267), and semantic analysis (Phase 3). Results indicated three primary folk beliefs for AI: the unknown, the assistants, and the machines. For robots, three primary folk beliefs emerged: the assistants, the companions, and the tools. In Study 2, we investigated folk beliefs about robots in various application contexts through free listing (Phase 1, N = 82) and factor analysis (Phase 2, N = 300). Results revealed four folk beliefs for companion robots: companion ability, applicable target, social consequence, and technology. Additionally, four folk beliefs emerged for education robots: educational ability, advantage, disadvantage, and technology, while medical robots were associated with five folk beliefs: medical ability, advancement, social consequence, disadvantage, and technology. This research is the first step in examining how ordinary people conceptualize artificial intelligence and robots through folk theories, unveiling several directions for future research reference. Our findings also revealed that lay people's perceptions of artificial intelligence and robots are shaped by social cognitive processes. This also implies that the methods of folk theories can be utilized to investigate people's social cognitive processes. The current study carries practical significance for the designers and manufacturers of AI and robots, guiding aspects such as the professional capabilities of artificial intelligence and robots, potential negative social consequences, and the needs of specific user groups.</t>
  </si>
  <si>
    <t>[Xu, Liying; Zhang, Yuyan; Yu, Feng; Wu, Jiahua] Wuhan Univ, Dept Psychol, Wuhan 430072, Peoples R China; [Ding, Xiaojun] Xi An Jiao Tong Univ, Sch Humanities &amp; Social Sci, Dept Philosophy, Xian 710049, Peoples R China</t>
  </si>
  <si>
    <t>Wuhan University; Xi'an Jiaotong University</t>
  </si>
  <si>
    <t>Yu, F (corresponding author), Wuhan Univ, Dept Psychol, Wuhan 430072, Peoples R China.</t>
  </si>
  <si>
    <t>psychpedia@whu.edu.cn</t>
  </si>
  <si>
    <t>Zhang, Yuyan/ABC-4900-2022; Yu, Feng/U-9998-2019; Ding, Xiaojun/Z-2015-2019</t>
  </si>
  <si>
    <t>Yu, Feng/0000-0001-7385-163X</t>
  </si>
  <si>
    <t>National Social Science Foundation of China [20CZX059]; National Natural Science Foundation of China [72101132]</t>
  </si>
  <si>
    <t>National Social Science Foundation of China(National Office of Philosophy and Social Sciences); National Natural Science Foundation of China(National Natural Science Foundation of China (NSFC))</t>
  </si>
  <si>
    <t>This work was supported by the National Social Science Foundation of China (Grant No. 20CZX059), and the National Natural Science Foundation of China (Grant No. 72101132).</t>
  </si>
  <si>
    <t>1875-4791</t>
  </si>
  <si>
    <t>1875-4805</t>
  </si>
  <si>
    <t>INT J SOC ROBOT</t>
  </si>
  <si>
    <t>Int. J. Soc. Robot.</t>
  </si>
  <si>
    <t>2024 FEB 8</t>
  </si>
  <si>
    <t>10.1007/s12369-024-01097-2</t>
  </si>
  <si>
    <t>Robotics</t>
  </si>
  <si>
    <t>HB9D0</t>
  </si>
  <si>
    <t>WOS:001157137300001</t>
  </si>
  <si>
    <t>Villa-Camacho, JC; Baikpour, M; Chou, SHS</t>
  </si>
  <si>
    <t>Villa-Camacho, Juan C.; Baikpour, Masoud; Chou, Shinn-Huey S.</t>
  </si>
  <si>
    <t>Artificial Intelligence for Breast US</t>
  </si>
  <si>
    <t>JOURNAL OF BREAST IMAGING</t>
  </si>
  <si>
    <t>artificial intelligence; breast cancer screening; computer-aided detection; computer-aided diagnosis; ultrasound</t>
  </si>
  <si>
    <t>COMPUTER-AIDED DIAGNOSIS; ULTRASOUND; CANCER; PERFORMANCE; WOMEN; ULTRASONOGRAPHY; MAMMOGRAPHY; REPRODUCIBILITY; RADIOLOGISTS; IMPROVEMENT</t>
  </si>
  <si>
    <t>US is a widely available, commonly used, and indispensable imaging modality for breast evaluation. It is often the primary imaging modality for the detection and diagnosis of breast cancer in low-resource settings. In addition, it is frequently employed as a supplemental screening tool via either whole breast handheld US or automated breast US among women with dense breasts. In recent years, a variety of artificial intelligence systems have been developed to assist radiologists with the detection and diagnosis of breast lesions on US. This article reviews the background and evidence supporting the use of artificial intelligence tools for breast US, describes implementation strategies and impact on clinical workflow, and discusses potential emerging roles and future directions.</t>
  </si>
  <si>
    <t>[Villa-Camacho, Juan C.; Baikpour, Masoud; Chou, Shinn-Huey S.] Massachusetts Gen Hosp, Dept Radiol, Boston, MA 02114 USA</t>
  </si>
  <si>
    <t>Harvard University; Harvard University Medical Affiliates; Massachusetts General Hospital</t>
  </si>
  <si>
    <t>Chou, SHS (corresponding author), Massachusetts Gen Hosp, Dept Radiol, Boston, MA 02114 USA.</t>
  </si>
  <si>
    <t>schou@mgh.harvard.edu</t>
  </si>
  <si>
    <t>Baikpour, Masoud/AAD-1358-2020</t>
  </si>
  <si>
    <t>Chou, Shinn-Huey/0000-0002-2436-6280</t>
  </si>
  <si>
    <t>2631-6110</t>
  </si>
  <si>
    <t>2631-6129</t>
  </si>
  <si>
    <t>J BREAST IMAGING</t>
  </si>
  <si>
    <t>J. Breast Imaging</t>
  </si>
  <si>
    <t>FEB 6</t>
  </si>
  <si>
    <t>10.1093/jbi/wbac077</t>
  </si>
  <si>
    <t>DEC 2022</t>
  </si>
  <si>
    <t>Oncology; Radiology, Nuclear Medicine &amp; Medical Imaging</t>
  </si>
  <si>
    <t>8P6YK</t>
  </si>
  <si>
    <t>WOS:000905558000001</t>
  </si>
  <si>
    <t>Zhu, ST; Song, MM; Duan, YC</t>
  </si>
  <si>
    <t>Zhu, Sitian; Song, Mengmeng; Duan, Yucong</t>
  </si>
  <si>
    <t>Emotional arousal: how artificial intelligence-generated content influences tourism decision-making</t>
  </si>
  <si>
    <t>TOURISM RECREATION RESEARCH</t>
  </si>
  <si>
    <t>Artificial intelligence-generative content; generative artificial intelligence; prospect theory; goal-framing; emotional arousal</t>
  </si>
  <si>
    <t>EXPERIENCES; REVIEWS; MEDIA</t>
  </si>
  <si>
    <t>The application of generative artificial intelligence in the tourism industry is deepening and playing a key role in enhancing personalized services. However, there are still significant gaps in specific studies dealing with the subsequent impact on tourists' actual decisions and their economic significance. Based on prospect theory and social impact theory, this study explores in depth the effects of artificial intelligence-generated content and user-generated content on tourists' emotions and decision-making process under different goal frameworks. Through a series of two scenario-based experiments, this study confirmed previous research that gain-framing content is more effective in stimulating tourists' emotions and facilitating travel decisions. In addition, this study further found that in the context of the use of generative artificial intelligence, the loss-framing content will obtain the emotional arousal of potential tourists and the generation of travel decisions. The research has practical implications for management, highlighting potential synergies and collaboration between human-generated and artificial intelligence-generated content in tourism. Designed to help tourism destination management organizations make informed judgments based on accurate information, artificial intelligence-based big data analytics better meet the preferences and needs of tourists.</t>
  </si>
  <si>
    <t>[Zhu, Sitian] Nankai Univ, Coll Tourism &amp; Serv Management, Tianjin, Peoples R China; [Song, Mengmeng] Hainan Univ, Coll Tourism, Haikou, Hainan, Peoples R China; [Duan, Yucong] Hainan Univ, Coll Comp Sci &amp; Technol, Haikou, Hainan, Peoples R China</t>
  </si>
  <si>
    <t>Nankai University; Hainan University; Hainan University</t>
  </si>
  <si>
    <t>Song, MM (corresponding author), Hainan Univ, Coll Tourism, Haikou, Hainan, Peoples R China.</t>
  </si>
  <si>
    <t>smmlgl@msn.com</t>
  </si>
  <si>
    <t>National Natural Science Foundation of China [72062015]; Hainan Province Key RD Program [ZDYF2022GXJS007]</t>
  </si>
  <si>
    <t>National Natural Science Foundation of China(National Natural Science Foundation of China (NSFC)); Hainan Province Key RD Program</t>
  </si>
  <si>
    <t>This work was supported by the National Natural Science Foundation of China [grant number 72062015]; Hainan Province Key R&amp;D Program [grant number ZDYF2022GXJS007].</t>
  </si>
  <si>
    <t>0250-8281</t>
  </si>
  <si>
    <t>2320-0308</t>
  </si>
  <si>
    <t>TOUR RECREAT RES</t>
  </si>
  <si>
    <t>Tour. Recreat. Res.</t>
  </si>
  <si>
    <t>2024 DEC 31</t>
  </si>
  <si>
    <t>10.1080/02508281.2024.2439321</t>
  </si>
  <si>
    <t>Q6T0X</t>
  </si>
  <si>
    <t>WOS:001385966300001</t>
  </si>
  <si>
    <t>Antonova, D; Beloeva, S; Todorova, A</t>
  </si>
  <si>
    <t>Antonova, Diana; Beloeva, Silvia; Todorova, Ana</t>
  </si>
  <si>
    <t>THE DUAL IMPACT OF ARTIFICIAL INTELLIGENCE: CATALYST FOR INNOVATION OR THREAT TO STABILITY</t>
  </si>
  <si>
    <t>STRATEGIES FOR POLICY IN SCIENCE AND EDUCATION-STRATEGII NA OBRAZOVATELNATA I NAUCHNATA POLITIKA</t>
  </si>
  <si>
    <t>5th industrial revolution; artificial intelligence; threats; opportunities; Industry 5.0</t>
  </si>
  <si>
    <t>The article presents issues of scientific policy, integration in the European educational and scientific space, results of scientific research and discussions on the issues of the fifth industrial revolution. The research focuses on an analysis of perspectives on global technological growth based on the impact of artificial intelligence. According to the pessimistic forecast, the digital revolution is already a fact, and its impact on productivity is almost over. On the optimistic side, futurists argue that technology and innovation have reached inflexion points.</t>
  </si>
  <si>
    <t>[Antonova, Diana; Beloeva, Silvia; Todorova, Ana] Univ Ruse Angel Kanchev, Ruse, Bulgaria</t>
  </si>
  <si>
    <t>University of Ruse</t>
  </si>
  <si>
    <t>Antonova, D (corresponding author), Univ Ruse Angel Kanchev, Ruse, Bulgaria.</t>
  </si>
  <si>
    <t>dantonova@uni-ruse.bg; sbeloeva@uni-ruse.bg; attodorova@uni-ruse.bg</t>
  </si>
  <si>
    <t>Beloeva, Silvia/JKI-0733-2023; Todorova, Ana/HTN-8072-2023</t>
  </si>
  <si>
    <t>Todorova, Ana/0009-0007-2993-077X</t>
  </si>
  <si>
    <t>European Union-NextGenerationEU through the National Recovery and Resilience Plan of the Republic of Bulgaria [BG-RRP-2.013-0001-C01]</t>
  </si>
  <si>
    <t>European Union-NextGenerationEU through the National Recovery and Resilience Plan of the Republic of Bulgaria</t>
  </si>
  <si>
    <t>This study is financed by the European Union-NextGenerationEU through the National Recovery and Resilience Plan of the Republic of Bulgaria, project No BG-RRP-2.013-0001-C01.</t>
  </si>
  <si>
    <t>1310-0270</t>
  </si>
  <si>
    <t>1314-8575</t>
  </si>
  <si>
    <t>STRATEG POLICY SCI E</t>
  </si>
  <si>
    <t>Strateg. Policy Sci. Educ.</t>
  </si>
  <si>
    <t>S</t>
  </si>
  <si>
    <t>10.53656/str2024-6s-4-dua</t>
  </si>
  <si>
    <t>S1T9N</t>
  </si>
  <si>
    <t>WOS:001396146800004</t>
  </si>
  <si>
    <t>Ciocodeica, DF; Berbece, SA; Pestrea, CD</t>
  </si>
  <si>
    <t>Ciocodeica, David-Florin; Berbece, Stefan-Alexandru; Pestrea, Constantin-Daniel</t>
  </si>
  <si>
    <t>The Impact of Artificial Intelligence on the Labor Market in Romania</t>
  </si>
  <si>
    <t>artificial intelligence; digitalization; labor force; unemployment; salaries</t>
  </si>
  <si>
    <t>WAGE</t>
  </si>
  <si>
    <t>In our time, the artificial intelligence is the newest digital distruptor which can have an impact concerning how economics work. Automation and tech-driven layoffs have instilled a feeling of nervousness in some people, the possibility of being replaced with a robot slowly becoming a reality, thing who can impacted the employees. Therefore, this article wants to highlight the labour market and its defining characteristics in the context in which technology is constantly evolving, faster and faster, making people's work easier. Attitudes and behaviors of employees have been monitored, with a focus on their stance towards AI tools and the future of these tools within their respective fields of activity. Employees seem to be optimistic of AI's place in the workplace, viewing it more like a help than a threat, but they do believe regulations should be set in place in order to keep it under control. Few romanians are nervous about losing their job because of AI, some do not even believe they will ever use it in their field of work. Younger people seem to have higher awareness of the AI revolution,but they are not scared, they seem to be confident about their future in the workplace.</t>
  </si>
  <si>
    <t>[Ciocodeica, David-Florin; Berbece, Stefan-Alexandru; Pestrea, Constantin-Daniel] Bucharest Univ Econ Studies, Bucharest, Romania</t>
  </si>
  <si>
    <t>Ciocodeica, DF (corresponding author), Bucharest Univ Econ Studies, Bucharest, Romania.</t>
  </si>
  <si>
    <t>david.ciocodeica@mk.ase.ro; berbecestefan20@stud.ase.ro; pestreaconstantin19@stud.ase.ro</t>
  </si>
  <si>
    <t>David-Florin, Ciocodeica/ACI-0900-2022</t>
  </si>
  <si>
    <t>10.2478/picbe-2024-0017</t>
  </si>
  <si>
    <t>XM4N5</t>
  </si>
  <si>
    <t>WOS:001262087900027</t>
  </si>
  <si>
    <t>Shrivastava, P; Pradhan, GK</t>
  </si>
  <si>
    <t>Karim, R; Ahmadi, A; Soleimanmeigouni, I; Kour, R; Rao, R</t>
  </si>
  <si>
    <t>Shrivastava, Pragya; Pradhan, G. K.</t>
  </si>
  <si>
    <t>Use of Artificial Intelligence in Mining: An Indian Overview</t>
  </si>
  <si>
    <t>INTERNATIONAL CONGRESS AND WORKSHOP ON INDUSTRIAL AI 2021</t>
  </si>
  <si>
    <t>Lecture Notes in Mechanical Engineering</t>
  </si>
  <si>
    <t>International Congress and Workshop on Industrial Artificial Intelligence (IAI)</t>
  </si>
  <si>
    <t>OCT 06-07, 2021</t>
  </si>
  <si>
    <t>Artificial intelligence; Machine learning; Virtual reality; Neural networks</t>
  </si>
  <si>
    <t>In Mining in India contributes over 2% to its GDP. The growing population had a direct impact on the need for more electricity, steel, cement, fertilizers etc. Most of these consumables are mining products. Thus expansion and modernization of mining activities had always gone for introducing new initiatives, innovations, safe and cost cutting areas. In order to make operations safe and economical an attempt has been made to introduce Artificial Intelligence in most mining activities. Operations attached to mining areas like transportation, shovelling, beneficiation etc. are manpower intensive and unsafe having considerable health related issues. By adopting Artificial Intelligence most complex operations, computations, analysis becomes easier and accurate. Although, global mining companies have made significant advances in AI applications, in India it has been in nascent stage. The areas of AI applications has been identified and this paper highlights the roadmap of the future.</t>
  </si>
  <si>
    <t>[Shrivastava, Pragya; Pradhan, G. K.] AKSU, Satna, India</t>
  </si>
  <si>
    <t>Shrivastava, P; Pradhan, GK (corresponding author), AKSU, Satna, India.</t>
  </si>
  <si>
    <t>IAI2020 Conference</t>
  </si>
  <si>
    <t>Thanks are due to the management of AKS University Satna India.Special thanks are due to professor Uday kumar of LTU, Sweden for his guidance and encouragement. Our thanks to sponsors of IAI2020 Conference for their intellectual and financial support.</t>
  </si>
  <si>
    <t>2195-4356</t>
  </si>
  <si>
    <t>2195-4364</t>
  </si>
  <si>
    <t>978-3-030-93639-6; 978-3-030-93638-9</t>
  </si>
  <si>
    <t>LECT N MECH ENG</t>
  </si>
  <si>
    <t>10.1007/978-3-030-93639-6_25</t>
  </si>
  <si>
    <t>Computer Science, Artificial Intelligence; Engineering, Industrial; Engineering, Mechanical</t>
  </si>
  <si>
    <t>BS8UF</t>
  </si>
  <si>
    <t>WOS:000777604600025</t>
  </si>
  <si>
    <t>Vergara, D; Lampropoulos, G; Antón-Sancho, A; Fernández-Arias, P</t>
  </si>
  <si>
    <t>Vergara, Diego; Lampropoulos, Georgios; Anton-Sancho, Alvaro; Fernandez-Arias, Pablo</t>
  </si>
  <si>
    <t>Impact of Artificial Intelligence on Learning Management Systems: A Bibliometric Review</t>
  </si>
  <si>
    <t>MULTIMODAL TECHNOLOGIES AND INTERACTION</t>
  </si>
  <si>
    <t>artificial intelligence; AI; learning management systems; LMS; university; education; personalized learning; e-learning; challenges; benefits</t>
  </si>
  <si>
    <t>EDUCATION; SCIENCE; LMS</t>
  </si>
  <si>
    <t>The field of artificial intelligence is drastically advancing. This study aims to provide an overview of the integration of artificial intelligence into learning management systems. This study followed a bibliometric review approach. Specifically, following the Preferred Reporting Items for Systematic reviews and Meta-Analyses (PRISMA) statement, 256 documents from the Scopus and Web of Science (WoS) databases over the period of 2004-2023 were identified and examined. Besides an analysis of the documents within the existing literature, emerging themes and topics were identified, and directions and recommendations for future research are provided. Based on the outcomes, the use of artificial intelligence within learning management systems offers adaptive and personalized learning experiences, promotes active learning, and supports self-regulated learning in face-to-face, hybrid, and online learning environments. Additionally, learning management systems enriched with artificial intelligence can improve students' learning outcomes, engagement, and motivation. Their ability to increase accessibility and ensure equal access to education by supporting open educational resources was evident. However, the need to develop effective design approaches, evaluation methods, and methodologies to successfully integrate them within classrooms emerged as an issue to be solved. Finally, the need to further explore education stakeholders' artificial intelligence literacy also arose.</t>
  </si>
  <si>
    <t>[Vergara, Diego; Anton-Sancho, Alvaro; Fernandez-Arias, Pablo] Catholic Univ Avila, Technol Instruct &amp; Design Engn &amp; Educ Res Grp TiDE, C Canteros S-N, Avila 05005, Spain; [Lampropoulos, Georgios] Univ Macedonia, Dept Appl Informat, Thessaloniki 54636, Greece; [Lampropoulos, Georgios] Univ Nicosia, Dept Educ, CY-1700 Nicosia, Cyprus</t>
  </si>
  <si>
    <t>Santa Teresa Jesus Catholic University of Avila; University of Macedonia; University of Nicosia</t>
  </si>
  <si>
    <t>Vergara, D (corresponding author), Catholic Univ Avila, Technol Instruct &amp; Design Engn &amp; Educ Res Grp TiDE, C Canteros S-N, Avila 05005, Spain.</t>
  </si>
  <si>
    <t>diego.vergara@ucavila.es; glampropoulos@uom.edu.gr; alvaro.anton@ucavila.es; pablo.fernandezarias@ucavila.es</t>
  </si>
  <si>
    <t>Fernández-Arias, Pablo/AAA-6910-2021; Vergara, Diego/J-4827-2012</t>
  </si>
  <si>
    <t>Vergara, Diego/0000-0003-3710-4818; Lampropoulos, Georgios/0000-0002-5719-2125; Fernandez-Arias, Pablo/0000-0002-0502-5800</t>
  </si>
  <si>
    <t>2414-4088</t>
  </si>
  <si>
    <t>MULTIMODAL TECHNOLOG</t>
  </si>
  <si>
    <t>Multimodal Technol. Interaction</t>
  </si>
  <si>
    <t>10.3390/mti8090075</t>
  </si>
  <si>
    <t>Computer Science, Artificial Intelligence; Computer Science, Cybernetics; Computer Science, Information Systems</t>
  </si>
  <si>
    <t>H5F7X</t>
  </si>
  <si>
    <t>WOS:001323705200001</t>
  </si>
  <si>
    <t>Vasquez, B; Moreno-Lacalle, R; Soriano, GP; Juntasoopeepun, P; Locsin, RC; Evangelista, LS</t>
  </si>
  <si>
    <t>Vasquez, BrianA.; Moreno-Lacalle, Rainier; Soriano, Gil P.; Juntasoopeepun, Phanida; Locsin, Rozzano C.; Evangelista, Lorraine S.</t>
  </si>
  <si>
    <t>Technological machines and artificial intelligence in nursing practice</t>
  </si>
  <si>
    <t>NURSING &amp; HEALTH SCIENCES</t>
  </si>
  <si>
    <t>artificial intelligence; computational intelligence; Industry 5; 0; Life 3; technological machines</t>
  </si>
  <si>
    <t>This article is a theoretical discourse about technological machines and artificial intelligence, highlighting their effective interactive outcomes in nursing. One significant influence is technological efficiency which positively affects nursing care time, enabling nurses to focus more on their patients as the core of nursing. The article examines the impact of technology and artificial intelligence on nursing practice in this era of rapid technological advancements and technological dependence. Strategic opportunities in nursing are advanced, exemplified by robotics technology and artificial intelligence. A survey of recent literature focused on what is known about the influence of technology, healthcare robotics, and artificial intelligence on nursing in the contexts of industrialization, societal milieu, and human living environments. Efficient, precision-driven machines with artificial intelligence support a technology-centered society in which hospitals and healthcare systems become increasingly technology-dependent, impacting healthcare quality and patient care satisfaction. As a result, higher levels of knowledge, intelligence, and recognition of technologies and artificial intelligence are required for nurses to render quality nursing care. Designers of health facilities should be particularly aware of nursing's increasing dependence on technological advancements in their practice.</t>
  </si>
  <si>
    <t>[Vasquez, BrianA.] Majmaah Univ, Coll Appl Med Sci, Dept Nursing, Al Majmaah, Saudi Arabia; [Moreno-Lacalle, Rainier] St Louis Univ, Coll Nursing, Baguio, Philippines; [Soriano, Gil P.] Natl Univ Manila, Coll Allied Hlth, Dept Nursing, Manila, Philippines; [Juntasoopeepun, Phanida; Locsin, Rozzano C.] Chiang Mai Univ, Fac Nursing, Chiang Mai, Thailand; [Locsin, Rozzano C.] Tokushima Univ, Grad Sch Biomed Sci, Tokushima, Japan; [Locsin, Rozzano C.] Florida Atlantic Univ, Christine E Lynn Coll Nursing, Boca Raton, FL 33431 USA; [Evangelista, Lorraine S.] Univ Laws Vegas, Coll Nursing, Laws Vegas, NV USA</t>
  </si>
  <si>
    <t>Majmaah University; Saint Louis University; Saint Louis University - Philippines; National University Philippines; Chiang Mai University; Tokushima University; State University System of Florida; Florida Atlantic University</t>
  </si>
  <si>
    <t>Locsin, RC (corresponding author), Florida Atlantic Univ, Christine E Lynn Coll Nursing, Boca Raton, FL 33431 USA.</t>
  </si>
  <si>
    <t>locsin@health.fau.edu</t>
  </si>
  <si>
    <t>Soriano, Gil/AAO-8354-2020; Moreno-Lacalle, Rainier/AAC-3508-2020; Evangelista, Lorraine/HPH-3420-2023; VASQUEZ, BRIAN/AAB-5324-2019</t>
  </si>
  <si>
    <t>LOCSIN, ROZZANO/0000-0002-2952-6538; Evangelista, Lorraine/0000-0003-1708-4186; Moreno-Lacalle, Rainier/0000-0002-7844-4424; VASQUEZ, BRIAN/0000-0003-3349-6543; Juntasopeepun, Phanida/0000-0002-8807-9512</t>
  </si>
  <si>
    <t>Visiting Professorial Grant, Faculty of Nursing, Chiang Mai University, Chiang Mai, Thailand</t>
  </si>
  <si>
    <t>1441-0745</t>
  </si>
  <si>
    <t>1442-2018</t>
  </si>
  <si>
    <t>NURS HEALTH SCI</t>
  </si>
  <si>
    <t>Nurs. Health Sci.</t>
  </si>
  <si>
    <t>10.1111/nhs.13029</t>
  </si>
  <si>
    <t>X1LB5</t>
  </si>
  <si>
    <t>Green Accepted, Green Submitted</t>
  </si>
  <si>
    <t>WOS:001012780000001</t>
  </si>
  <si>
    <t>Forney, MC; McBride, AF</t>
  </si>
  <si>
    <t>Forney, Michael C.; McBride, Aaron F.</t>
  </si>
  <si>
    <t>Artificial Intelligence in Radiology Residency Training</t>
  </si>
  <si>
    <t>SEMINARS IN MUSCULOSKELETAL RADIOLOGY</t>
  </si>
  <si>
    <t>artificial intelligence; residency; radiology; training</t>
  </si>
  <si>
    <t>DEEP; FUTURE; DIAGNOSIS; FEEDBACK</t>
  </si>
  <si>
    <t>Artificial intelligence (AI) is an emerging technology that brings a wide array of new tools to the field of radiology. AI will certainly have an impact on the day-to-day work of radiologists in the coming decades, thus training programs must prepare radiology residents adequately for their future careers. Radiology training programs should aim to give residents an understanding of the fundamentals and types of AI in radiology, the broad areas AI can be applied in radiology, how to assess AI applications in radiology, and resources available to build their knowledge in IA applications in radiology.</t>
  </si>
  <si>
    <t>[Forney, Michael C.; McBride, Aaron F.] Cleveland Clin, Sect Musculoskeletal Imaging, Imaging Inst, Cleveland, OH USA; [Forney, Michael C.] Case Western Reserve Univ, Cleveland Clin Lerner Coll Med, Dept Radiol, Cleveland, OH 44195 USA</t>
  </si>
  <si>
    <t>Cleveland Clinic Foundation; University System of Ohio; Case Western Reserve University; Cleveland Clinic Foundation</t>
  </si>
  <si>
    <t>Forney, MC (corresponding author), Case Western Reserve Univ, Dept Radiol, Cleveland Clin Lerner Coll Med, Sect Musculoskeletal Imaging,Imaging Inst, 9500 Euclid Ave,Mail Code A21, Cleveland, OH 44195 USA.</t>
  </si>
  <si>
    <t>forneym@ccf.org</t>
  </si>
  <si>
    <t>McBride, Aaron/L-3628-2019</t>
  </si>
  <si>
    <t>THIEME MEDICAL PUBL INC</t>
  </si>
  <si>
    <t>333 SEVENTH AVE, NEW YORK, NY 10001 USA</t>
  </si>
  <si>
    <t>1089-7860</t>
  </si>
  <si>
    <t>1098-898X</t>
  </si>
  <si>
    <t>SEMIN MUSCULOSKEL R</t>
  </si>
  <si>
    <t>Semin. Musculoskelet. Radiol.</t>
  </si>
  <si>
    <t>10.1055/s-0039-3400270</t>
  </si>
  <si>
    <t>KG4TA</t>
  </si>
  <si>
    <t>WOS:000509938200009</t>
  </si>
  <si>
    <t>Tussyadiah, I; Miller, G</t>
  </si>
  <si>
    <t>Pesonen, J; Neidhardt, J</t>
  </si>
  <si>
    <t>Tussyadiah, Iis; Miller, Graham</t>
  </si>
  <si>
    <t>Perceived Impacts of Artificial Intelligence and Responses to Positive Behaviour Change Intervention</t>
  </si>
  <si>
    <t>INFORMATION AND COMMUNICATION TECHNOLOGIES IN TOURISM 2019</t>
  </si>
  <si>
    <t>eTourism Conference (ENTER) - eTourism - Towards a Sustainable Digital Society</t>
  </si>
  <si>
    <t>JAN 30-FEB 01, 2019</t>
  </si>
  <si>
    <t>Int Federat IT &amp; Travel &amp; Tourism</t>
  </si>
  <si>
    <t>Artificial intelligence; Segmentation; Profiling; Positive behaviour change; Sustainable tourism</t>
  </si>
  <si>
    <t>CONSUMER INNOVATIVENESS; SELF-SERVICE; LEAD USERS; ADOPTION</t>
  </si>
  <si>
    <t>Artificial intelligence (AI) technologies have a great potential to aid not only in promoting tourism products and services, but also in influencing responsible travel behaviour to support sustainability. The effectiveness of using AI for positive behaviour change interventions depends on consumers' attitudes toward AI. This study found three underlying views of AI impacts: Beneficial AI, Destructive AI, and Risky AI. Based on these, three consumer segments were identified: The Laggards, The Aficionados, and The Realists. The first two segments hold opposing views: the former averaging higher in negative impacts, while the latter in positive impacts of AI. The Realists are aware of both benefits and risks of AI. These segments differ in their intention to follow recommendations from AI. It is suggested that mainstream consumers, those belonging to The Realists, are likely to respond positively to AI systems recommending responsible behaviour, signifying the positive role of AI in sustainable tourism.</t>
  </si>
  <si>
    <t>[Tussyadiah, Iis; Miller, Graham] Univ Surrey, Sch Hospitality &amp; Tourism Management, Guildford GU2 7XH, Surrey, England</t>
  </si>
  <si>
    <t>University of Surrey</t>
  </si>
  <si>
    <t>Tussyadiah, I (corresponding author), Univ Surrey, Sch Hospitality &amp; Tourism Management, Guildford GU2 7XH, Surrey, England.</t>
  </si>
  <si>
    <t>i.tussyadiah@surrey.ac.uk; g.miller@surrey.ac.uk</t>
  </si>
  <si>
    <t>Tussyadiah, Iis/AAK-3216-2021</t>
  </si>
  <si>
    <t>Tussyadiah, Iis/0000-0003-0729-1712</t>
  </si>
  <si>
    <t>University of Surrey's Faculty of Arts and Social Sciences (Pump Priming Fund 2017/2018)</t>
  </si>
  <si>
    <t>This work was supported by the University of Surrey's Faculty of Arts and Social Sciences (Pump Priming Fund 2017/2018).</t>
  </si>
  <si>
    <t>978-3-030-05940-8; 978-3-030-05939-2</t>
  </si>
  <si>
    <t>10.1007/978-3-030-05940-8_28</t>
  </si>
  <si>
    <t>Computer Science, Interdisciplinary Applications; Computer Science, Theory &amp; Methods; Hospitality, Leisure, Sport &amp; Tourism</t>
  </si>
  <si>
    <t>BO5KB</t>
  </si>
  <si>
    <t>WOS:000518026800028</t>
  </si>
  <si>
    <t>Bai, GH</t>
  </si>
  <si>
    <t>Destech Publicat Inc</t>
  </si>
  <si>
    <t>Bai, Guang-huan</t>
  </si>
  <si>
    <t>Research on the Application and Influence of Auditing Artificial Intelligence</t>
  </si>
  <si>
    <t>INTERNATIONAL CONFERENCE ON EDUCATION INNOVATION AND ECONOMIC MANAGEMENT (EIEM 2017)</t>
  </si>
  <si>
    <t>DEStech Transactions on Social Science Education and Human Science</t>
  </si>
  <si>
    <t>International Conference on Education Innovation and Economic Management (EIEM)</t>
  </si>
  <si>
    <t>SEP 15-16, 2017</t>
  </si>
  <si>
    <t>Beijing, PEOPLES R CHINA</t>
  </si>
  <si>
    <t>Artificial Intelligence; Audit Industry; Application and Influence</t>
  </si>
  <si>
    <t>AUDITORS; IMPACT</t>
  </si>
  <si>
    <t>The rapid development of artificial intelligence, from the Turing test of the last century to the depth of learning in this century, the emergence of robots facing the field of expertise has challenged the human society. For the audit industry, with the introduction of financial robots into the work field by the four international accounting firms, the business model of the auditing industry and the way the auditors work are faced with innovation. This paper introduces the present situation of the application of artificial intelligence in the field of audit services in the four major international accounting firms, analyzes the impact of artificial intelligence on the audit industry and the relevant auditing practitioners, and regulators who are responsible for the industry regulations. To take an in-depth analysis of the coping strategies.</t>
  </si>
  <si>
    <t>[Bai, Guang-huan] Nanjing Univ Sci &amp; Technol, Nanjing, Jiangsu, Peoples R China</t>
  </si>
  <si>
    <t>Nanjing University of Science &amp; Technology</t>
  </si>
  <si>
    <t>Bai, GH (corresponding author), Nanjing Univ Sci &amp; Technol, Nanjing, Jiangsu, Peoples R China.</t>
  </si>
  <si>
    <t>DESTECH PUBLICATIONS, INC</t>
  </si>
  <si>
    <t>LANCASTER</t>
  </si>
  <si>
    <t>439 DUKE STREET, LANCASTER, PA 17602-4967 USA</t>
  </si>
  <si>
    <t>2475-0042</t>
  </si>
  <si>
    <t>978-1-60595-495-0</t>
  </si>
  <si>
    <t>DESTECH TRANS SOC</t>
  </si>
  <si>
    <t>Economics; Education &amp; Educational Research; Management</t>
  </si>
  <si>
    <t>Business &amp; Economics; Education &amp; Educational Research</t>
  </si>
  <si>
    <t>BJ8SO</t>
  </si>
  <si>
    <t>WOS:000428761200047</t>
  </si>
  <si>
    <t>Medaglia, R; Gil-Garcia, JR; Pardo, TA</t>
  </si>
  <si>
    <t>Medaglia, Rony; Gil-Garcia, J. Ramon; Pardo, Theresa A.</t>
  </si>
  <si>
    <t>Artificial Intelligence in Government: Taking Stock and Moving Forward</t>
  </si>
  <si>
    <t>artificial intelligence; government; public sector</t>
  </si>
  <si>
    <t>FRAMEWORK</t>
  </si>
  <si>
    <t>The use of artificial intelligence (AI) applications in government is receiving increasing attention from global research and practice communities. This article, introducing a Special Issue on Artificial Intelligence in Government published in the Social Science Computer Review, presents an overview of some of the main policy initiatives across the world in relation to AI in government and discusses the state of the art of existing research. Based on an analysis of current trends in research and practice, we highlight four areas to be the focus of future research on AI in government: governance of AI, trustworthy AI, impact assessment methodologies, and data governance.</t>
  </si>
  <si>
    <t>[Medaglia, Rony] Copenhagen Business Sch, Dept Digitalizat, Frederiksberg, Denmark; [Gil-Garcia, J. Ramon] SUNY Albany, Publ Adm &amp; Policy, Albany, NY 12222 USA; [Gil-Garcia, J. Ramon] SUNY Albany, Ctr Technol Govt, Albany, NY 12222 USA; [Pardo, Theresa A.] SUNY Albany, Res, Albany, NY 12222 USA; [Pardo, Theresa A.] SUNY Albany, Albany, NY 12222 USA; [Gil-Garcia, J. Ramon] Univ Americas Puebla, Business Sch, Cholula, Mexico</t>
  </si>
  <si>
    <t>Copenhagen Business School; State University of New York (SUNY) System; University at Albany, SUNY; State University of New York (SUNY) System; University at Albany, SUNY; State University of New York (SUNY) System; University at Albany, SUNY; State University of New York (SUNY) System; University at Albany, SUNY; Universidad Americas Puebla (UDLAP)</t>
  </si>
  <si>
    <t>Medaglia, R (corresponding author), Copenhagen Business Sch, Dept Digitalizat, Frederiksberg, Denmark.;Medaglia, R (corresponding author), Copenhagen Business Sch, Howitzvej 60, DK-2000 Frederiksberg, Denmark.</t>
  </si>
  <si>
    <t>rony@cbs.dk</t>
  </si>
  <si>
    <t>Medaglia, Rony/C-4161-2019; Gil-Garcia, J./A-9636-2009</t>
  </si>
  <si>
    <t>10.1177/08944393211034087</t>
  </si>
  <si>
    <t>JUL 2021</t>
  </si>
  <si>
    <t>7S7ZM</t>
  </si>
  <si>
    <t>WOS:000678284900001</t>
  </si>
  <si>
    <t>Ferreira, JG</t>
  </si>
  <si>
    <t>Ferreira, Jackeline Granados</t>
  </si>
  <si>
    <t>The impact of artificial intelligence on workers laid off by service automation</t>
  </si>
  <si>
    <t>REVISTA CES DERECHO</t>
  </si>
  <si>
    <t>right to work; worker dismissal; artificial intelligence; employment automation; fourth industrial revolution</t>
  </si>
  <si>
    <t>This article makes a theoretical, conceptual and historical analysis of automation and artificial intelligence, in contrast to the legal and political tools that can currently be used to treat the labor guarantees of workers fired by these technologies. First, a dissertation is given on the future of employment in the era of automation; then the implementation of artificial intelligence from the perspective of the workers will be studied, and finally the legal tools that exist at the national and international level are documented to provide legal guarantees to workers and thus respond, what guarantees do workers fired for companies, when implementing artificial intelligence to automate services?</t>
  </si>
  <si>
    <t>[Ferreira, Jackeline Granados] Univ Ind Santander, Derecho Laboral &amp; Seguridad Social, Santander, Colombia</t>
  </si>
  <si>
    <t>Universidad Industrial de Santander</t>
  </si>
  <si>
    <t>Ferreira, JG (corresponding author), Univ Ind Santander, Derecho Laboral &amp; Seguridad Social, Santander, Colombia.</t>
  </si>
  <si>
    <t>UNIV CES</t>
  </si>
  <si>
    <t>MEDELLIN</t>
  </si>
  <si>
    <t>CALLE 10 A, NO 22, MEDELLIN, 00000, COLOMBIA</t>
  </si>
  <si>
    <t>2145-7719</t>
  </si>
  <si>
    <t>REV CES DERECHO</t>
  </si>
  <si>
    <t>Rev. CES Derecho</t>
  </si>
  <si>
    <t>10.21615/cesder.7416</t>
  </si>
  <si>
    <t>CF2V5</t>
  </si>
  <si>
    <t>WOS:001123780000006</t>
  </si>
  <si>
    <t>Reeder, K; Lee, H</t>
  </si>
  <si>
    <t>Reeder, Kristen; Lee, Hwan</t>
  </si>
  <si>
    <t>Impact of artificial intelligence on US medical students' choice of radiology</t>
  </si>
  <si>
    <t>CLINICAL IMAGING</t>
  </si>
  <si>
    <t>Artificial intelligence; Medical education; Radiology; Career choice</t>
  </si>
  <si>
    <t>Purpose: International student surveys have shown significant anxiety about pursuing radiology as a career due to artificial intelligence (AI). For a counterpart study in the US, we examined the impact of AI on US medical students' choice of radiology as a career, and how such impact is influenced by students' opinions on and exposures to AI and radiology. Methods: Students across 32 US medical schools participated in an anonymous online survey. The respondents' radiology ranking with and without AI were compared. Among those considering radiology within their top 3 choices, change in radiology ranking due to AI was statistically examined for association with baseline characteristics, subjective opinions, and prior exposures. Results: AI significantly lowered students' preference for ranking radiology (P &lt; .001). One-sixth of students who would have chosen radiology as the first choice did not do so because of AI, and approximately half of those considering radiology within their top 3 choices remained concerned about AI. Ranking radiology lower due to AI was associated with greater concerns about AI (P &lt; .001), less perceived understanding of radiology (P = .02), predicting a decrease in job opportunities (P &lt; .001), and exposure to AI through medical students/family (P = .03) as well as through radiology attendings and residents (P = .03). Education on AI during radiology rotations, followed by pre-clinical lectures, was the most preferred way to learn about AI. Conclusion: AI has a significantly negative impact on US medical students' choice of radiology as a career, a phenomenon influenced by both individual concerns and exposure to AI from the medical community.</t>
  </si>
  <si>
    <t>[Reeder, Kristen] Quinnipiac Univ, Frank H Netter MD Sch Med, MD Program, 370 Bassett Rd, North Haven, CT USA; [Lee, Hwan] Univ Penn, Perelman Sch Med, Dept Radiol, 3400 Spruce St, Philadelphia, PA 19104 USA</t>
  </si>
  <si>
    <t>Quinnipiac University; University of Pennsylvania</t>
  </si>
  <si>
    <t>Lee, H (corresponding author), Dept Radiol, 3400 Spruce St, Philadelphia, PA 19104 USA.</t>
  </si>
  <si>
    <t>Hwan.Lee@pennmedicine.upenn.edu</t>
  </si>
  <si>
    <t>Lee, Hwan/0000-0001-6950-1207</t>
  </si>
  <si>
    <t>0899-7071</t>
  </si>
  <si>
    <t>1873-4499</t>
  </si>
  <si>
    <t>CLIN IMAG</t>
  </si>
  <si>
    <t>Clin. Imaging</t>
  </si>
  <si>
    <t>10.1016/j.clinimag.2021.09.018</t>
  </si>
  <si>
    <t>OCT 2021</t>
  </si>
  <si>
    <t>WE1HL</t>
  </si>
  <si>
    <t>WOS:000705378600013</t>
  </si>
  <si>
    <t>Heredia, MOT; Correo, YKD; Carballo, EV</t>
  </si>
  <si>
    <t>Heredia, Manuel Orlando Troncoso; Correo, Yolanda Katiuska Duenas; Carballo, Enrique Verdecia</t>
  </si>
  <si>
    <t>Artificial Intelligence and Education: New Relationships in an Interconnected World</t>
  </si>
  <si>
    <t>ESTUDIOS DEL DESARROLLO SOCIAL-CUBA Y AMERICA LATINA</t>
  </si>
  <si>
    <t>artificial intelligence; learning; education; teaching</t>
  </si>
  <si>
    <t>Artificial intelligence is capturing the attention of the community in general and the scientific community in particular, based on all the potential it has to facilitate certain processes of daily life. Education, specifically, for several decades has been experiencing the irruption of Information and Communication Technologies and at the same time has witnessed its evolution, as well as how much it can contribute to the creation of a much more attractive educational process, motivator and developer. Hence, the objective of this article is focused on evaluating how artificial intelligence has impacted teaching, learning and the areas of administration and management of education. For this, a qualitative research study was used, taking advantage of the review of 250 scientific texts, including journal articles, professional publications and conference reports. This study allowed us to determine that, in general, artificial intelligence has had a great impact on education, particularly in the areas of administration, instruction and learning in the education sector or within the context of individual learning institutions.</t>
  </si>
  <si>
    <t>[Heredia, Manuel Orlando Troncoso] Minist Relac Exteriores &amp; Movil Humana, Quito, Ecuador; [Correo, Yolanda Katiuska Duenas] Minist Educ, Quito, Ecuador; [Carballo, Enrique Verdecia] Univ Habana, Fac Latinoamericana Ciencias Sociales, Programa Cuba, Havana, Cuba</t>
  </si>
  <si>
    <t>Universidad de la Habana</t>
  </si>
  <si>
    <t>Heredia, MOT (corresponding author), Minist Relac Exteriores &amp; Movil Humana, Quito, Ecuador.</t>
  </si>
  <si>
    <t>orlando_troncoso1@yahoo.es; nanesda@hotmail.com; enrique@flacso.uh.cu</t>
  </si>
  <si>
    <t>UNIV HABANA</t>
  </si>
  <si>
    <t>CALLE SAN LAZARO ESQ L VEDADO, HAVANA, 4, CUBA</t>
  </si>
  <si>
    <t>2308-0132</t>
  </si>
  <si>
    <t>ESTUD DESARRO SOC</t>
  </si>
  <si>
    <t>Estud. Desarro. Soc.</t>
  </si>
  <si>
    <t>MAY-AUG</t>
  </si>
  <si>
    <t>Area Studies</t>
  </si>
  <si>
    <t>G4EX5</t>
  </si>
  <si>
    <t>WOS:000988718500001</t>
  </si>
  <si>
    <t>Alkesijevic, A; Aleksijevic, M</t>
  </si>
  <si>
    <t>Erceg, A; Pozega, Z</t>
  </si>
  <si>
    <t>Alkesijevic, Agneza; Aleksijevic, Marko</t>
  </si>
  <si>
    <t>SYNERGY OF ARTIFICIAL INTELLIGENCE AND HEALTHCARE</t>
  </si>
  <si>
    <t>INTERDISCIPLINARY MANAGEMENT RESEARCH XVIII (IMR 2022)</t>
  </si>
  <si>
    <t>Interdisciplinary Management Research-Interdisziplinare Managementforschung</t>
  </si>
  <si>
    <t>18th Conference on Interdisciplinary Management Research (IMR)</t>
  </si>
  <si>
    <t>MAY 05-07, 2022</t>
  </si>
  <si>
    <t>Opatija, CROATIA</t>
  </si>
  <si>
    <t>Fac Econ Osijek,Postgraduate Doct Study Program Management,Josip Juraj Strossmayer Univ Osijek,Hochschule Pforzheim Univ,Croatian Acad Sci &amp; Arts</t>
  </si>
  <si>
    <t>Artificial intelligence (AI); implementation; health system; digital legal framework</t>
  </si>
  <si>
    <t>We are witnessing the fact that artificial intelligence (AI) is advancing daily in the healthcare system, and with each new implementation, we expect an improvement in outcomes. Computer science also includes artificial intelligence, which aims at implementing a form of intelligence in computers that would meet new challenges. AI provides new opportunities and personalized health interventions and services based on advanced technologies for effective service management and health decisions. Trust and the impact of trust on clinicians through the factors that form trust in AI are essential for developing the system in clinical use and the uncertainty that comes with the known and the unknown. By building trust, healthcare professionals and our clients will recognize and take advantage of many opportunities and challenges offered by AI through better diagnostics, prevention, and treatment accompanied by increased cost-effectiveness. We are taught that the goal of health care management is to provide effective client-centered care in a fair and timely manner. One of the tools may be AI, which uses stored data to improve the clinical quality of health services. There are high expectations from AI to address growing health data effectively. The digital decade that follows is the path we will travel together. We will incorporate our experiences ideas with confidence and belief that this is the path to the future, the path of safe artificial intelligence. AI is based on applicable laws and regulations to ensure ethical principles and values. This review paper will present views of health scales based on current knowledge regarding artificial intelligence in healthcare.</t>
  </si>
  <si>
    <t>[Alkesijevic, Agneza] Natl Mem Hosp Vukovar, Vukovar, Croatia; [Aleksijevic, Marko] Josip Juraj Strossmayer Univ Osijek, Fac Dent Med &amp; Hlth Osijek, Osijek, Croatia</t>
  </si>
  <si>
    <t>University of JJ Strossmayer Osijek</t>
  </si>
  <si>
    <t>Alkesijevic, A (corresponding author), Natl Mem Hosp Vukovar, Vukovar, Croatia.</t>
  </si>
  <si>
    <t>aaleksijevic@gmail.com; marko.aleksijevic@yahoo.com</t>
  </si>
  <si>
    <t>1847-0408</t>
  </si>
  <si>
    <t>INTERDISC MANAG RES</t>
  </si>
  <si>
    <t>Business, Finance; Management</t>
  </si>
  <si>
    <t>BT5VO</t>
  </si>
  <si>
    <t>WOS:000838680600037</t>
  </si>
  <si>
    <t>Martínez, L; Reveco-Toledot, F; Guevara, F; Laplagne, C</t>
  </si>
  <si>
    <t>Martinez, Liliana; Reveco-Toledot, Florencia; Guevara, Franco; Laplagne, Cristina</t>
  </si>
  <si>
    <t>Artificial Intelligence in home hospitalisation</t>
  </si>
  <si>
    <t>2024 14TH INTERNATIONAL SYMPOSIUM ON COMMUNICATION SYSTEMS, NETWORKS AND DIGITAL SIGNAL PROCESSING, CSNDSP 2024</t>
  </si>
  <si>
    <t>International Symposium on Communication Systems Networks and Digital Signal Processing</t>
  </si>
  <si>
    <t>14th International Symposium on Communication Systems, Networks and Digital Signal Processing (CSNDSP)</t>
  </si>
  <si>
    <t>JUL 17-19, 2024</t>
  </si>
  <si>
    <t>Artificial intelligence; home hospitalisation; Healthcare Technology; Vital signs monitoring</t>
  </si>
  <si>
    <t>This study explores the integration of artificial intelligence (AI) in home hospitalisation services in San Juan, Argentina. By analysing interdisciplinary team training and data collection methods, the research demonstrates how AI tools enhance patient care. A virtual survey among healthcare professionals highlights the benefits of 24-hour vital signs monitoring, revealing the impact of socio-cultural factors and treatment adjustments. The findings emphasize the transition from traditional data management to AI-driven applications, improving decision-making and patient outcomes.</t>
  </si>
  <si>
    <t>[Martinez, Liliana; Guevara, Franco; Laplagne, Cristina] Natl Univ San Juan, San Juan, Argentina; [Reveco-Toledot, Florencia] Santiago Chile Univ, Dept Elect Engn, Santiago, Chile</t>
  </si>
  <si>
    <t>Universidad Nacional de San Juan</t>
  </si>
  <si>
    <t>Martínez, L (corresponding author), Natl Univ San Juan, San Juan, Argentina.</t>
  </si>
  <si>
    <t>liliana.martinez@iee.org; florencia.reveco@usach.cl; francoelcabe_011@hotmail.com; claplagne@unsj.edu.ar</t>
  </si>
  <si>
    <t>University of Santiago de Chile [Dicyt 062413SG]; Vice-Rector's Office for Research, Innovation and Creation; CICITCA Projects 2023-2024</t>
  </si>
  <si>
    <t>University of Santiago de Chile; Vice-Rector's Office for Research, Innovation and Creation; CICITCA Projects 2023-2024</t>
  </si>
  <si>
    <t>The authors appreciate the collaboration of San Juan National University. They also appreciate the financial support of the CICITCA Projects 2023-2024. Resolution 591-CS-23.UNSJ,Argentina. In addition, the support of the University of Santiago de Chile, with Projects Dicyt 062413SG, Vice-Rector's Office for Research, Innovation and Creation, is gratefully acknowledged.</t>
  </si>
  <si>
    <t>2475-6415</t>
  </si>
  <si>
    <t>979-8-3503-4875-0; 979-8-3503-4874-3</t>
  </si>
  <si>
    <t>Comm Sys Netw Digit</t>
  </si>
  <si>
    <t>10.1109/CSNDSP60683.2024.10636609</t>
  </si>
  <si>
    <t>Engineering, Electrical &amp; Electronic; Telecommunications</t>
  </si>
  <si>
    <t>Engineering; Telecommunications</t>
  </si>
  <si>
    <t>BX7PL</t>
  </si>
  <si>
    <t>WOS:001324588800105</t>
  </si>
  <si>
    <t>Yang, SF; Ma, D; Shen, ZY; Wen, L; Dong, L</t>
  </si>
  <si>
    <t>Yang Shoufu; Ma Dan; Shen Zuiyi; Wen Lin; Dong Li</t>
  </si>
  <si>
    <t>The impact of artificial intelligence industry agglomeration on economic complexity</t>
  </si>
  <si>
    <t>ECONOMIC RESEARCH-EKONOMSKA ISTRAZIVANJA</t>
  </si>
  <si>
    <t>Artificial intelligence; industry agglomeration; economic complexity; agglomeration externality</t>
  </si>
  <si>
    <t>INNOVATION; PRODUCTIVITY; COUNTRIES; FUTURE; INPUTS; MODEL; ASIA; AL</t>
  </si>
  <si>
    <t>Artificial intelligence (AI) is a fundamental driver of technological and economic growth. However, few studies have focused on the impact of AI industry agglomeration on economic complexity. This study uses a unique dataset of 2,503,795 AI enterprises in China collected through web crawlers to measure AI industrial agglomeration and examine the relationship between AI industry agglomeration and economic complexity in 194 Chinese cities based on Marshall industry agglomeration theory. The study's results show that AI industry clustering increases economic complexity. The mechanism analysis indicates that people and knowledge are the channels through which it boosts economic complexity. Unexpectedly, AI industry agglomeration does not improve the economic complexity index (ECI) through the goods path. This study proposes three possible explanations for this result. First, AI industrial clustering may lead to excessive rivalry in China's intermediate product market. Hence, sharing intermediate inputs has no increasing returns effect. Second, the city's high-end talent is not fairly distributed due to China's uneven development. Finally, policies drive the formation of China's AI industrial agglomeration, which does not develop naturally. Consequently, China should implement a talent- and knowledge-driven AI agglomeration. To avoid overcrowding, policies must match regional development.</t>
  </si>
  <si>
    <t>[Yang Shoufu; Ma Dan] Southwestern Univ Finance &amp; Econ, Sch Stat, Chengdu, Peoples R China; [Shen Zuiyi] Zhejiang Ocean Univ, Sch Econ &amp; Management, Zhoushan, Zhejiang, Peoples R China; [Wen Lin] Peoples Bank China, Guiyang Cent Sub Branch, Guiyang, Peoples R China; [Dong Li] China Womens Univ, Sch Management, Beijing, Peoples R China</t>
  </si>
  <si>
    <t>Southwestern University of Finance &amp; Economics - China; Zhejiang Ocean University; People's Bank of China; China Women's University</t>
  </si>
  <si>
    <t>Dong, L (corresponding author), China Womens Univ, Sch Management, Beijing, Peoples R China.</t>
  </si>
  <si>
    <t>18444510@qq.com</t>
  </si>
  <si>
    <t>Dong, Li/I-9812-2019</t>
  </si>
  <si>
    <t>Yang, Shoufu/0000-0002-2905-9917</t>
  </si>
  <si>
    <t>National Social Science Foundation of China [21ZD149]</t>
  </si>
  <si>
    <t>National Social Science Foundation of China(National Office of Philosophy and Social Sciences)</t>
  </si>
  <si>
    <t>The work is supported by the National Social Science Foundation of China [grant number No.21&amp;ZD149].</t>
  </si>
  <si>
    <t>1331-677X</t>
  </si>
  <si>
    <t>1848-9664</t>
  </si>
  <si>
    <t>ECON RES-EKON ISTRAZ</t>
  </si>
  <si>
    <t>Ekon. Istraz.</t>
  </si>
  <si>
    <t>DEC 31</t>
  </si>
  <si>
    <t>10.1080/1331677X.2022.2089194</t>
  </si>
  <si>
    <t>8M4VV</t>
  </si>
  <si>
    <t>WOS:000813702400001</t>
  </si>
  <si>
    <t>Kranz, A; Abele, H</t>
  </si>
  <si>
    <t>Kranz, Angela; Abele, Harald</t>
  </si>
  <si>
    <t>The Impact of Artificial Intelligence (AI) on Midwifery Education: A Scoping Review</t>
  </si>
  <si>
    <t>HEALTHCARE</t>
  </si>
  <si>
    <t>midwifery; higher education; artificial intelligence</t>
  </si>
  <si>
    <t>MEDICAL-EDUCATION</t>
  </si>
  <si>
    <t>As in other healthcare professions, artificial intelligence will influence midwifery education. To prepare midwifes for a future where AI plays a significant role in healthcare, educational requirements need to be adapted. This scoping review aims to outline the current state of research regarding the impact of AI on midwifery education. The review follows the framework of Arksey and O'Malley and the PRISMA-ScR. Two databases (Academic Search Premier and PubMed) were searched for different search strings, following defined inclusion criteria, and six articles were included. The results indicate that midwifery practice and education is faced with several challenges as well as opportunities when integrating AI. All articles see the urgent need to implement AI technologies into midwifery education for midwives to actively participate in AI initiatives and research. Midwifery educators need to be trained and supported to use and teach AI technologies in midwifery. In conclusion, the integration of AI in midwifery education is still at an early stage. There is a need for multidisciplinary research. The analysed literature indicates that midwifery curricula should integrate AI at different levels for graduates to be prepared for their future in healthcare.</t>
  </si>
  <si>
    <t>[Kranz, Angela; Abele, Harald] Univ Tubingen, Inst Hlth Sci, Sect Midwifery Sci, D-72076 Tubingen, Germany; [Abele, Harald] Univ Hosp Tubingen, Dept Womens Hlth, D-72076 Tubingen, Germany</t>
  </si>
  <si>
    <t>Eberhard Karls University of Tubingen; Eberhard Karls University of Tubingen; Eberhard Karls University Hospital</t>
  </si>
  <si>
    <t>Kranz, A (corresponding author), Univ Tubingen, Inst Hlth Sci, Sect Midwifery Sci, D-72076 Tubingen, Germany.</t>
  </si>
  <si>
    <t>angela.kranz@med.uni-tuebingen.de; harald.abele@med.uni-tuebingen.de</t>
  </si>
  <si>
    <t>Kranz, Angela/JQV-6903-2023</t>
  </si>
  <si>
    <t>Kranz, Angela/0000-0001-6849-3217</t>
  </si>
  <si>
    <t>Open Access Publishing Fund of University of Tubingen</t>
  </si>
  <si>
    <t>We acknowledge support from the Open Access Publishing Fund of University of Tubingen.</t>
  </si>
  <si>
    <t>2227-9032</t>
  </si>
  <si>
    <t>HEALTHCARE-BASEL</t>
  </si>
  <si>
    <t>Healthcare</t>
  </si>
  <si>
    <t>10.3390/healthcare12111082</t>
  </si>
  <si>
    <t>Health Care Sciences &amp; Services; Health Policy &amp; Services</t>
  </si>
  <si>
    <t>Health Care Sciences &amp; Services</t>
  </si>
  <si>
    <t>UF7Q5</t>
  </si>
  <si>
    <t>WOS:001246714300001</t>
  </si>
  <si>
    <t>Paz, CA</t>
  </si>
  <si>
    <t>Araya Paz, Carlos</t>
  </si>
  <si>
    <t>Legal challenges for artificial intelligence in Chile</t>
  </si>
  <si>
    <t>REVISTA CHILENA DE DERECHO Y TECNOLOGIA</t>
  </si>
  <si>
    <t>Artificial intelligence; innovation; liability; Chile</t>
  </si>
  <si>
    <t>Artificial intelligence is a technology that is revolutionizing the way society interacts, consumes, and expresses itself. From recommendation systems in search engines to predictive text in emails this technology has generated intense debate that has even faced ethical issues. Its undeniable impact on human life motivates a series of questions from a legal perspective. This article seeks to immerse itself in these questions and propose some solutions, from the same technology and understanding its basics features.</t>
  </si>
  <si>
    <t>carlosarayapaz@gmail.com</t>
  </si>
  <si>
    <t>Pérez, Carlos/M-9006-2018</t>
  </si>
  <si>
    <t>UNIV CHILE, FAC DERECHO</t>
  </si>
  <si>
    <t>SANTIAGO DE CHILE</t>
  </si>
  <si>
    <t>PIO NONO NO 1, PROVIDENCIA, SANTIAGO DE CHILE, 00000, CHILE</t>
  </si>
  <si>
    <t>0719-2576</t>
  </si>
  <si>
    <t>0719-2584</t>
  </si>
  <si>
    <t>REV CHIL DERECHO TEC</t>
  </si>
  <si>
    <t>Rev. Chil. Derecho Tecnol.</t>
  </si>
  <si>
    <t>10.5354/0719-2584.2020.54489</t>
  </si>
  <si>
    <t>PO5DK</t>
  </si>
  <si>
    <t>WOS:000605189400011</t>
  </si>
  <si>
    <t>Chen, J; Huang, SJ; BalaMurugan, S; Tamizharasi, GS</t>
  </si>
  <si>
    <t>Chen, Jie; Huang, Shoujun; BalaMurugan, S.; Tamizharasi, G. S.</t>
  </si>
  <si>
    <t>Artificial intelligence based e-waste management for environmental planning</t>
  </si>
  <si>
    <t>ENVIRONMENTAL IMPACT ASSESSMENT REVIEW</t>
  </si>
  <si>
    <t>E-waste; Artificial intelligence; Environmental planning</t>
  </si>
  <si>
    <t>Electronic waste is one of the world's rapidly increasing environmental issues because a wide range of toxic substances are not closely monitored that can pollute the atmosphere and affect health. This paper proposes an Artificial Intelligence Technique (AIT) for the analysis of hazardous pollutants in e-waste and their effects on the climate and human health and management policies in certain countries. Artificial Intelligence Techniques (AIT) are being developed for managing e-waste, especially based on prevailing strategies such as Life Cycle Assessment (LCA), Multi-Criteria Analysis (MCA), and Extended Producer Responsibility (EPR). In the e-waste management sector, eco-design systems must be created, e-waste properly processed, recycled, and reused content through safe methods, e-waste disposed of using appropriate techniques, used electronic devices cannot be transferred to developing countries, and the burden of e-waste should be increased. Artificial intelligence-based MCA and EPR is a reasonable approach to address the increasing problems with e-wastes.</t>
  </si>
  <si>
    <t>[Chen, Jie] Chongqing Univ Posts &amp; Telecommun, Sch Innovat &amp; Entrepreneurship Educ, Chongqing 400065, Peoples R China; [Huang, Shoujun] Univ Sci &amp; Technol China, Sch Publ Affairs, Hefei 230026, Peoples R China; [BalaMurugan, S.] Intelligent Res Consultancy Serv iRCS, Coimbatore 641014, Tamil Nadu, India; [Tamizharasi, G. S.] Vellore Inst Technol VIT, Sch Comp Sci &amp; Engn, Vellore 632014, Tamil Nadu, India</t>
  </si>
  <si>
    <t>Chongqing University of Posts &amp; Telecommunications; Chinese Academy of Sciences; University of Science &amp; Technology of China, CAS; Vellore Institute of Technology (VIT); VIT Vellore</t>
  </si>
  <si>
    <t>Huang, SJ (corresponding author), Univ Sci &amp; Technol China, Sch Publ Affairs, Hefei 230026, Peoples R China.</t>
  </si>
  <si>
    <t>huangshj29@mail.sysu.edu.cn</t>
  </si>
  <si>
    <t>Huang, Shoujun/GOH-1927-2022</t>
  </si>
  <si>
    <t>G Seetharaman, Tamizharasi/0000-0001-6629-4644</t>
  </si>
  <si>
    <t>Major Program of National Social Science Foundation of China [19ZDA082]</t>
  </si>
  <si>
    <t>Major Program of National Social Science Foundation of China(National Natural Science Foundation of China (NSFC))</t>
  </si>
  <si>
    <t>This work was supported by the Major Program of National Social Science Foundation of China (19ZDA082).</t>
  </si>
  <si>
    <t>0195-9255</t>
  </si>
  <si>
    <t>1873-6432</t>
  </si>
  <si>
    <t>ENVIRON IMPACT ASSES</t>
  </si>
  <si>
    <t>Environ. Impact Assess. Rev.</t>
  </si>
  <si>
    <t>10.1016/j.eiar.2020.106498</t>
  </si>
  <si>
    <t>QC3DS</t>
  </si>
  <si>
    <t>WOS:000614713900004</t>
  </si>
  <si>
    <t>Ivanov, S</t>
  </si>
  <si>
    <t>Ivanov, Stanislav</t>
  </si>
  <si>
    <t>The dark side of artificial intelligence in higher education</t>
  </si>
  <si>
    <t>SERVICE INDUSTRIES JOURNAL</t>
  </si>
  <si>
    <t>Artificial intelligence; higher education; negative impacts; ethics; decision-making approaches</t>
  </si>
  <si>
    <t>CRITICAL THINKING; CREATIVITY; ENTREPRENEURSHIP; DISCRIMINATION; AI</t>
  </si>
  <si>
    <t>The paper focuses on the negative aspects of artificial intelligence in higher education such as biases in the datasets and algorithms, plagiarism, factual incorrectness, micromanagement of students and employees, manipulation of behaviour, uberveillance, overreliance on AI, lack of or low explainability and transparency of AI's decisions, loss of skills, and privacy concerns. The paper adopts an operations management perspective and discusses the negative aspects of AI in the various processes in higher education institutions such as enrolment of students, hiring of employees, teaching/learning/assessment, administrative activities, research, socialisation and well-being of students, remuneration, appraisal and wellbeing of employees. Special attention is paid to AI's impacts on ethics, creativity and critical thinking. Potential solutions to avoid or mitigate the negative impacts of AI, theoretical, managerial and policy implications are discussed as well.</t>
  </si>
  <si>
    <t>[Ivanov, Stanislav] Varna Univ Management, Dept Tourism, Varna, Bulgaria; [Ivanov, Stanislav] Zangador Res Inst, Varna, Bulgaria; [Ivanov, Stanislav] Varna Univ Management, 13A Oborishte Str, Varna 9000, Bulgaria</t>
  </si>
  <si>
    <t>Varna University of Management; Varna University of Management</t>
  </si>
  <si>
    <t>Ivanov, S (corresponding author), Varna Univ Management, 13A Oborishte Str, Varna 9000, Bulgaria.</t>
  </si>
  <si>
    <t>stanislav.ivanov@vumk.eu</t>
  </si>
  <si>
    <t>Ivanov, Stanislav/D-7692-2012</t>
  </si>
  <si>
    <t>0264-2069</t>
  </si>
  <si>
    <t>1743-9507</t>
  </si>
  <si>
    <t>SERV IND J</t>
  </si>
  <si>
    <t>Serv. Ind. J.</t>
  </si>
  <si>
    <t>DEC 10</t>
  </si>
  <si>
    <t>15-16</t>
  </si>
  <si>
    <t>10.1080/02642069.2023.2258799</t>
  </si>
  <si>
    <t>W0NC8</t>
  </si>
  <si>
    <t>WOS:001077504000001</t>
  </si>
  <si>
    <t>Arawi, T; El Bachour, J; El Khansa, T</t>
  </si>
  <si>
    <t>Arawi, Thalia; El Bachour, Joseph; El Khansa, Tala</t>
  </si>
  <si>
    <t>The Fourth Industrial Revolution: Its Impact on Artificial Intelligence and Medicine in Developing Countries</t>
  </si>
  <si>
    <t>ASIAN BIOETHICS REVIEW</t>
  </si>
  <si>
    <t>Artificial intelligence; Fourth industrial revolution; Medical education; LMIC; AI ethics</t>
  </si>
  <si>
    <t>Artificial intelligence (AI) is the ability of a digital computer or computer-controlled robot to perform tasks commonly associated with intelligent beings. Artificial intelligence can be both a blessing and a curse, and potentially a double-edged sword if not carefully wielded. While it holds massive potential benefits to humans-particularly in healthcare by assisting in treatment of diseases, surgeries, record keeping, and easing the lives of both patients and doctors, its misuse has potential for harm through impact of biases, unemployment, breaches of privacy, and lack of accountability to mention a few. In this article, we discuss the fourth industrial revolution, through a focus on the core of this phenomenon, artificial intelligence. We outline what the fourth industrial revolution is, its basis around AI, and how this infiltrates human lives and society, akin to a transcendence. We focus on the potential dangers of AI and the ethical concerns it brings about particularly in developing countries in general and conflict zones in particular, and we offer potential solutions to such dangers. While we acknowledge the importance and potential of AI, we also call for cautious reservations before plunging straight into the exciting world of the future, one which we long have heard of only in science fiction movies.</t>
  </si>
  <si>
    <t>[Arawi, Thalia; El Bachour, Joseph; El Khansa, Tala] Amer Univ Beirut, Fac Med, Salim Hoss Bioeth &amp; Professionalism Program SHBPP, Beirut, Lebanon; [Arawi, Thalia; El Bachour, Joseph; El Khansa, Tala] Med Ctr, Beirut, Lebanon</t>
  </si>
  <si>
    <t>American University of Beirut</t>
  </si>
  <si>
    <t>El Khansa, T (corresponding author), Amer Univ Beirut, Fac Med, Salim Hoss Bioeth &amp; Professionalism Program SHBPP, Beirut, Lebanon.;El Khansa, T (corresponding author), Med Ctr, Beirut, Lebanon.</t>
  </si>
  <si>
    <t>tk47@aub.edu.lb</t>
  </si>
  <si>
    <t>El Khansa, Tala/0000-0002-4145-9841; El Bachour, Joseph/0000-0002-9473-9935</t>
  </si>
  <si>
    <t>1793-8759</t>
  </si>
  <si>
    <t>1793-9453</t>
  </si>
  <si>
    <t>ASIAN BIOETHICS REV</t>
  </si>
  <si>
    <t>Asian Bioeth. Rev.</t>
  </si>
  <si>
    <t>10.1007/s41649-024-00284-7</t>
  </si>
  <si>
    <t>Ethics; Medical Ethics</t>
  </si>
  <si>
    <t>Social Sciences - Other Topics; Medical Ethics</t>
  </si>
  <si>
    <t>YV3A6</t>
  </si>
  <si>
    <t>WOS:001235751700001</t>
  </si>
  <si>
    <t>Asselbergs, FW; Fraser, AG</t>
  </si>
  <si>
    <t>Asselbergs, Folkert W.; Fraser, Alan G.</t>
  </si>
  <si>
    <t>Artificial intelligence in cardiology: the debate continues</t>
  </si>
  <si>
    <t>EUROPEAN HEART JOURNAL - DIGITAL HEALTH</t>
  </si>
  <si>
    <t>Artificial intelligence; Machine learning; Evidence-based practice</t>
  </si>
  <si>
    <t>In 1955, when John McCarthy and his colleagues proposed their first study of artificial intelligence, they suggested that 'every aspect of learning or any other feature of intelligence can in principle be so precisely described that a machine can be made to simulate it'. Whether that might ever be possible would depend on how we define intelligence, but what is indisputable is that new methods are needed to analyse and interpret the copious information provided by digital medical images, genomic databases, and biobanks. Technological advances have enabled applications of artificial intelligence (AI) including machine learning (ML) to be implemented into clinical practice, and their related scientific literature is exploding. Advocates argue enthusiastically that AI will transform many aspects of clinical cardiovascular medicine, while sceptics stress the importance of caution and the need for more evidence. This report summarizes the main opposing arguments that were presented in a debate at the 2021 Congress of the European Society of Cardiology. Artificial intelligence is an advanced analytical technique that should be considered when conventional statistical methods are insufficient, but testing a hypothesis or solving a clinical problem-not finding another application for AI-remains the most important objective. Artificial intelligence and ML methods should be transparent and interpretable, if they are to be approved by regulators and trusted to provide support for clinical decisions. Physicians need to understand AI methods and collaborate with engineers. Few applications have yet been shown to have a positive impact on clinical outcomes, so investment in research is essential. [GRAPHICS] .</t>
  </si>
  <si>
    <t>[Asselbergs, Folkert W.] Univ Med Ctr Utrecht, Dept Cardiol, Div Heart &amp; Lungs, Heidelberglaan 100, NL-3584 CX Utrecht, Netherlands; [Asselbergs, Folkert W.] UCL, Inst Hlth Informat, 222 Euston Rd, London NW1 2DA, England; [Asselbergs, Folkert W.] UCL, Inst Cardiovasc Sci, 222 Euston Rd, London NW1 2DA, England; [Asselbergs, Folkert W.] Univ Coll London Hosp, NIHR BRC Clin Res Informat Unit, London, England; [Fraser, Alan G.] Cardiff Univ, Univ Hosp Wales, Sch Med, Heath Pk, Cardiff CF14 4XW, Wales; [Fraser, Alan G.] Katholieke Univ Leuven, UZ Gasthuisberg, Cardiovasc Imaging &amp; Dynam, Herestr 49, B-3000 Leuven, Belgium</t>
  </si>
  <si>
    <t>Utrecht University; Utrecht University Medical Center; University of London; University College London; University of London; University College London; University College London Hospitals NHS Foundation Trust; University of London; University College London; Cardiff University; KU Leuven; University Hospital Leuven</t>
  </si>
  <si>
    <t>Fraser, AG (corresponding author), Cardiff Univ, Univ Hosp Wales, Sch Med, Heath Pk, Cardiff CF14 4XW, Wales.;Fraser, AG (corresponding author), Katholieke Univ Leuven, UZ Gasthuisberg, Cardiovasc Imaging &amp; Dynam, Herestr 49, B-3000 Leuven, Belgium.</t>
  </si>
  <si>
    <t>fraserag@cf.ac.uk</t>
  </si>
  <si>
    <t>Asselbergs, Folkert Wouter/0000-0002-1692-8669; Fraser, Alan/0000-0001-7083-6995</t>
  </si>
  <si>
    <t>UCL Hospitals (University College London) NIHR (National Institute for Health Research) Biomedical Research Centre; EU/EFPIA (European Union/European Federation of Pharmaceutical Industries and Associations) Innovative Medicines Initiative 2 Joint Undertaking BigData@Heart [116074]; European Union Horizon 2020 Research and Innovation Programme [965246]</t>
  </si>
  <si>
    <t>UCL Hospitals (University College London) NIHR (National Institute for Health Research) Biomedical Research Centre; EU/EFPIA (European Union/European Federation of Pharmaceutical Industries and Associations) Innovative Medicines Initiative 2 Joint Undertaking BigData@Heart; European Union Horizon 2020 Research and Innovation Programme(Horizon 2020)</t>
  </si>
  <si>
    <t>F.W.A. is supported by UCL Hospitals (University College London) NIHR (National Institute for Health Research) Biomedical Research Centre, and the EU/EFPIA (European Union/European Federation of Pharmaceutical Industries and Associations) Innovative Medicines Initiative 2 Joint Undertaking BigData@Heart(116074).A.G.F.acknowledges funding from the European Union Horizon 2020 Research and Innovation Programme, to the CORE-MD project (Coordinating Research and Evidence for Medical Devices), under grant agreement number 965246.</t>
  </si>
  <si>
    <t>2634-3916</t>
  </si>
  <si>
    <t>EUR HEART J-DIGIT HL</t>
  </si>
  <si>
    <t>Eur. Heart. J.-Digit. Health</t>
  </si>
  <si>
    <t>10.1093/ehjdh/ztab090</t>
  </si>
  <si>
    <t>FL8X4</t>
  </si>
  <si>
    <t>WOS:001146053400028</t>
  </si>
  <si>
    <t>Galichkina, EN</t>
  </si>
  <si>
    <t>Galichkina, Elena N.</t>
  </si>
  <si>
    <t>CONCEPTUALIZATION OF ARTIFICIAL INTELLIGENCE IN RUSSIAN MEDIA DISCOURSE</t>
  </si>
  <si>
    <t>VESTNIK VOLGOGRADSKOGO GOSUDARSTVENNOGO UNIVERSITETA-SERIYA 2-YAZYKOZNANIE</t>
  </si>
  <si>
    <t>artificial intelligence; conceptualization; media discourse; concept; language means; syntactic models</t>
  </si>
  <si>
    <t>The article focuses on the tendencies in artificial intelligence (AI) conceptualization based on the analysis of Russian media discourse. The conceptual, figurative and axiological features of AI as an abstract mental formation are identified. The conceptualization of artificial intelligence is shown to be represented in two directions: the ability of an artificial system to perform tasks that mimic human cognitive abilities and the science of modelling computerized intellectual behavior. The nuclear features of the concept with the key representation in the word combination artificial intelligence are recorded in lexicographic sources and special-purpose dictionaries; they constitute the basis for the conceptualization of artificial intelligence in media discourse. In the figurative-and perceptual aspect, artificial intelligence is conceptualized as a living being endowed with physical characteristics and analytical abilities. Artificial intelligence is noted to be conceptualized in media discourse as an object of use, development, implementation, training, that performs a wide range of vital functions, and as a subject that demonstrates anthropomorphic characteristics (the ability to memorize, explain, analyze, etc.). The conceptualization of artificial intelligence in the value dimension manifests itself through positive assessment or possible harm. The utilitarian properties are evaluated positively, whereas the hypothetical impact on humans, in the case of uncontrolled headway in this area, is assessed negatively.</t>
  </si>
  <si>
    <t>[Galichkina, Elena N.] Astrakhan State Univ, Astrakhan, Russia</t>
  </si>
  <si>
    <t>Astrakhan State University</t>
  </si>
  <si>
    <t>Galichkina, EN (corresponding author), Astrakhan State Univ, Astrakhan, Russia.</t>
  </si>
  <si>
    <t>elenagalichkina@mail.ru</t>
  </si>
  <si>
    <t>VOLGOGRAD STATE UNIV</t>
  </si>
  <si>
    <t>VOLGOGRAD</t>
  </si>
  <si>
    <t>PR-KT UNIVERSITETSKII 100, VOLGOGRAD, 400062, RUSSIA</t>
  </si>
  <si>
    <t>1998-9911</t>
  </si>
  <si>
    <t>2409-1979</t>
  </si>
  <si>
    <t>VESTN VOLG GOS U-YAZ</t>
  </si>
  <si>
    <t>Vestn. Volgogr. Gos. Univ.-Ser. 2 Yazykoznanie</t>
  </si>
  <si>
    <t>10.15688/jvolsu2.2024.5.10</t>
  </si>
  <si>
    <t>R1Z4G</t>
  </si>
  <si>
    <t>WOS:001389514800010</t>
  </si>
  <si>
    <t>Hornjak, A</t>
  </si>
  <si>
    <t>Hornjak, Aleksandra</t>
  </si>
  <si>
    <t>The Impact of Artificial Intelligence on the Efficiency of E-government Student paper</t>
  </si>
  <si>
    <t>2024 23RD INTERNATIONAL SYMPOSIUM INFOTEH-JAHORINA, INFOTEH</t>
  </si>
  <si>
    <t>International Symposium on INFOTEH-JAHORINA</t>
  </si>
  <si>
    <t>23rd International Symposium INFOTEH-JAHORINA (INFOTEH)</t>
  </si>
  <si>
    <t>MAR 20-22, 2024</t>
  </si>
  <si>
    <t>Jahorina, BOSNIA &amp; HERCEG</t>
  </si>
  <si>
    <t>Artificial Intelligence; E-government; efficiency; Systematic Literature Review</t>
  </si>
  <si>
    <t>In response to the dynamic changes in citizens' lives, governments worldwide have embraced digital transformation through the implementation of e-government systems. This paper explores the transformative potential of artificial intelligence (AI) in enhancing the efficiency of e-government services. With the ability to process large datasets and make autonomous decisions, AI is positioned to optimize government operations and improve service delivery. The integration of AI in public policies reshapes governance by enabling data-informed decisions. The study employs a systematic literature review to assess the existing research landscape on the impact of AI on e-government efficiency.</t>
  </si>
  <si>
    <t>[Hornjak, Aleksandra] Univ Novi Sad, Dept Ind Engn &amp; Management, Fac Tech Sci, Novi Sad, Serbia</t>
  </si>
  <si>
    <t>University of Novi Sad</t>
  </si>
  <si>
    <t>Hornjak, A (corresponding author), Univ Novi Sad, Dept Ind Engn &amp; Management, Fac Tech Sci, Novi Sad, Serbia.</t>
  </si>
  <si>
    <t>aleksandra.hornjak@uns.ac.rs</t>
  </si>
  <si>
    <t>2767-9454</t>
  </si>
  <si>
    <t>979-8-3503-2994-0; 979-8-3503-0736-8</t>
  </si>
  <si>
    <t>INFOTEH JAHORINA</t>
  </si>
  <si>
    <t>10.1109/INFOTEH60418.2024.10495946</t>
  </si>
  <si>
    <t>Computer Science, Information Systems; Computer Science, Interdisciplinary Applications; Engineering, Electrical &amp; Electronic</t>
  </si>
  <si>
    <t>BW9LN</t>
  </si>
  <si>
    <t>WOS:001215550500027</t>
  </si>
  <si>
    <t>Mytrofanova, H; Yevtushenko, O; Hlukhyy, A; Lugovyy, M</t>
  </si>
  <si>
    <t>Mytrofanova, Hanna; Yevtushenko, Olha; Hlukhyy, Artem; Lugovyy, Mykyta</t>
  </si>
  <si>
    <t>METHODOLOGICAL PRINCIPLES OF IMPLEMENTING ARTIFICIAL INTELLIGENCE INTO ORGANIZATIONAL MANAGEMENT SYSTEM</t>
  </si>
  <si>
    <t>ACADEMY REVIEW</t>
  </si>
  <si>
    <t>artificial intelligence; organization management; change management</t>
  </si>
  <si>
    <t>The article examines the theoretical and methodological principles of integrating artificial intelligence into an organization's management system. It presents a cumulative model illustrating the impact of artificial intelligence on the organization's management mechanism, which identifies the subjects of influence, tools of influence, directions, and dimensions of influence. Additionally, it describes the challenges posed by the influence of artificial intelligence on the organization's management mechanism and outlines the main outcomes of this influence. The ways of improving management productivity in various dimensions (socio-technical, strategic-structural, innovative- organizational, task-oriented, information-system) have been systematized. The main results that the use of artificial intelligence offers to the organization have been highlighted, comprising the automation of routine tasks, the reallocation of working time to strategic and creative tasks, increased efficiency in decision-making through analytics and forecasting provided by artificial intelligence, improved external and internal communication, enhanced effectiveness in HR management, formulation of realistic and achievable strategies aligned with future changes, and the development of innovative products and services. An algorithm for introducing artificial intelligence into the organization's management system has been proposed. The allocation of 8 stages is substantiated as follows: formation of organizational culture; determination of the goals for implementing artificial intelligence; identification of the main performance indicators; establishment of an information base on the state of the management system; analysis of products using artificial intelligence; integration of artificial intelligence products into the management system; monitoring the results of artificial intelligence implementation; and conducting a management system audit. The factors related to the development, implementation, and adaptation of artificial intelligence within the organization's management system at each stage of its implementation have been considered. These factors include: rethinking the interaction between people and machines in the work environment; awareness among management and staff; organizational support; openness to innovation; staff resistance to change; the presence of a system for disseminating best practices; availability of critical skills for artificial intelligence implementation; ensuring ethical components such as bias, confidentiality, and transparency; integration of model results into relevant business processes; compatibility with other available information systems; and the satisfaction level of stakeholders with the outcomes of artificial intelligence implementation</t>
  </si>
  <si>
    <t>[Mytrofanova, Hanna; Yevtushenko, Olha; Hlukhyy, Artem; Lugovyy, Mykyta] Alfred Nobel Univ, Dnipro, Ukraine</t>
  </si>
  <si>
    <t>Alfred Nobel University</t>
  </si>
  <si>
    <t>Mytrofanova, H (corresponding author), Alfred Nobel Univ, Dnipro, Ukraine.</t>
  </si>
  <si>
    <t>gglukha@duan.edu.ua; manag@duan.edu.ua; artglu29@gmail.com; dn010697lnd@gmail.com</t>
  </si>
  <si>
    <t>ALFRED NOBEL UNIV</t>
  </si>
  <si>
    <t>DNIPRO</t>
  </si>
  <si>
    <t>SICHESLAVSKA NABEREZHNA ST, 18, DNIPRO, 49000, UKRAINE</t>
  </si>
  <si>
    <t>2074-5354</t>
  </si>
  <si>
    <t>2522-9745</t>
  </si>
  <si>
    <t>ACAD REV</t>
  </si>
  <si>
    <t>Acad. Rev.</t>
  </si>
  <si>
    <t>10.32342/2074-5354-2024-2-61-12</t>
  </si>
  <si>
    <t>Business, Finance; Economics; Management</t>
  </si>
  <si>
    <t>A7S2E</t>
  </si>
  <si>
    <t>WOS:001284490500012</t>
  </si>
  <si>
    <t>Generative Artificial Intelligence and E-Commerce</t>
  </si>
  <si>
    <t>Artificial intelligence; Electronic commerce; Generative adversarial networks; Market research; Consumer behavior</t>
  </si>
  <si>
    <t>This article explores how generative artificial intelligence (GAI) is transforming e-commerce, with major players and startups integrating such applications. It discusses GAI's impact on organizational structure, search costs, and consumer buying decisions.</t>
  </si>
  <si>
    <t>[Kshetri, Nir] Univ North Carolina Greensboro, Bryan Sch Business &amp; Econ, Greensboro, NC 27412 USA</t>
  </si>
  <si>
    <t>Kshetri, N (corresponding author), Univ North Carolina Greensboro, Bryan Sch Business &amp; Econ, Greensboro, NC 27412 USA.</t>
  </si>
  <si>
    <t>10.1109/MC.2023.3340772</t>
  </si>
  <si>
    <t>IR9J0</t>
  </si>
  <si>
    <t>WOS:001168172500016</t>
  </si>
  <si>
    <t>Gruetzemacher, R; Whittlestone, J</t>
  </si>
  <si>
    <t>Gruetzemacher, Ross; Whittlestone, Jess</t>
  </si>
  <si>
    <t>The transformative potential of artificial intelligence</t>
  </si>
  <si>
    <t>FUTURES</t>
  </si>
  <si>
    <t>Artificial Intelligence; Transformative AI; Human-level AI; Artificial general intelligence</t>
  </si>
  <si>
    <t>LOCK-IN; TECHNOLOGIES; REVOLUTION</t>
  </si>
  <si>
    <t>The terms 'human-level artificial intelligence' and 'artificial general intelligence' are widely used to refer to the possibility of advanced artificial intelligence (AI) with potentially extreme impacts on society. These terms are poorly defined and do not necessarily indicate what is most important with respect to future societal impacts. We suggest that the term 'transformative AI' is a helpful alternative, reflecting the possibility that advanced AI systems could have very large impacts on society without reaching human-level cognitive abilities. To be most useful, however, more analysis of what it means for AI to be 'transformative' is needed. In this paper, we propose three different levels on which AI might be said to be transformative, associated with different levels of societal change. We suggest that these distinctions would improve conversations between policy makers and decision makers concerning the mid-to long-term impacts of advances in AI. Further, we feel this would have a positive effect on strategic foresight efforts involving advanced AI, which we expect to illuminate paths to alternative futures. We conclude with a discussion of the benefits of our new framework and by highlighting directions for future work in this area.</t>
  </si>
  <si>
    <t>[Gruetzemacher, Ross] Wichita State Univ, W Frank Barton Sch Business, Wichita, KS 67260 USA; [Whittlestone, Jess] Univ Cambridge, Leverhulme Ctr Future Intelligence, Cambridge, England</t>
  </si>
  <si>
    <t>Wichita State University; University of Cambridge</t>
  </si>
  <si>
    <t>Gruetzemacher, R (corresponding author), Wichita State Univ, W Frank Barton Sch Business, Wichita, KS 67260 USA.</t>
  </si>
  <si>
    <t>ross.gruetzemacher@wichita.edu; jlw84@cam.ac.uk</t>
  </si>
  <si>
    <t>Gruetzemacher, Ross/0000-0002-1475-7480</t>
  </si>
  <si>
    <t>Berkeley Existential Risk Initiative</t>
  </si>
  <si>
    <t>The authors would like to thank Allan Dafoe, Ben Garfinkel, Matthijs Maas, Alexis Carlier, David Manheim, Shahar Edgerton Avin and Jose Hernandez-Orallo for their comments and discussion at different stages of this project. This collaboration was made possible by funding from the Berkeley Existential Risk Initiative.</t>
  </si>
  <si>
    <t>0016-3287</t>
  </si>
  <si>
    <t>1873-6378</t>
  </si>
  <si>
    <t>Futures</t>
  </si>
  <si>
    <t>10.1016/j.futures.2021.102884</t>
  </si>
  <si>
    <t>Economics; Regional &amp; Urban Planning</t>
  </si>
  <si>
    <t>XX8YW</t>
  </si>
  <si>
    <t>hybrid, Green Submitted</t>
  </si>
  <si>
    <t>WOS:000736574800006</t>
  </si>
  <si>
    <t>Adeyemi, OA; Ayoade, IA; Adeyemi, EO; Olanrele, OO; Eweoya, IO; Matthew, J</t>
  </si>
  <si>
    <t>Murphy, L; Morris, W; Dispenza, V; Jones, D; Thomas, A</t>
  </si>
  <si>
    <t>Adeyemi, Oluseyi Afolabi; Ayoade, Idowu Adetona; Adeyemi, Esther Onoge; Olanrele, Oladeji Oluniyi; Eweoya, Ibukun O.; Matthew, Joel</t>
  </si>
  <si>
    <t>Adoption of Artificial Intelligence in Operations Management: A Design-Oriented Review</t>
  </si>
  <si>
    <t>ADVANCES IN MANUFACTURING TECHNOLOGY XXXVI</t>
  </si>
  <si>
    <t>Advances in Transdisciplinary Engineering</t>
  </si>
  <si>
    <t>20th International Conference on Manufacturing Research / 37th International National Conference on Manufacturing Research (ICMR)</t>
  </si>
  <si>
    <t>SEP 06-08, 2023</t>
  </si>
  <si>
    <t>Aberystwyth Univ, Aberystwyth, WALES</t>
  </si>
  <si>
    <t>FSG,Dawson Shanahan,ABER,WIPAK,ArloesiAber AberInnovat,Mid Wales Mfg Grp,Consortium UK Univ Mfg &amp; Engn</t>
  </si>
  <si>
    <t>Aberystwyth Univ</t>
  </si>
  <si>
    <t>Artificial Intelligence; Operations Management; Review; Survey</t>
  </si>
  <si>
    <t>FUZZY; CONTROLLER</t>
  </si>
  <si>
    <t>This is a review conducted in relation to the application of artificial intelligence in operations management particularly in the design aspects between the years 2010 - 2021. The purpose of this paper is to provide a survey of the usage of artificial intelligence methods in operations management aimed at presenting the themes, trends, direction of research and its practical impacts. Artificial Intelligence is playing a major role in the fourth industrial revolution, and a lot of evolution in various operations management and engineering scope. Artificial Intelligence techniques are widely used by operations managers to solve a whole range of intractable problems. This study provides a forum for rapid evaluation of the works describing the theoretical and practical application of artificial intelligence methods in operations management. The study reports some novel aspects of artificial intelligence used for real-world operations/engineering applications towards solving problems, increased productivity, reducing costs and improved customer satisfaction.</t>
  </si>
  <si>
    <t>[Adeyemi, Oluseyi Afolabi; Matthew, Joel] Univ Hertfordshire, Sch Phys Engn &amp; Comp Sci, Hatfield, England; [Adeyemi, Esther Onoge] MyBnK, Logist &amp; IT Dept, London, England; [Ayoade, Idowu Adetona; Olanrele, Oladeji Oluniyi] First Tech Univ, Fac Engn, Ibadan, Nigeria; [Olanrele, Oladeji Oluniyi; Eweoya, Ibukun O.] Elizade Univ, Math &amp; Comp Sci Dept, Ilara Mokin, Nigeria</t>
  </si>
  <si>
    <t>University of Hertfordshire</t>
  </si>
  <si>
    <t>Adeyemi, OA (corresponding author), Univ Hertfordshire, Sch Phys Engn &amp; Comp Sci, Hatfield, England.</t>
  </si>
  <si>
    <t>o.adeyemi5@herts.ac.uk</t>
  </si>
  <si>
    <t>ADEYEMI, Oluseyi Afolabi/E-6320-2019</t>
  </si>
  <si>
    <t>ADEYEMI, Oluseyi Afolabi/0000-0002-3992-5591; AYOADE, Idowu Adetona/0000-0001-6201-8706; Olanrele, Oladeji/0000-0003-3080-175X</t>
  </si>
  <si>
    <t>IOS PRESS</t>
  </si>
  <si>
    <t>NIEUWE HEMWEG 6B, 1013 BG AMSTERDAM, NETHERLANDS</t>
  </si>
  <si>
    <t>2352-7528</t>
  </si>
  <si>
    <t>978-1-64368-466-6; 978-1-64368-467-3</t>
  </si>
  <si>
    <t>ADV TRANSDISCIPL ENG</t>
  </si>
  <si>
    <t>10.3233/ATDE230892</t>
  </si>
  <si>
    <t>Engineering, Manufacturing; Operations Research &amp; Management Science</t>
  </si>
  <si>
    <t>Engineering; Operations Research &amp; Management Science</t>
  </si>
  <si>
    <t>BW6KU</t>
  </si>
  <si>
    <t>WOS:001176429700002</t>
  </si>
  <si>
    <t>Hindocha, S; Zucker, K; Jena, R; Banfill, K; Mackay, K; Price, G; Pudney, D; Wang, J; Taylor, A</t>
  </si>
  <si>
    <t>Hindocha, S.; Zucker, K.; Jena, R.; Banfill, K.; Mackay, K.; Price, G.; Pudney, D.; Wang, J.; Taylor, A.</t>
  </si>
  <si>
    <t>Artificial Intelligence for Radiotherapy Auto-Contouring: Current Use, Perceptions of and Barriers to Implementation</t>
  </si>
  <si>
    <t>CLINICAL ONCOLOGY</t>
  </si>
  <si>
    <t>Auto -segmentation; Artificial intelligence; Barriers; Perceptions; Radiotherapy</t>
  </si>
  <si>
    <t>CANCER; SEGMENTATION; ATLAS</t>
  </si>
  <si>
    <t>Aims: Artificial intelligence has the potential to transform the radiotherapy workflow, resulting in improved quality, safety, accuracy and timeliness of radio-therapy delivery. Several commercially available artificial intelligence-based auto-contouring tools have emerged in recent years. Their clinical deployment raises important considerations for clinical oncologists, including quality assurance and validation, education, training and job planning. Despite this, there is little in the literature capturing the views of clinical oncologists with respect to these factors.Materials and Methods: The Royal College of Radiologists realises the transformational impact artificial intelligence is set to have on our specialty and has appointed the Artificial Intelligence for Clinical Oncology working group. The aim of this work was to survey clinical oncologists with regards to perceptions, current use of and barriers to using artificial intelligence-based auto-contouring for radiotherapy. Here we share our findings with the wider clinical and ra-diation oncology communities. We hope to use these insights in developing support, guidance and educational resources for the deployment of auto-contouring for clinical use, to help develop the case for wider access to artificial intelligence-based auto-contouring across the UK and to share practice from early-adopters.Results: In total, 78% of clinical oncologists surveyed felt that artificial intelligence would have a positive impact on radiotherapy. Attitudes to risk were more varied, but 49% felt that artificial intelligence will decrease risk for patients. There is a marked appetite for urgent guidance, education and training on the safe use of such tools in clinical practice. Furthermore, there is a concern that the adoption and implementation of such tools is not equitable, which risks exac-erbating existing inequalities across the country. Conclusion: Careful coordination is required to ensure that all radiotherapy departments, and the patients they serve, may enjoy the benefits of artificial in-telligence in radiotherapy. Professional organisations, such as the Royal College of Radiologists, have a key role to play in delivering this.(c) 2023 The Author(s). Published by Elsevier Ltd on behalf of The Royal College of Radiologists. This is an open access article under the CC BY license (http:// creativecommons.org/licenses/by/4.0/).</t>
  </si>
  <si>
    <t>[Hindocha, S.] Imperial Coll London, UKRI Ctr Doctoral Training Artificial Intelligence, London, England; [Zucker, K.] Univ Leeds, Sch Med, Worsley Bldg, Leeds, England; [Jena, R.] Univ Cambridge, Addenbrookes Hosp, Dept Oncol, Cambridge Biomed Campus, Cambridge, England; [Banfill, K.; Price, G.] Christie NHS Fdn Trust, Dept Radiotherapy, Manchester, England; [Mackay, K.; Taylor, A.] Royal Marsden Hosp, Dept Clin Oncol, London, England; [Pudney, D.] Swansea Bay Univ Hlth Board, Neath Port Talbot Hosp, Southwest Wales Canc Ctr, Dept Oncol, Port Talbot, Wales; [Wang, J.] Imperial Coll London, Inst Global Hlth Innovat, Computat Oncol Lab, London, England; [Hindocha, S.] Imperial Coll London, UKRI Ctr Doctoral Training Artificial Intelligence, London SW7 2AZ, England</t>
  </si>
  <si>
    <t>Imperial College London; University of Leeds; Cambridge University Hospitals NHS Foundation Trust; Addenbrooke's Hospital; University of Cambridge; Christie NHS Foundation Trust; Royal Marsden NHS Foundation Trust; Imperial College London; Imperial College London</t>
  </si>
  <si>
    <t>Hindocha, S (corresponding author), Imperial Coll London, UKRI Ctr Doctoral Training Artificial Intelligence, London SW7 2AZ, England.</t>
  </si>
  <si>
    <t>s.hindocha@nhs.net</t>
  </si>
  <si>
    <t>Zucker, Kieran/0000-0003-4385-3153; Mackay, Katherine/0000-0001-9944-2367</t>
  </si>
  <si>
    <t>0936-6555</t>
  </si>
  <si>
    <t>1433-2981</t>
  </si>
  <si>
    <t>CLIN ONCOL-UK</t>
  </si>
  <si>
    <t>Clin. Oncol.</t>
  </si>
  <si>
    <t>10.1016/j.clon.2023.01.014</t>
  </si>
  <si>
    <t>C4UN6</t>
  </si>
  <si>
    <t>WOS:000961884900001</t>
  </si>
  <si>
    <t>Alla, C; Valentina, V; Oleksandr, C; Yulia, O; Iryna, D; Kotliarov, V</t>
  </si>
  <si>
    <t>Alla, Cherep; Valentina, Voronkova; Oleksandr, Cherep; Yulia, Ohrenych; Iryna, Dashko; Kotliarov, Valerii</t>
  </si>
  <si>
    <t>Impact of Artificial Intelligence on the Level of Socio-Economic Security of Ukraine in the Conditions of Current European Integration Challenges</t>
  </si>
  <si>
    <t>NAVIGATING THE TECHNOLOGICAL TIDE: THE EVOLUTION AND CHALLENGES OF BUSINESS MODEL INNOVATION, VOL 3, ICBT 2024</t>
  </si>
  <si>
    <t>International Conference on Business and Technology on Navigating the Technological Tide - The Evolution and Challenges of Business Model Innovation (ICBT)</t>
  </si>
  <si>
    <t>APR 19-20, 2024</t>
  </si>
  <si>
    <t>Cambridge, ENGLAND</t>
  </si>
  <si>
    <t>artificial intelligence; socio-economic security; European integration challenges</t>
  </si>
  <si>
    <t>PROSPECT-THEORY</t>
  </si>
  <si>
    <t>The development of socio-economic security for the purposes of modern European integration challenges has been specified. Four waves of the development of artificial intelligence in the era of BIG DATA have been studied. Positive and negative consequences of the impact of artificial intelligence on the level of social and economic security have been revealed. The research recommends focusing efforts on creating standards, promoting international cooperation and forming an ethical and effective strategic plan for the use of artificial intelligence for the purposes of modern European integration challenges to ensure the sustainable development and security of Ukraine. The relevance of studying the impact of artificial intelligence on the level of social and economic security of Ukraine within the framework of modern European integration challenges remains the question of active research and discussions. However, under the conditions of digitalization, artificial intelligence is developing and widely implemented in all spheres of human life. The impact of artificial intelligence on the level of social and economic security of Ukraine within the context of modern European integration challenges is studied.</t>
  </si>
  <si>
    <t>[Alla, Cherep; Valentina, Voronkova; Oleksandr, Cherep; Yulia, Ohrenych; Iryna, Dashko] Zaporizhzhia Natl Univ, Zaporizhzhia, Ukraine; [Kotliarov, Valerii] Natl Aviat Univ, Kiev, Ukraine</t>
  </si>
  <si>
    <t>Ministry of Education &amp; Science of Ukraine; Zaporizhzhia National University; Ministry of Education &amp; Science of Ukraine; National Aviation University</t>
  </si>
  <si>
    <t>Alla, C (corresponding author), Zaporizhzhia Natl Univ, Zaporizhzhia, Ukraine.</t>
  </si>
  <si>
    <t>cherep.av.znu@gmail.com; yuliashvets@ukr.net; irina.znu@i.ua</t>
  </si>
  <si>
    <t>Череп, Алла/ABG-9938-2021; Ogrenic, Ulia/AAZ-8457-2021</t>
  </si>
  <si>
    <t>Ogrenic, Ulia/0000-0002-0294-1889; Cerep, Alla/0000-0001-5253-7481; Kotliarov, Valerii/0000-0002-2291-3199</t>
  </si>
  <si>
    <t>978-3-031-67433-4; 978-3-031-67434-1</t>
  </si>
  <si>
    <t>10.1007/978-3-031-67434-1_30</t>
  </si>
  <si>
    <t>Business; Business, Finance; Computer Science, Interdisciplinary Applications</t>
  </si>
  <si>
    <t>BX6PH</t>
  </si>
  <si>
    <t>WOS:001313510800030</t>
  </si>
  <si>
    <t>Boutros, C; Singh, V; Ocuin, L; Marks, JM; Hashimoto, DA</t>
  </si>
  <si>
    <t>Boutros, Christina; Singh, Vivek; Ocuin, Lee; Marks, Jeffrey M.; Hashimoto, Daniel A.</t>
  </si>
  <si>
    <t>Artificial intelligence in hepatopancreaticobiliary surgery - promises and perils</t>
  </si>
  <si>
    <t>Artificial intelligence; computer vision; natural language processing; machine learning; hepatopancreaticobiliary surgery</t>
  </si>
  <si>
    <t>COMPUTER VISION</t>
  </si>
  <si>
    <t>Research and development in artificial intelligence (AI) has been experiencing a resurgence over the past decade. The rapid growth and evolution of AI approaches can leave one feeling overwhelmed and confused about how these technologies will impact hepatopancreaticobiliary (HPB) surgery, the obstacles to its clinical translation, and the role that HPB surgeons can play in accelerating AI's development and ultimate clinical impact. This review outlines some of the basic terminology and current approaches in surgical AI, obstacles to further development and translation of AI, and how HPB surgeons can influence its future in surgery.</t>
  </si>
  <si>
    <t>[Boutros, Christina; Ocuin, Lee; Marks, Jeffrey M.] Univ Hosp Cleveland Med Ctr, Dept Surg, Cleveland, OH 44106 USA; [Singh, Vivek] Boston Univ, Sch Med, Boston, MA 02215 USA; [Hashimoto, Daniel A.] Univ Penn, Dept Surg, Hosp Univ Penn, Perelman Sch Med, 4 Silverstein Pavilion, Philadelphia, PA 19104 USA</t>
  </si>
  <si>
    <t>University Hospitals of Cleveland; Boston University; University of Pennsylvania</t>
  </si>
  <si>
    <t>Hashimoto, DA (corresponding author), Univ Penn, Dept Surg, Hosp Univ Penn, Perelman Sch Med, 4 Silverstein Pavilion, Philadelphia, PA 19104 USA.</t>
  </si>
  <si>
    <t>daniel.hashimoto@pennmedicine.upenn.edu</t>
  </si>
  <si>
    <t>Ocuin, Lee/AAA-2788-2020</t>
  </si>
  <si>
    <t>Ocuin, Lee/0000-0003-3341-9521; Singh, Vivek/0000-0002-4196-4530</t>
  </si>
  <si>
    <t>10.20517/ais.2022.32</t>
  </si>
  <si>
    <t>G1S3R</t>
  </si>
  <si>
    <t>WOS:001314502900005</t>
  </si>
  <si>
    <t>Lee, CC; Yan, JY</t>
  </si>
  <si>
    <t>Lee, Chien-Chiang; Yan, Jingyang</t>
  </si>
  <si>
    <t>Will artificial intelligence make energy cleaner? Evidence of nonlinearity</t>
  </si>
  <si>
    <t>APPLIED ENERGY</t>
  </si>
  <si>
    <t>Artificial intelligence (AI); Energy transition; Energy intensity; Government investment; Informatization</t>
  </si>
  <si>
    <t>RENEWABLE ENERGY; ECONOMIC-GROWTH; CO2 EMISSIONS; IMPACT; CONSUMPTION; TECHNOLOGY; INTENSITY; CHINA; URBANIZATION; PRODUCTIVITY</t>
  </si>
  <si>
    <t>Energy plays a vital part in stimulating economic progress, and the shift towards a cleaner energy system is highly significant for ensuring the sustainable development of the economy. China's energy structure urgently needs to be transitioned. The fast advancement and implementation of artificial intelligence (AI) has provided a new and important tool for promoting the transition of energy structure. So, what is the relationship between the application of artificial intelligence and the transition of the energy structure? This research introduces artificial intelligence into the energy sector, focusing on the relationship between artificial intelligence and energy transition. Since nonlinear models are better able to study the complex effects and phase differences of artificial intelligence. Using China's provincial panel data spanning from 2006 to 2019, this study employs nonlinear modeling to explore the stage differences in the process of AI in facilitating energy structure transformation. This paper derives the following findings based on empirical research. First, there is a U-shaped relationship between artificial intelligence and the transition of energy structure. Specifically, before the inflection point, the initial application of artificial intelligence, artificial intelligence may adversely impact energy transition. When the inflection point is passed, AI will help facilitate the energy transition. Second, the U-shaped relationship between AI and energy transition is more pronounced in coastal and non -resource -based regions. Third, energy intensity, government investment in science and technology, and informatization will moderate the U-shaped relationship between artificial intelligence and energy transition, changing the steepness of the original U-shaped relationship and even reversing it. Hence, it is imperative to effectively utilize the technological benefits of artificial intelligence through the development patterns and distinctive features of different regions, thereby facilitating the smooth transition of the energy structure.</t>
  </si>
  <si>
    <t>[Lee, Chien-Chiang; Yan, Jingyang] Nanchang Univ, Sch Econ &amp; Management, Nanchang, Jiangxi, Peoples R China; [Lee, Chien-Chiang] Nanchang Univ, Res Ctr Cent China Econ &amp; Social Dev, Nanchang, Peoples R China; [Lee, Chien-Chiang] Lebanese Amer Univ, Adnan Kassar Sch Business, Beirut, Lebanon</t>
  </si>
  <si>
    <t>Nanchang University; Nanchang University; Lebanese American University</t>
  </si>
  <si>
    <t>Lee, CC (corresponding author), Nanchang Univ, Sch Econ &amp; Management, Nanchang, Jiangxi, Peoples R China.</t>
  </si>
  <si>
    <t>cclee6101@gmail.com</t>
  </si>
  <si>
    <t>Lee, Chien-Chiang/AAZ-9983-2020</t>
  </si>
  <si>
    <t>National Social Science Foundation Key Project of China [22AJL004]</t>
  </si>
  <si>
    <t>National Social Science Foundation Key Project of China</t>
  </si>
  <si>
    <t>Chien-Chiang Lee is grateful to the National Social Science Foundation Key Project of China for financial support through Grant No: 22AJL004.</t>
  </si>
  <si>
    <t>0306-2619</t>
  </si>
  <si>
    <t>1872-9118</t>
  </si>
  <si>
    <t>APPL ENERG</t>
  </si>
  <si>
    <t>Appl. Energy</t>
  </si>
  <si>
    <t>10.1016/j.apenergy.2024.123081</t>
  </si>
  <si>
    <t>Energy &amp; Fuels; Engineering, Chemical</t>
  </si>
  <si>
    <t>Energy &amp; Fuels; Engineering</t>
  </si>
  <si>
    <t>PX0U0</t>
  </si>
  <si>
    <t>WOS:001217270200001</t>
  </si>
  <si>
    <t>Chen, DX; Xu, HL; Zhou, GY</t>
  </si>
  <si>
    <t>Chen, Daxing; Xu, Helian; Zhou, Guangya</t>
  </si>
  <si>
    <t>Has Artificial Intelligence Promoted Manufacturing Servitization: Evidence from Chinese Enterprises</t>
  </si>
  <si>
    <t>artificial intelligence; manufacturing servitization; labor skill structure; service transformation</t>
  </si>
  <si>
    <t>BUSINESS-MODEL INNOVATION; DIGITAL SERVITIZATION; JOB CREATION; GROWTH; ECOSYSTEMS; AUTOMATION; FRAMEWORK; MACHINES; ROBOTS; AI</t>
  </si>
  <si>
    <t>Artificial intelligence, as a novel form of infrastructure with both generality and knowledge spillover characteristics, plays a crucial role in facilitating the profound integration of the manufacturing and service industries, and achieving economic transformation. This paper empirically investigates the impacts of artificial intelligence on the process of manufacturing servitization, utilizing merged data from the OECD-ICIOT (Organization for Economic Co-operation and Development, Intercountry Input-Output Tables) industry data, the Chinese industrial enterprise database, and the customs trade database. The empirical findings of this research demonstrate that artificial intelligence has significant and positive effects on manufacturing servitization. These positive effects primarily occur through two channels: enhancing total factor productivity and optimizing the labor skill structure. Furthermore, this study examines the variations in the impact of artificial intelligence on the transformation of embedded services and blended services. The analysis reveals that artificial intelligence significantly promotes the transformation of embedded services, while its impact on the transformation of blended services is comparatively less pronounced.</t>
  </si>
  <si>
    <t>[Chen, Daxing; Xu, Helian; Zhou, Guangya] Hunan Univ, Sch Econ &amp; Trade, Changsha 410079, Peoples R China</t>
  </si>
  <si>
    <t>Hunan University</t>
  </si>
  <si>
    <t>Zhou, GY (corresponding author), Hunan Univ, Sch Econ &amp; Trade, Changsha 410079, Peoples R China.</t>
  </si>
  <si>
    <t>chendx1993@hnu.edu.cn; xuhelian@163.com; zhougyemail@163.com</t>
  </si>
  <si>
    <t>National Social Science Foundation of China</t>
  </si>
  <si>
    <t>10.3390/su16062526</t>
  </si>
  <si>
    <t>MH6L3</t>
  </si>
  <si>
    <t>WOS:001192771300001</t>
  </si>
  <si>
    <t>Zhao, DS; Liu, XY</t>
  </si>
  <si>
    <t>Zhao, Desheng; Liu, Xiaoyu</t>
  </si>
  <si>
    <t>Research and Implementation of Financial Decision Model Based on Artificial Intelligence</t>
  </si>
  <si>
    <t>AGRO FOOD INDUSTRY HI-TECH</t>
  </si>
  <si>
    <t>artificial intelligence; financial; intelligent algorithm; agent</t>
  </si>
  <si>
    <t>INTEREST MARGINS; AUDIT-QUALITY; BIG 4; DETERMINANTS; BANKING; RISK</t>
  </si>
  <si>
    <t>Artificial intelligence has reached a new level in the global. Because of the improvement of the current neural network depth learning algorithm, some basic artificial intelligence technology has developed rapidly. In the financial sector, artificial intelligence can greatly optimize the process of a series of existing financial transaction, which can be applied and served to customers at the front end to achieve a variety of financial transactions and financial analysis decisions. Based on this, the research and implementation of financial decision model based on artificial intelligence were studied in this paper. The impact of artificial intelligence on the financial industry was introduced first. Technical problems and solutions, theoretical support and key technologies were introduced. Finally, the specific process of financial decision model based on Agent artificial intelligence was introduced in detail. The test results show that the financial decision model based on artificial intelligence can be used for risk prevention and control, which makes our financial services more personalized and intelligent, so that the financial risk control ability is more powerful.</t>
  </si>
  <si>
    <t>[Zhao, Desheng; Liu, Xiaoyu] Langfang Ploytech Inst, Langfang, Hebei, Peoples R China</t>
  </si>
  <si>
    <t>Zhao, DS (corresponding author), Langfang Ploytech Inst, Langfang, Hebei, Peoples R China.</t>
  </si>
  <si>
    <t>TEKNOSCIENZE PUBL</t>
  </si>
  <si>
    <t>MILANO</t>
  </si>
  <si>
    <t>VIALE BRIANZA 22, 20127 MILANO, ITALY</t>
  </si>
  <si>
    <t>1722-6996</t>
  </si>
  <si>
    <t>2035-4606</t>
  </si>
  <si>
    <t>AGRO FOOD IND HI TEC</t>
  </si>
  <si>
    <t>Agro Food Ind. Hi-Tech</t>
  </si>
  <si>
    <t>Biotechnology &amp; Applied Microbiology; Food Science &amp; Technology</t>
  </si>
  <si>
    <t>FB2SJ</t>
  </si>
  <si>
    <t>WOS:000405993200171</t>
  </si>
  <si>
    <t>Ayoub, K; Payne, K</t>
  </si>
  <si>
    <t>Ayoub, Kareem; Payne, Kenneth</t>
  </si>
  <si>
    <t>Strategy in the Age of Artificial Intelligence</t>
  </si>
  <si>
    <t>JOURNAL OF STRATEGIC STUDIES</t>
  </si>
  <si>
    <t>Artificial Intelligence; Psychology; Autonomy; Machine learning</t>
  </si>
  <si>
    <t>We argue that Artificial Intelligence (AI) will, in the very near future, have a profound impact on the conduct of strategy and will be disruptive of existing power balances. To do so, we review the psychological foundations of strategy and explore the ways in which AI will impact human decision-making. We then review current and evolving capabilities in narrow', modular AI that is optimised to perform in a particular environment, and explore its military potential. Lastly, we look ahead to the more distant prospect of a general AI.</t>
  </si>
  <si>
    <t>[Ayoub, Kareem] Univ Oxford, Oxford Ctr Human Brain Act, Oxford, England; [Payne, Kenneth] Kings Coll London, Def Studies, Watchfield, England</t>
  </si>
  <si>
    <t>University of Oxford; University of London; King's College London</t>
  </si>
  <si>
    <t>Payne, K (corresponding author), Kings Coll London, Def Studies, Watchfield, England.</t>
  </si>
  <si>
    <t>kenneth.payne@kcl.ac.uk</t>
  </si>
  <si>
    <t>Payne, Kenneth/0000-0002-4688-9285</t>
  </si>
  <si>
    <t>0140-2390</t>
  </si>
  <si>
    <t>1743-937X</t>
  </si>
  <si>
    <t>J STRATEGIC STUD</t>
  </si>
  <si>
    <t>J. Strateg. Stud.</t>
  </si>
  <si>
    <t>5-6</t>
  </si>
  <si>
    <t>10.1080/01402390.2015.1088838</t>
  </si>
  <si>
    <t>EB1ED</t>
  </si>
  <si>
    <t>WOS:000387090600010</t>
  </si>
  <si>
    <t>Eling, M; Nuessle, D; Staubli, J</t>
  </si>
  <si>
    <t>Eling, Martin; Nuessle, Davide; Staubli, Julian</t>
  </si>
  <si>
    <t>The impact of artificial intelligence along the insurance value chain and on the insurability of risks</t>
  </si>
  <si>
    <t>GENEVA PAPERS ON RISK AND INSURANCE-ISSUES AND PRACTICE</t>
  </si>
  <si>
    <t>Artificial intelligence; Insurance; Value chain; Insurability; Technology; Digitalisation</t>
  </si>
  <si>
    <t>BIG DATA; BUSINESS; DIGITALIZATION; AGE</t>
  </si>
  <si>
    <t>Based on a data set of 91 papers and 22 industry studies, we analyse the impact of artificial intelligence on the insurance sector using Porter's (1985) value chain and Berliner's (1982) insurability criteria. Additionally, we present future research directions, from both the academic and practitioner points of view. The results illustrate that both cost efficiencies and new revenue streams can be realised, as the insurance business model will shift from loss compensation to loss prediction and prevention. Moreover, we identify two possible developments with respect to the insurability of risks. The first is that the application of artificial intelligence by insurance companies might allow for a more accurate prediction of loss probabilities, thus reducing one of the industry's most inherent problems, namely asymmetric information. The second development is that artificial intelligence might change the risk landscape significantly by transforming some risks from low-severity/high-frequency to high-severity/low-frequency. This requires insurance companies to rethink traditional insurance coverage and design adequate insurance products.</t>
  </si>
  <si>
    <t>[Eling, Martin; Nuessle, Davide; Staubli, Julian] Univ St Gallen, Inst Insurance Econ, Girtannerstr 6, CH-9010 St Gallen, Switzerland</t>
  </si>
  <si>
    <t>University of St Gallen</t>
  </si>
  <si>
    <t>Eling, M (corresponding author), Univ St Gallen, Inst Insurance Econ, Girtannerstr 6, CH-9010 St Gallen, Switzerland.</t>
  </si>
  <si>
    <t>martin.eling@unisg.ch; davide.nuessle@unisg.ch; julian.staubli@unisg.ch</t>
  </si>
  <si>
    <t>University of St. Gallen</t>
  </si>
  <si>
    <t>Open Access funding provided by University of St. Gallen.</t>
  </si>
  <si>
    <t>PALGRAVE MACMILLAN LTD</t>
  </si>
  <si>
    <t>BASINGSTOKE</t>
  </si>
  <si>
    <t>BRUNEL RD BLDG, HOUNDMILLS, BASINGSTOKE RG21 6XS, HANTS, ENGLAND</t>
  </si>
  <si>
    <t>1018-5895</t>
  </si>
  <si>
    <t>1468-0440</t>
  </si>
  <si>
    <t>GENEVA PAP R I-ISS P</t>
  </si>
  <si>
    <t>Geneva Pap. Risk Insur.-Issues Pract.</t>
  </si>
  <si>
    <t>10.1057/s41288-020-00201-7</t>
  </si>
  <si>
    <t>0A4XI</t>
  </si>
  <si>
    <t>WOS:000616023500001</t>
  </si>
  <si>
    <t>Oszwald, A; Wasinger, G; Pradere, B; Shariat, SF; Compérat, EM</t>
  </si>
  <si>
    <t>Oszwald, Andre; Wasinger, Gabriel; Pradere, Benjamin; Shariat, Shahrokh F.; Comperat, Eva M.</t>
  </si>
  <si>
    <t>Artificial intelligence in prostate histopathology: where are we in 2021?</t>
  </si>
  <si>
    <t>CURRENT OPINION IN UROLOGY</t>
  </si>
  <si>
    <t>artificial intelligence; Gleason score; histology; pathology; prostate cancer</t>
  </si>
  <si>
    <t>CANCER; CLASSIFICATION; DIAGNOSIS; BIOPSIES; SYSTEM</t>
  </si>
  <si>
    <t>Purpose of review Artificial intelligence has made an entrance into mainstream applications of daily life but the clinical deployment of artificial intelligence-supported histological analysis is still at infancy. Recent years have seen a surge in technological advance regarding the use of artificial intelligence in pathology, in particular in the diagnosis of prostate cancer. Recent findings We review first impressions of how artificial intelligence impacts the clinical performance of pathologists in the analysis of prostate tissue. Several challenges in the deployment of artificial intelligence remain to be overcome. Finally, we discuss how artificial intelligence can help in generating new knowledge that is interpretable by humans. It is evident that artificial intelligence has the potential to outperform most pathologists in detecting prostate cancer, and does not suffer from inherent interobserver variability. Nonetheless, large clinical validation studies that unequivocally prove the benefit of artificial intelligence support in pathology are necessary. Regardless, artificial intelligence may soon automate and standardize many facets of routine work, including qualitative (i.e. Gleason Grading) and quantitative measures (i.e. portion of Gleason Grades and tumor volume). For the near future, a model where pathologists are enhanced by second-review or real-time artificial intelligence systems appears to be the most promising approach.</t>
  </si>
  <si>
    <t>[Oszwald, Andre; Wasinger, Gabriel; Comperat, Eva M.] Med Univ Vienna, Dept Pathol, Wahringer Gurtel 18-20, A-1090 Vienna, Austria; [Pradere, Benjamin; Shariat, Shahrokh F.] Med Univ Vienna, Dept Urol, Vienna, Austria</t>
  </si>
  <si>
    <t>Medical University of Vienna; Medical University of Vienna</t>
  </si>
  <si>
    <t>Compérat, EM (corresponding author), Med Univ Vienna, Dept Pathol, Wahringer Gurtel 18-20, A-1090 Vienna, Austria.</t>
  </si>
  <si>
    <t>eva.comperat@meduniwien.ac.at</t>
  </si>
  <si>
    <t>benjamin, PRADERE/HSI-3449-2023; PRADERE, Benjamin/AAD-6121-2020</t>
  </si>
  <si>
    <t>PRADERE, Benjamin/0000-0002-7768-8558</t>
  </si>
  <si>
    <t>0963-0643</t>
  </si>
  <si>
    <t>1473-6586</t>
  </si>
  <si>
    <t>CURR OPIN UROL</t>
  </si>
  <si>
    <t>Curr. Opin. Urol.</t>
  </si>
  <si>
    <t>10.1097/MOU.0000000000000883</t>
  </si>
  <si>
    <t>SS8VR</t>
  </si>
  <si>
    <t>WOS:000662031400022</t>
  </si>
  <si>
    <t>Mercier-Laurent, E</t>
  </si>
  <si>
    <t>MercierLaurent, E; Kayalica, MO; Owoc, ML</t>
  </si>
  <si>
    <t>Mercier-Laurent, Eunika</t>
  </si>
  <si>
    <t>Can Artificial Intelligence Effectively Support Sustainable Development?</t>
  </si>
  <si>
    <t>ARTIFICIAL INTELLIGENCE FOR KNOWLEDGE MANAGEMENT, AI4KM 2021</t>
  </si>
  <si>
    <t>8th IFIP WG 12.6 International Workshop on Artificial Intelligence for Knowledge Management (AI4KM)</t>
  </si>
  <si>
    <t>JAN 07-08, 2021</t>
  </si>
  <si>
    <t>Int Federat Informat Proc Working Grp 12 6 Knowledge Management</t>
  </si>
  <si>
    <t>Artificial Intelligence; Sustainability; Sustainable development; Planet crisis; Climate change; Data obesity</t>
  </si>
  <si>
    <t>This paper describes the role AI may play in sustainability. Sustainable development is currently among the greatest challenges. Sustainability and development are apparently opposite. The current efforts to face the Planet Crisis by separate actions generate less impact than expected. The capacity of available technology and in particular Artificial Intelligence is underexplored. Eco-innovation actions focus mainly on smart transportation, smart use of energy and water and waste recycling but do not consider the necessary evolution of behaviors and focus. The concepts such as Smart, Intelligent, Innovative, Green or Wise City invented to promote existing technology transform the IT market. Most of offers consist in data processing with statistical/optimization methods. This paper explains how the AI approach and techniques combined with adequate thinking may innovate the way of facing Planet Crisis and achieving some of 17 United Nations Sustainable Development Goals.</t>
  </si>
  <si>
    <t>[Mercier-Laurent, Eunika] Univ Reims, Reims, France</t>
  </si>
  <si>
    <t>Universite de Reims Champagne-Ardenne</t>
  </si>
  <si>
    <t>Mercier-Laurent, E (corresponding author), Univ Reims, Reims, France.</t>
  </si>
  <si>
    <t>eunika.mercier-laurent@univ-reims.fr</t>
  </si>
  <si>
    <t>978-3-030-80847-1; 978-3-030-80846-4</t>
  </si>
  <si>
    <t>10.1007/978-3-030-80847-1_10</t>
  </si>
  <si>
    <t>Computer Science, Artificial Intelligence; Computer Science, Information Systems; Computer Science, Interdisciplinary Applications</t>
  </si>
  <si>
    <t>BS8UW</t>
  </si>
  <si>
    <t>WOS:000777635100010</t>
  </si>
  <si>
    <t>Keskinbora, KH</t>
  </si>
  <si>
    <t>Keskinbora, Kadircan H.</t>
  </si>
  <si>
    <t>Medical ethics considerations on artificial intelligence</t>
  </si>
  <si>
    <t>JOURNAL OF CLINICAL NEUROSCIENCE</t>
  </si>
  <si>
    <t>Artificial intelligence; Machine learning; Medical ethics</t>
  </si>
  <si>
    <t>ISSUES</t>
  </si>
  <si>
    <t>Artificial intelligence (AI) is currently one of the mostly controversial matters of the world. This article discusses AI in terms of the medical ethics issues involved, both existing and potential. Once artificial intelligence is fully developed within electronic systems, it will afford many useful applications in many sectors ranging from banking, agriculture, medical procedures to military operations, especially by decreasing the involvement of humans in critically dangerous activities. Robots as well as computers themselves are embodiments of values inasmuch as they entail actions and choices, but their practical applications are modelled or programmed by the engineers building the systems. AI will need algorithmic procedures to ensure safety in the implementation of such systems. The AI algorithms written could naturally contain errors that may result in unforeseen consequences and unfair outcomes along economic and racial class lines. It is crucial that measures be taken to monitor technological developments ensuring preventative and precautionary safeguards are in place to safeguard the rights of those involved against direct or indirect coercion. While it is the responsibility of AI researchers to ensure that the future impact is more positive than negative, ethicists and philosophers need to be deeply involved in the development of such technologies from the beginning. (C) 2019 Elsevier Ltd. All rights reserved.</t>
  </si>
  <si>
    <t>[Keskinbora, Kadircan H.] Bahcesehir Univ, Sch Med, Med Eth &amp; Hist Med, Istanbul, Turkey</t>
  </si>
  <si>
    <t>Bahcesehir University</t>
  </si>
  <si>
    <t>Keskinbora, KH (corresponding author), Incirli Cad 43-5, TR-34147 Istanbul, Turkey.</t>
  </si>
  <si>
    <t>hidirkadircan.keskinbora@med.bau.edu.tr</t>
  </si>
  <si>
    <t>Keskinbora, Kadircan/AAM-6453-2020</t>
  </si>
  <si>
    <t>Keskinbora, Kadircan/0000-0003-1940-1026</t>
  </si>
  <si>
    <t>0967-5868</t>
  </si>
  <si>
    <t>1532-2653</t>
  </si>
  <si>
    <t>J CLIN NEUROSCI</t>
  </si>
  <si>
    <t>J. Clin. Neurosci.</t>
  </si>
  <si>
    <t>10.1016/j.jocn.2019.03.001</t>
  </si>
  <si>
    <t>Clinical Neurology; Neurosciences</t>
  </si>
  <si>
    <t>IC6LJ</t>
  </si>
  <si>
    <t>WOS:000471083300062</t>
  </si>
  <si>
    <t>Jiang, LY; Xuan, Y; Zhang, KR</t>
  </si>
  <si>
    <t>Jiang, Liangyu; Xuan, Ye; Zhang, Kerong</t>
  </si>
  <si>
    <t>Unlocking innovation potential: the impact of artificial intelligence transformation on enterprise innovation capacity</t>
  </si>
  <si>
    <t>EUROPEAN JOURNAL OF INNOVATION MANAGEMENT</t>
  </si>
  <si>
    <t>Artificial intelligence; Enterprise innovation; Innovation quality; Innovation efficiency; Internal control</t>
  </si>
  <si>
    <t>INFORMATION-TECHNOLOGY; CAPABILITIES; MANAGEMENT; ALIGNMENT; TRADE; FIRMS</t>
  </si>
  <si>
    <t>Purpose - Building upon the resource-based view (RBV) and related research, this paper empirically examines the impact and specific mechanisms of artificial intelligence transformation on corporate innovation capabilities. It provides micro-level evidence of AI's influence on innovation behavior. Design/methodology/approach- Drawing upon data from Chinese listed companies spanning the period from 2011 to 2022, this study employs a dual fixed-effects model and a mediation effects model to empirically analyze the influence of enterprise AI transformation on its innovation capability as well as the specific mechanisms involved. Findings - The research reveals that AI transformation significantly enhances the innovation capability of enterprises. Heterogeneity analysis indicates that AI transformation exerts a stronger promoting effect on the innovation capability of non-technology firms, large enterprises and those within the manufacturing sector. Mechanism analysis further reveals that AI transformation enhances innovation capability by boosting enterprise profits, reducing costs and reinforcing internal control mechanisms. Further examination demonstrates that AI transformation elevates the quality, efficiency and eco-friendliness of enterprise innovation. Originality/value - Firstly, this study employs text analysis methods from machine learning to construct artificial intelligence indicators at the firm level, providing stronger evidence of AI's impact on corporate innovation capabilities. Secondly, it extends corporate innovation behavior to include innovation quality, efficiency and green innovation practices, offering a more comprehensive validation of AI's role in fostering corporate innovation.</t>
  </si>
  <si>
    <t>[Jiang, Liangyu; Xuan, Ye] Nanjing Univ Finance &amp; Econ, Sch Int Business &amp; Econ, Nanjing, Peoples R China; [Zhang, Kerong] Fuyang Normal Univ, Sch Business, Fuyang, Peoples R China</t>
  </si>
  <si>
    <t>Nanjing University of Finance &amp; Economics; Fuyang Normal University</t>
  </si>
  <si>
    <t>Xuan, Y (corresponding author), Nanjing Univ Finance &amp; Econ, Sch Int Business &amp; Econ, Nanjing, Peoples R China.</t>
  </si>
  <si>
    <t>820210786@qq.com; yexuan951217@163.com; zkrahfy@fynu.edu.cn</t>
  </si>
  <si>
    <t>Xuan, Ye/KVB-3853-2024</t>
  </si>
  <si>
    <t>Zhang, Kerong/0000-0002-4298-308X</t>
  </si>
  <si>
    <t>Anhui Provincial Educational Commission Foundation of China [2023AH040060, gxgnfx2021005]</t>
  </si>
  <si>
    <t>Anhui Provincial Educational Commission Foundation of China</t>
  </si>
  <si>
    <t>Funding: This research was supported by the projects of Anhui Provincial Educational Commission Foundation of China (grant numbers 2023AH040060 and gxgnfx2021005).</t>
  </si>
  <si>
    <t>1460-1060</t>
  </si>
  <si>
    <t>1758-7115</t>
  </si>
  <si>
    <t>EUR J INNOV MANAG</t>
  </si>
  <si>
    <t>Eur. J. Innov. Manag.</t>
  </si>
  <si>
    <t>2024 NOV 26</t>
  </si>
  <si>
    <t>10.1108/EJIM-07-2024-0809</t>
  </si>
  <si>
    <t>N3E0F</t>
  </si>
  <si>
    <t>WOS:001363198100001</t>
  </si>
  <si>
    <t>Sharma, M</t>
  </si>
  <si>
    <t>Sharma, Mohit</t>
  </si>
  <si>
    <t>INDIA'S COURTS AND ARTIFICIAL INTELLIGENCE: A FUTURE OUTLOOK</t>
  </si>
  <si>
    <t>LEXONOMICA</t>
  </si>
  <si>
    <t>artificial intelligence; machine learning; judiciary; legal justice system; India</t>
  </si>
  <si>
    <t>HUMAN-RIGHTS; JUSTICE</t>
  </si>
  <si>
    <t>In recent years, the legal system has used artificial intelligence technology extensively. Artificial intelligence for judicial purposes is more efficient, knowledgeable, and impartial than human judges. It has its limitations, largely based on big data, algorithms, and computing power rather than organic intelligence. Judiciary artificial intelligence cannot completely replace human judges because of differences in conceptual framework, application scenario, and ability and potential. Unambiguously stating that judicial artificial intelligence is never a replacement for human judges is crucial. The study aims to investigate the legal issues and the various ways that AI impacts the legal system. The research methodology is qualitative, inductive and descriptive.</t>
  </si>
  <si>
    <t>[Sharma, Mohit] Symbiosis Int, Symbiosis Law Sch, Noida, India</t>
  </si>
  <si>
    <t>Symbiosis International University</t>
  </si>
  <si>
    <t>Sharma, M (corresponding author), Symbiosis Int, Symbiosis Law Sch, Noida, India.</t>
  </si>
  <si>
    <t>mohit9826@gmail.com</t>
  </si>
  <si>
    <t>Sharma, Dr Mohit/IYS-9568-2023</t>
  </si>
  <si>
    <t>UNIV MARIBOR, FAC LAW</t>
  </si>
  <si>
    <t>MARIBOR</t>
  </si>
  <si>
    <t>MLADINSKA ULICA 9, MARIBOR, 2000, SLOVENIA</t>
  </si>
  <si>
    <t>1855-7147</t>
  </si>
  <si>
    <t>1855-7155</t>
  </si>
  <si>
    <t>Lexonomica</t>
  </si>
  <si>
    <t>10.18690/lexonomica.15.1.99-120.2023</t>
  </si>
  <si>
    <t>L6FU1</t>
  </si>
  <si>
    <t>WOS:001024209500005</t>
  </si>
  <si>
    <t>Haddad, DS; Brioschi, ML; Luchetti, MAB; Civiero, N; Moreira, MA; Arita, ES</t>
  </si>
  <si>
    <t>Kakileti, ST; Gabrani, M; Manjunath, G; Rosen-Zvi, M; Braman, N; Schwartz, RG; Frangi, AF; Chung, PC; Weight, C; Jagadish, V</t>
  </si>
  <si>
    <t>Haddad, Denise Sabbagh; Brioschi, Marcos Leal; Luchetti, Maria Aparecida Borsatti; Civiero, Nicolas; Moreira, Mayco Anderson; Arita, Emiko Saito</t>
  </si>
  <si>
    <t>Thermographic Toothache Screening by Artificial Intelligence</t>
  </si>
  <si>
    <t>ARTIFICIAL INTELLIGENCE OVER INFRARED IMAGES FOR MEDICAL APPLICATIONS AND MEDICAL IMAGE ASSISTED BIOMARKER DISCOVERY</t>
  </si>
  <si>
    <t>1st MICCAI Workshop on Artificial Intelligence over Infrared Images for Med Applicat (AIIIMA) and 1st MICCAI Workshop on Med Image Anal for Biomarker Discovery (MIABID) at 25th Int Conf on Med Image Comp and Comp Assisted Intervention (MICCAI)</t>
  </si>
  <si>
    <t>SEP 18-22, 2022</t>
  </si>
  <si>
    <t>Dentistry; Odontalgia; Infrared thermography; Face; Artificial intelligence</t>
  </si>
  <si>
    <t>Inflammatory toothache is a painful condition frequently reported by patients in the daily dental clinic, and may reach a disabling situation, directly impacting their quality of life and systemic health. Panoramic and periapical radiographies can demonstrate periapical pathologies and lesions of the dental organ, but cannot record the local sympathetic vasomotor response. Infrared thermography is a functional imaging method with no emission of ionizing radiation, it is quick to acquire, and reflects the microcirculatory dynamics of the skin surface, enlarging the vascular, nervous, and skeletal muscle, as well as inflammatory processes. The study tested the application of four models of the artificial neural network (MobileNetV2, InceptionV3, ResNet101V2, and ResNet50V2) in the detection of inflammatory toothache. The sample consisted of 76 volunteers, over 18 years old, being selected 51 volunteers with inflammatory toothache and 25 volunteers compatible with normality. They were submitted to thermographic, panoramic radiographic and clinical examinations. Among the four models tested, MobileNetV2 performed better in both front and lateral views. However, considering the ROC curve, the best performance of the automated detection of toothache cases was by the frontal image. The authors discussed how this technique can help the diagnostic accuracy in dentistry and the future perspective of artificial intelligence in the area of endodontics. Infrared thermography can provide health professionals with objective and accurate information about the vasomotor and facial neurovegetative responses in inflammatory toothache. It may assist in the screening of volunteers with inflammatory toothache using artificial neural networks.</t>
  </si>
  <si>
    <t>[Haddad, Denise Sabbagh; Luchetti, Maria Aparecida Borsatti; Arita, Emiko Saito] Univ Sao Paulo, Fac Dent, Sao Paulo, Brazil; [Brioschi, Marcos Leal] Univ Sao Paulo, Fac Med, Sao Paulo, Brazil; [Civiero, Nicolas] Fed Univ Technol, Curitiba, PR, Brazil; [Haddad, Denise Sabbagh; Brioschi, Marcos Leal; Civiero, Nicolas; Moreira, Mayco Anderson] Brazilian Med Thermol Assoc, Sao Paulo, Brazil</t>
  </si>
  <si>
    <t>Universidade de Sao Paulo; Universidade de Sao Paulo; Universidade Tecnologica Federal do Parana</t>
  </si>
  <si>
    <t>Brioschi, ML (corresponding author), Univ Sao Paulo, Fac Med, Sao Paulo, Brazil.;Brioschi, ML (corresponding author), Brazilian Med Thermol Assoc, Sao Paulo, Brazil.</t>
  </si>
  <si>
    <t>termometria@yahoo.com.br</t>
  </si>
  <si>
    <t>Haddad, Denise/KEH-1671-2024; Brioschi, Marcos/GON-8289-2022; Brioschi, Marcos/AAA-7034-2022; Arita, Emiko/D-4904-2013</t>
  </si>
  <si>
    <t>Brioschi, Marcos/0000-0003-4822-8314; Borsatti, Maria/0000-0002-1413-0004; Arita, Emiko/0000-0003-1831-4844; Moreira, Mayco Anderson/0000-0001-7162-1750</t>
  </si>
  <si>
    <t>978-3-031-19659-1; 978-3-031-19660-7</t>
  </si>
  <si>
    <t>10.1007/978-3-031-19660-7_5</t>
  </si>
  <si>
    <t>Computer Science, Artificial Intelligence; Computer Science, Interdisciplinary Applications; Imaging Science &amp; Photographic Technology; Radiology, Nuclear Medicine &amp; Medical Imaging</t>
  </si>
  <si>
    <t>Computer Science; Imaging Science &amp; Photographic Technology; Radiology, Nuclear Medicine &amp; Medical Imaging</t>
  </si>
  <si>
    <t>BU4EW</t>
  </si>
  <si>
    <t>WOS:000896504400005</t>
  </si>
  <si>
    <t>Liu, J; Jiang, X; Shi, MX; Yang, YN</t>
  </si>
  <si>
    <t>Liu, Jun; Jiang, Xin; Shi, Mengxue; Yang, Yuning</t>
  </si>
  <si>
    <t>Impact of Artificial Intelligence on Manufacturing Industry Global Value Chain Position</t>
  </si>
  <si>
    <t>artificial intelligence; manufacturing industry; global value chain position</t>
  </si>
  <si>
    <t>Using transnational panel data from 61 nations and regions from 2000 to 2019, this article empirically examines both the influence of artificial intelligence on the Global Value Chain as it pertains to the manufacturing industry and its mechanism of action. According to the report, AI significantly improves the industrial sector's GVC position; this finding still holds after multiple robustness and endogeneity tests of the model. The findings of the heterogeneity test at the national level demonstrate that, in developing nations as opposed to developed countries, AI has a stronger impact on advancing the GVC position of the manufacturing industry. Heterogeneity tests at the industry level show that AI has a significant role in promoting the GVC of high, medium and low technology manufacturing industries. The mechanism test demonstrates three primary ways by which AI contributes to improving the GVC position of the manufacturing industry: by improving both production efficiency and technological innovation capacity, and by reducing trade costs. This study provides policy implications for the promotion of AI with respect to China's manufacturing industry GVC position.</t>
  </si>
  <si>
    <t>[Liu, Jun; Jiang, Xin; Yang, Yuning] Nanjing Univ Informat Sci &amp; Technol, Sch Management Sci &amp; Engn, Nanjing 210044, Peoples R China; [Liu, Jun] Wuxi Univ, Sch Digital Econ &amp; Management, Wuxi 214105, Peoples R China; [Shi, Mengxue] Bank Suzhou Co Ltd, Suzhou 215028, Peoples R China</t>
  </si>
  <si>
    <t>Nanjing University of Information Science &amp; Technology; Wuxi University</t>
  </si>
  <si>
    <t>Liu, J (corresponding author), Nanjing Univ Informat Sci &amp; Technol, Sch Management Sci &amp; Engn, Nanjing 210044, Peoples R China.;Liu, J (corresponding author), Wuxi Univ, Sch Digital Econ &amp; Management, Wuxi 214105, Peoples R China.</t>
  </si>
  <si>
    <t>liujun@nuist.edu.cn; 19509987759@163.com; 15195903731@163.com; yangyuningmhxy@163.com</t>
  </si>
  <si>
    <t>Liu, Jun/0000-0003-2938-440X</t>
  </si>
  <si>
    <t>Humanities and Social Sciences Research Planning Foundation of China's Ministry of Education</t>
  </si>
  <si>
    <t>10.3390/su16031341</t>
  </si>
  <si>
    <t>HM6V4</t>
  </si>
  <si>
    <t>WOS:001159970800001</t>
  </si>
  <si>
    <t>Erkal, EY; Akpinar, A; Erkal, HS</t>
  </si>
  <si>
    <t>Erkal, Eda Yirmibesoglu; Akpinar, Aslihan; Erkal, Haldun Sukru</t>
  </si>
  <si>
    <t>Ethical evaluation of artificial intelligence applications in radiotherapy using the Four Topics Approach</t>
  </si>
  <si>
    <t>ARTIFICIAL INTELLIGENCE IN MEDICINE</t>
  </si>
  <si>
    <t>Radiation oncology; Artificial intelligence; Clinical medical ethics</t>
  </si>
  <si>
    <t>DECISION-SUPPORT; RADIOMIC ANALYSIS; CANCER-PATIENTS; RADIATION; SELECTION; MEDICINE; ONCOLOGY; MODEL; CARE</t>
  </si>
  <si>
    <t>Artificial Intelligence is the capability of a machine to imitate intelligent human behavior. An important impact can be expected from Artificial Intelligence throughout the workflow of radiotherapy (such as automated organ segmentation, treatment planning, prediction of outcome and quality assurance). However, ethical concerns regarding the binding agreement between the patient and the physician have followed the introduction of artificial intelligence. Through the recording of personal and social moral values in addition to the usual demographics and the implementation of these as distinctive inputs to matching algorithms, ethical concerns such as consistency, applicability and relevance can be solved. In the meantime, physicians' awareness of the ethical dimension in their decision-making should be challenged, so that they prioritize treating their patients and not diseases, remain vigilant to preserve patient safety, avoid unintended harm and establish institutional policies on these issues.</t>
  </si>
  <si>
    <t>[Erkal, Eda Yirmibesoglu] Kocaeli Univ, Fac Med, Dept Radiat Oncol, TR-41380 Kocaeli, Turkey; [Erkal, Eda Yirmibesoglu; Akpinar, Aslihan] Kocaeli Univ, Fac Med, Dept Med Hist &amp; Eth, TR-41380 Kocaeli, Turkey; [Erkal, Haldun Sukru] Sakarya Univ, Fac Med, Dept Radiat Oncol, TR-54100 Sakarya, Turkey</t>
  </si>
  <si>
    <t>Kocaeli University; Kocaeli University; Sakarya University</t>
  </si>
  <si>
    <t>Erkal, EY (corresponding author), Kocaeli Univ, Fac Med, Dept Radiat Oncol, TR-41380 Kocaeli, Turkey.</t>
  </si>
  <si>
    <t>eyirmibesoglu@yahoo.com</t>
  </si>
  <si>
    <t>Erkal, Haldun/AAC-8209-2019; Yirmibesoglu Erkal, Eda/H-9074-2018; Akpinar, Aslihan/E-9173-2013</t>
  </si>
  <si>
    <t>Akpinar, Aslihan/0000-0002-1790-3973</t>
  </si>
  <si>
    <t>0933-3657</t>
  </si>
  <si>
    <t>1873-2860</t>
  </si>
  <si>
    <t>ARTIF INTELL MED</t>
  </si>
  <si>
    <t>Artif. Intell. Med.</t>
  </si>
  <si>
    <t>10.1016/j.artmed.2021.102055</t>
  </si>
  <si>
    <t>MAR 2021</t>
  </si>
  <si>
    <t>Computer Science, Artificial Intelligence; Engineering, Biomedical; Medical Informatics</t>
  </si>
  <si>
    <t>Computer Science; Engineering; Medical Informatics</t>
  </si>
  <si>
    <t>SU7IB</t>
  </si>
  <si>
    <t>WOS:000663305100003</t>
  </si>
  <si>
    <t>Liu, J; Qian, Y; Yang, YJ; Yang, ZD</t>
  </si>
  <si>
    <t>Liu, Jun; Qian, Yu; Yang, Yuanjun; Yang, Zhidan</t>
  </si>
  <si>
    <t>Can Artificial Intelligence Improve the Energy Efficiency of Manufacturing Companies? Evidence from China</t>
  </si>
  <si>
    <t>INTERNATIONAL JOURNAL OF ENVIRONMENTAL RESEARCH AND PUBLIC HEALTH</t>
  </si>
  <si>
    <t>artificial intelligence; manufacturing enterprises; energy efficiency; heterogeneity</t>
  </si>
  <si>
    <t>TECHNOLOGY DEVELOPMENT; WORK HUMAN; PRODUCTIVITY; IMPACT; GROWTH; LEVEL; DETERMINANTS; CONSUMPTION; EMPLOYMENT; INNOVATION</t>
  </si>
  <si>
    <t>Improving energy efficiency is an important way to achieve low-carbon economic development, a common goal of most nations. Based on the comprehensive survey data of enterprises above a designated size in Guangdong Province, this paper studies the impact of artificial intelligence on the energy efficiency of manufacturing enterprises. The results show that: (1) artificial intelligence, as measured by the use of industrial robots, has significantly improved the energy efficiency of manufacturing enterprises. This conclusion is still robust after introducing data on industrial robots in the United States over the same time period as the instrumental variable for the endogeneity test. (2) The mechanism test shows that artificial intelligence mainly promotes the improvement in energy efficiency by promoting technological progress; the impact of artificial intelligence on the technological efficiency of enterprises is not significant. (3) Heterogeneity analysis shows that the age of the manufacturing enterprises inhibits a promoting effect of artificial intelligence on energy efficiency; manufacturing enterprises' performance can enhance the promoting effect of artificial intelligence on energy efficiency, but this promoting effect can only be shown when the enterprise performance is positive. The paper clarifies both the impact of artificial intelligence on the energy efficiency of manufacturing enterprises and its mechanism of action; this will help provide a reference for future decision-making designed to improve manufacturing enterprises' energy efficiency.</t>
  </si>
  <si>
    <t>[Liu, Jun; Qian, Yu; Yang, Yuanjun; Yang, Zhidan] Nanjing Univ Informat Sci Technol, Sch Management Sci &amp; Engn, Nanjing 210044, Peoples R China; [Liu, Jun] Nanjing Univ Informat Sci Technol, Inst Free Trade Zone, Nanjing 210044, Peoples R China</t>
  </si>
  <si>
    <t>Nanjing University of Information Science &amp; Technology; Nanjing University of Information Science &amp; Technology</t>
  </si>
  <si>
    <t>Liu, J (corresponding author), Nanjing Univ Informat Sci Technol, Sch Management Sci &amp; Engn, Nanjing 210044, Peoples R China.;Liu, J (corresponding author), Nanjing Univ Informat Sci Technol, Inst Free Trade Zone, Nanjing 210044, Peoples R China.</t>
  </si>
  <si>
    <t>liujun@nuist.edu.cn; qianyu7098@gmail.com; yyjwork1995@163.com; hannahyeung1226@gmail.com</t>
  </si>
  <si>
    <t>qian, yu/KRP-4735-2024</t>
  </si>
  <si>
    <t>qian, yu/0000-0002-5007-3297</t>
  </si>
  <si>
    <t>National Natural Science Foundation of China [71973068]; Social Science Foundation Major Project of Jiangsu, China [18ZD003]; Humanities and Social Sciences Research Planning Foundation of China's Ministry of Education [19YJA790055]; Postgraduate Research and Innovation Project of Jiangsu Province [KYCX21_1022]</t>
  </si>
  <si>
    <t>National Natural Science Foundation of China(National Natural Science Foundation of China (NSFC)); Social Science Foundation Major Project of Jiangsu, China; Humanities and Social Sciences Research Planning Foundation of China's Ministry of Education; Postgraduate Research and Innovation Project of Jiangsu Province</t>
  </si>
  <si>
    <t>This study was collectively funded by the National Natural Science Foundation of China [No. 71973068], Social Science Foundation Major Project of Jiangsu, China [No.18ZD003], Humanities and Social Sciences Research Planning Foundation of China's Ministry of Education [No. 19YJA790055], and Postgraduate Research and Innovation Project of Jiangsu Province [No. KYCX21_1022].</t>
  </si>
  <si>
    <t>1660-4601</t>
  </si>
  <si>
    <t>INT J ENV RES PUB HE</t>
  </si>
  <si>
    <t>Int. J. Environ. Res. Public Health</t>
  </si>
  <si>
    <t>10.3390/ijerph19042091</t>
  </si>
  <si>
    <t>Environmental Sciences; Public, Environmental &amp; Occupational Health</t>
  </si>
  <si>
    <t>Environmental Sciences &amp; Ecology; Public, Environmental &amp; Occupational Health</t>
  </si>
  <si>
    <t>ZT4GQ</t>
  </si>
  <si>
    <t>WOS:000769116900001</t>
  </si>
  <si>
    <t>Borkowski, PM</t>
  </si>
  <si>
    <t>Soliman, KS</t>
  </si>
  <si>
    <t>Borkowski, Piotr M.</t>
  </si>
  <si>
    <t>Artificial Intelligence in The Banking Sector - Experience from Poland</t>
  </si>
  <si>
    <t>EDUCATION EXCELLENCE AND INNOVATION MANAGEMENT: A 2025 VISION TO SUSTAIN ECONOMIC DEVELOPMENT DURING GLOBAL CHALLENGES</t>
  </si>
  <si>
    <t>35th International-Business-Information-Management-Association Conference (IBIMA)</t>
  </si>
  <si>
    <t>APR 01-02, 2020</t>
  </si>
  <si>
    <t>Int Business Informat Management Assoc</t>
  </si>
  <si>
    <t>Artificial Intelligence; Robotics; Financial Intermediation</t>
  </si>
  <si>
    <t>The purpose of the article is to identify and summarize the strategic factors of artificial intelligence having a particular impact on the development of the Polish banking sector. The SWOT analysis preceded by the conversations in panel discussions with specialists in the banking sector and study of fundamental static phenomena was used as the research method. The results of the conducted research indicate that institutions in the banking sector using AI tools represent an aggressive strategy. These institutions are development-oriented. 2020 brings a new conversational banking trend based on artificial intelligence. The publication is also enriched with an illustrated division of the possibilities of using AI in the Polish banking sector.</t>
  </si>
  <si>
    <t>[Borkowski, Piotr M.] Univ Szczecin, Doctoral Sch, Inst Econ &amp; Finance, Mickiewicza 16, PL-70383 Szczecin, Poland</t>
  </si>
  <si>
    <t>University of Szczecin</t>
  </si>
  <si>
    <t>Borkowski, PM (corresponding author), Univ Szczecin, Doctoral Sch, Inst Econ &amp; Finance, Mickiewicza 16, PL-70383 Szczecin, Poland.</t>
  </si>
  <si>
    <t>piotr.borkowski@phd.usz.edu.pl</t>
  </si>
  <si>
    <t>INT BUSINESS INFORMATION MANAGEMENT ASSOC-IBIMA</t>
  </si>
  <si>
    <t>NORRISTOWN</t>
  </si>
  <si>
    <t>34 E GERMANTOWN PIKE, NO. 327, NORRISTOWN, PA 19401 USA</t>
  </si>
  <si>
    <t>978-0-9998551-4-0</t>
  </si>
  <si>
    <t>Business; Green &amp; Sustainable Science &amp; Technology; Economics; Management</t>
  </si>
  <si>
    <t>BR6JR</t>
  </si>
  <si>
    <t>WOS:000661489806041</t>
  </si>
  <si>
    <t>Pavlova, D; Dovramadjiev, T; Daskalov, D; Peev, I; Mirchev, N; Dimova, R; Radeva, J</t>
  </si>
  <si>
    <t>Yang, XS; Sherratt, S; Dey, N; Joshi, A</t>
  </si>
  <si>
    <t>Pavlova, Diana; Dovramadjiev, Tihomir; Daskalov, Dimo; Peev, Ivan; Mirchev, Nikolay; Dimova, Rozalina; Radeva, Julia</t>
  </si>
  <si>
    <t>Impact of Artificial Intelligence and Human Factors in Hybrid Intelligence Dentistry</t>
  </si>
  <si>
    <t>PROCEEDINGS OF NINTH INTERNATIONAL CONGRESS ON INFORMATION AND COMMUNICATION TECHNOLOGY, ICICT 2024, VOL 4</t>
  </si>
  <si>
    <t>9th International Congress on Information and Communication Technology (ICICT)</t>
  </si>
  <si>
    <t>FEB 19-22, 2024</t>
  </si>
  <si>
    <t>London, ENGLAND</t>
  </si>
  <si>
    <t>Global Knowledge Res Foundat</t>
  </si>
  <si>
    <t>Artificial Intelligence; Human factors; Hybrid Intelligence; Dentistry; Health care; Industry 5.0; Society 5.0</t>
  </si>
  <si>
    <t>The field of dentistry is being transformed by the integration of Artificial Intelligence (AI) and careful consideration of human factors, resulting in the emergence of Hybrid Intelligence Dentistry (HID). This article explores the profound impact of AI and human factors in the context of dentistry, emphasizing the synergy between technological advances and human expertise. The article examines how AI-driven tools and algorithms are improving diagnosis, treatment planning, and patient care, while addressing the ethical, regulatory, and practical aspects of implementing these technologies. It also examines the role of dental professionals in realizing the full potential of Hybrid Intelligence Dentistry, highlighting the need for a collaborative approach. This article highlights the potential of HID to revolutionize the field, leading to improved oral health outcomes, enhanced patient experience, and a more efficient dental practice. The article examines real examples from dental practice with the assisted application of Artificial Intelligence and consideration of the human factor in a single synergistic relationship creating sustainable dental treatment. The information in the research contributes to a better understanding of dental topics in the context of Industry 5.0 and Society 5.0 and would be useful for a wide range of stakeholders.</t>
  </si>
  <si>
    <t>[Pavlova, Diana; Daskalov, Dimo; Peev, Ivan; Mirchev, Nikolay; Radeva, Julia] Dentaprime Dent Clin, St Constantine &amp; Helena 27,1 Villa Area, Varna 9006, Bulgaria; [Dovramadjiev, Tihomir; Dimova, Rozalina] Tech Univ Varna, Studentska 1, Varna 9010, Bulgaria</t>
  </si>
  <si>
    <t>Technical University Varna</t>
  </si>
  <si>
    <t>Pavlova, D (corresponding author), Dentaprime Dent Clin, St Constantine &amp; Helena 27,1 Villa Area, Varna 9006, Bulgaria.</t>
  </si>
  <si>
    <t>diana.pavlova@dentaprime.com</t>
  </si>
  <si>
    <t>Dimova, Rozalina/A-1782-2017; Dovramadjiev, Tihomir/C-3949-2018</t>
  </si>
  <si>
    <t>Erasmus + project [KA220-HED-000031182]; Ergonomics and Human Factors Regional Educational CEEPUS Network [CIII-HU-1506-01-2021]</t>
  </si>
  <si>
    <t>Erasmus + project(Erasmus+); Ergonomics and Human Factors Regional Educational CEEPUS Network</t>
  </si>
  <si>
    <t>Erasmus + project KA220-HED-000031182 Cooperation partnerships in higher education, Project Title: ErgoDesign Improving digital skills for Ergonomics and Bioengineering Innovations for inclusive Health Care 2021-2024; center dot Ergonomics and Human Factors Regional Educational CEEPUS Network CIII-HU-1506-01-2021; center dot Bulgarian Association of Ergonomics and Human Factors (BAEHF); center dot Dentaprime Dental Clinic.</t>
  </si>
  <si>
    <t>978-981-97-3561-7; 978-981-97-3562-4</t>
  </si>
  <si>
    <t>10.1007/978-981-97-3562-4_18</t>
  </si>
  <si>
    <t>Computer Science, Artificial Intelligence; Computer Science, Interdisciplinary Applications; Computer Science, Theory &amp; Methods; Telecommunications</t>
  </si>
  <si>
    <t>BX7UM</t>
  </si>
  <si>
    <t>WOS:001326998600017</t>
  </si>
  <si>
    <t>North, C; Hills, D; Maher, P; Farkic, J; Zeilmann, V; Waite, S; Takano, T; Prince, H; Gurholt, KP; Muthomi, N; Njenga, D; Karaka-Clarke, T; Mackenzie, SH; French, G</t>
  </si>
  <si>
    <t>North, Chris; Hills, David; Maher, Pat; Farkic, Jelena; Zeilmann, Vinicius; Waite, Sue; Takano, Takako; Prince, Heather; Gurholt, Kirsti Pedersen; Muthomi, Nkatha; Njenga, Daniel; Karaka-Clarke, Te Hurinui; Mackenzie, Susan Houge; French, Graham</t>
  </si>
  <si>
    <t>The impact of artificial intelligence on adventure education and outdoor learning: international perspectives</t>
  </si>
  <si>
    <t>JOURNAL OF ADVENTURE EDUCATION AND OUTDOOR LEARNING</t>
  </si>
  <si>
    <t>Artificial intelligence; technological revolution; learning; nature; human</t>
  </si>
  <si>
    <t>This is a composite article which brings together the international perspectives of the editorial board of the Journal of Adventure Education and Outdoor Learning to explore the impacts of artificial intelligence (AI) on the field of adventure education and outdoor learning (AE/OL). Building on the AE/OL profession's response to the impacts of COVID-19 on outdoor and environmental education in 2020, this article includes authors from 10 countries including Australia, Brazil, Canada, England, Japan, Kenya, the Netherlands, New Zealand, Norway, and Wales. The statements discuss the impacts and opportunities of AI for the AE/OL professions, researchers, the nature of being in and with the outdoors, and Indigenous knowledges. The intention of this article is not to present a definitive summary of the state of the profession, but to provide examples of the ways in which diverse people are responding to the challenges and opportunities of AI. By sharing these views, and identifying some commonalities, we hope that AE/OL educators, practitioners, researchers and managers can creatively and cautiously seize the opportunities of this technological revolution.</t>
  </si>
  <si>
    <t>[North, Chris; Karaka-Clarke, Te Hurinui] Univ Canterbury, Private Bag 4800, Christchurch 8140, New Zealand; [Hills, David] Griffith Univ, Nathan, Australia; [Maher, Pat] Nipissing Univ, North Bay, ON, Canada; [Farkic, Jelena] Breda Univ Appl Sci, Breda, Netherlands; [Zeilmann, Vinicius] St Catarina State Univ, Florianopolis, Brazil; [Waite, Sue] Plymouth Univ, Plymouth, England; [Takano, Takako] Waseda Univ, Tokyo, Japan; [Prince, Heather] Univ Cumbria, Ambleside, England; [Gurholt, Kirsti Pedersen] Norwegian Sch Sport Sci, Oslo, Norway; [Muthomi, Nkatha; Njenga, Daniel] Kenyatta Univ, Recreat Management &amp; Exercise Sci, Nairobi, Kenya; Univ Otago, Dept Tourism, Dunedin, New Zealand; Bangor Univ, Educ, Bangor, Wales</t>
  </si>
  <si>
    <t>University of Canterbury; Griffith University; Nipissing University; Breda University of Applied Sciences; University of Plymouth; Waseda University; University of Cumbria; Norwegian School of Sport Sciences; Kenyatta University; University of Otago; Bangor University</t>
  </si>
  <si>
    <t>North, C (corresponding author), Univ Canterbury, Private Bag 4800, Christchurch 8140, New Zealand.</t>
  </si>
  <si>
    <t>chris.north@canterbury.ac.nz</t>
  </si>
  <si>
    <t>高野, 孝子/AAJ-3834-2020; Farkic, Jelena/AAK-1381-2021; North, Chris/T-6465-2019; Gurholt, Kirsti Pedersen/AAA-9398-2020</t>
  </si>
  <si>
    <t>Njenga, Daniel/0000-0002-9619-9629; North, Chris/0000-0003-4849-8496; Prince, Heather/0000-0002-6199-4892; Farkic, Jelena/0000-0002-2135-2254; Gurholt, Kirsti Pedersen/0000-0002-6382-4803; Hills, Dr David/0000-0002-6336-7737</t>
  </si>
  <si>
    <t>1472-9679</t>
  </si>
  <si>
    <t>1754-0402</t>
  </si>
  <si>
    <t>J ADVENTURE EDUC OUT</t>
  </si>
  <si>
    <t>J. Adventure Educ. Outdoor Learn.</t>
  </si>
  <si>
    <t>JAN 2</t>
  </si>
  <si>
    <t>10.1080/14729679.2023.2248302</t>
  </si>
  <si>
    <t>JJ1F0</t>
  </si>
  <si>
    <t>WOS:001050475800001</t>
  </si>
  <si>
    <t>Yakut, I</t>
  </si>
  <si>
    <t>Yakut, Idris</t>
  </si>
  <si>
    <t>The Relationship Between Attitude Towards Artificial Intelligence and Religiosity</t>
  </si>
  <si>
    <t>KOCATEPE ISLAMI ILIMLER DERGISI</t>
  </si>
  <si>
    <t>Turkish</t>
  </si>
  <si>
    <t>Sociology of Religion; Artificial Intelligence; Religion; Religious Attitude; Religiosity</t>
  </si>
  <si>
    <t>Designing models, developing applications and producing machines that will facilitate people's lives is a form of behaviour that has been going on since its existence. The current counterpart of this behaviour is artificial intelligence, which also represents the human mind and has learning algorithms. Artificial intelligence is an important phenomenon that emerged with the development of technology, affecting life in many areas and offering opportunities. Innovative applications emerging with artificial intelligence are increasing their impact by becoming widespread in all fields from health sciences to educational sciences, from engineering to architecture, from natural sciences to production. One of the areas where artificial intelligence has made its impact felt is religion, which is as old as human history and one of the most important parts of the social structure. How religion, which guides individuals in the way they live their lives, will benefit from artificial intelligence applications in line with this mission and in what form the social reflections of these applications will emerge in practice is an important issue in terms of the relationship between religion and artificial intelligence. It is difficult to predict how artificial intelligence will develop in the future and how it will change society and the religion that interacts with society. Therefore, it is likely that the attitude to be developed towards artificial intelligence and religious attitudes will affect each other. Determining the attitudes of people who have positive attitudes and behaviours towards religion towards artificial intelligence is necessary for the future of religion. The main purpose of the research conducted in this direction is to find an answer to the question of what kind of a relationship exists between the participants' general attitude level towards artificial intelligence and the level of religious attitude, and to reveal whether the levels of attitude towards artificial intelligence and religious attitude differ significantly according to demographic variables. In this context, the sample group of the study, in which quantitative research methods were utilised, consists of 504 people, 302 women and 202 men, residing in Polatlı district of Ankara province. In the study, the religious attitude scale developed by Ok and the general attitude scale towards artificial intelligence adapted into Turkish by Kaya et al. were used. The data obtained were analysed using SPSS 22.0 statistical software. As a result of the research; it was determined that the positive attitude levels of individuals towards artificial intelligence were higher than the negative attitude levels, and that they had the highest average in the cognition dimension and the lowest average in the emotion dimension in terms of religious attitude. While no significant relationship was found between the variables of gender, age groups, marital status and monthly income status and attitude towards artificial intelligence; it was observed that there was a significant relationship between the type of profession, level of education, relationship with technological products, level of knowledge about artificial intelligence and frequency of following developments related to artificial intelligence and attitude towards artificial intelligence. In addition, while there was no significant relationship between the variables of gender, age groups, relationship with technological products, level of knowledge about artificial intelligence and frequency of following developments related to artificial intelligence and religious attitudes, there was a significant relationship between the variables of marital status, monthly income, occupation type and education level and religious attitudes. In addition, it was found that there was a low level negative relationship between the level of positive attitude towards artificial intelligence and religious attitude. There are studies on different topics related to artificial intelligence. However, there is a lack of studies to reveal the relationship between attitude towards artificial intelligence and religious attitude. The research conducted in this direction will fill an important gap in the literature and will be a source for different studies.</t>
  </si>
  <si>
    <t>[Yakut, Idris] Minist Natl Educ, Ankara, Turkiye</t>
  </si>
  <si>
    <t>Ministry of National Education - Turkey</t>
  </si>
  <si>
    <t>Yakut, I (corresponding author), Minist Natl Educ, Ankara, Turkiye.</t>
  </si>
  <si>
    <t>yakut2094@gmail.com</t>
  </si>
  <si>
    <t>AFYON KOCATEPE UNIV</t>
  </si>
  <si>
    <t>GAZLIGOL YOLU</t>
  </si>
  <si>
    <t>AFYON KOCATEPE UNIV, GAZLIGOL YOLU, 03200, Turkiye</t>
  </si>
  <si>
    <t>2757-8399</t>
  </si>
  <si>
    <t>KOCATEPE ISLAM ILIM</t>
  </si>
  <si>
    <t>Kocatepe Islam. Ilim. Derg.</t>
  </si>
  <si>
    <t>10.52637/kiid.1426977</t>
  </si>
  <si>
    <t>UU5O1</t>
  </si>
  <si>
    <t>WOS:001250589600004</t>
  </si>
  <si>
    <t>Neuhofer, B; Magnus, B; Celuch, K</t>
  </si>
  <si>
    <t>Neuhofer, Barbara; Magnus, Bianca; Celuch, Krzysztof</t>
  </si>
  <si>
    <t>The impact of artificial intelligence on event experiences: a scenario technique approach</t>
  </si>
  <si>
    <t>ELECTRONIC MARKETS</t>
  </si>
  <si>
    <t>Artificial intelligence; Customer experience; Service dominant logic; Value co-creation; Events industry; Scenario technique approach</t>
  </si>
  <si>
    <t>VALUE CO-CREATION; TOURISM; TECHNOLOGY; DESTRUCTION; LESSONS; HOSPITALITY; MANAGEMENT; ROBOTS</t>
  </si>
  <si>
    <t>Digital technologies are transforming human relations, interactions and experiences in the business landscape. Whilst a great potential of artificial intelligence (AI) in the service industries is predicted, the concrete influence of AI on customer experiences remains little understood. Drawing upon the service-dominant (SD) logic as a theoretical lens and a scenario technique approach, this study explores the impact of artificial intelligence as an operant resource on event experiences. The findings offer a conceptualisation of three distinct future scenarios for the year 2026 that map out a spectrum of experiences from value co-creation to value co-destruction of events. The paper makes a theoretical contribution in that it bridges marketing, technology and experience literature, and zooms in on AI as a non-human actor of future experience life ecosystems. A practical guideline for event planners is offered on how to implement AI across each touch point of the events ecosystem.</t>
  </si>
  <si>
    <t>[Neuhofer, Barbara; Magnus, Bianca] Salzburg Univ Appl Sci, Innovat &amp; Management Tourism, Campus Urstein Sud 1, A-5412 Puch Salzburg, Austria; [Celuch, Krzysztof] Nicolaus Copernicus Univ, Fac Econ Sci &amp; Management, Ul Gagarina 13a, PL-87100 Torun, Poland</t>
  </si>
  <si>
    <t>Neuhofer, B (corresponding author), Salzburg Univ Appl Sci, Innovat &amp; Management Tourism, Campus Urstein Sud 1, A-5412 Puch Salzburg, Austria.</t>
  </si>
  <si>
    <t>barbara.neuhofer@fh-salzburg.ac.at; bmagnus.lba@fh-salzburg.ac.at; kceluch@umk.pl</t>
  </si>
  <si>
    <t>Celuch, Krzysztof/KMY-8440-2024; Celuch, Krzysztof/C-9903-2013; Neuhofer, Barbara/M-4546-2016</t>
  </si>
  <si>
    <t>Celuch, Krzysztof/0000-0002-5307-2900; Neuhofer, Barbara/0000-0002-7871-5060</t>
  </si>
  <si>
    <t>FH Salzburg University of Applied Sciences</t>
  </si>
  <si>
    <t>Open Access funding provided by FH Salzburg University of Applied Sciences.</t>
  </si>
  <si>
    <t>1019-6781</t>
  </si>
  <si>
    <t>1422-8890</t>
  </si>
  <si>
    <t>ELECTRON MARK</t>
  </si>
  <si>
    <t>Electron. Mark.</t>
  </si>
  <si>
    <t>10.1007/s12525-020-00433-4</t>
  </si>
  <si>
    <t>SEP 2020</t>
  </si>
  <si>
    <t>WQ8IX</t>
  </si>
  <si>
    <t>WOS:000566881600001</t>
  </si>
  <si>
    <t>Wolff, J; Pauling, J; Keck, A; Baumbach, J</t>
  </si>
  <si>
    <t>Wolff, Justus; Pauling, Josch; Keck, Andreas; Baumbach, Jan</t>
  </si>
  <si>
    <t>The Economic Impact of Artificial Intelligence in Health Care: Systematic Review</t>
  </si>
  <si>
    <t>JOURNAL OF MEDICAL INTERNET RESEARCH</t>
  </si>
  <si>
    <t>telemedicine; artificial intelligence; machine learning; cost-benefit analysis</t>
  </si>
  <si>
    <t>TELEMEDICINE</t>
  </si>
  <si>
    <t>Background: Positive economic impact is a key decision factor in making the case for or against investing in an artificial intelligence (AI) solution in the health care industry. It is most relevant for the care provider and insurer as well as for the pharmaceutical and medical technology sectors. Although the broad economic impact of digital health solutions in general has been assessed many times in literature and the benefit for patients and society has also been analyzed, the specific economic impact of AI in health care has been addressed only sporadically. Objective: This study aimed to systematically review and summarize the cost-effectiveness studies dedicated to AI in health care and to assess whether they meet the established quality criteria. Methods: In a first step, the quality criteria for economic impact studies were defined based on the established and adapted criteria schemes for cost impact assessments. In a second step, a systematic literature review based on qualitative and quantitative inclusion and exclusion criteria was conducted to identify relevant publications for an in-depth analysis of the economic impact assessment. In a final step, the quality of the identified economic impact studies was evaluated based on the defined quality criteria for cost-effectiveness studies. Results: Very few publications have thoroughly addressed the economic impact assessment, and the economic assessment quality of the reviewed publications on AI shows severe methodological deficits. Only 6 out of 66 publications could be included in the second step of the analysis based on the inclusion criteria. Out of these 6 studies, none comprised a methodologically complete cost impact analysis. There are two areas for improvement in future studies. First, the initial investment and operational costs for the AI infrastructure and service need to be included. Second, alternatives to achieve similar impact must be evaluated to provide a comprehensive comparison. Conclusions: This systematic literature analysis proved that the existing impact assessments show methodological deficits and that upcoming evaluations require more comprehensive economic analyses to enable economic decisions for or against implementing AI technology in health care.</t>
  </si>
  <si>
    <t>[Wolff, Justus; Pauling, Josch; Baumbach, Jan] Tech Univ Munich, TUM Sch Life Sci Weihenstephan, Maximus von Imhof Forum 3, D-85354 Freising Weihenstephan, Germany; [Wolff, Justus; Keck, Andreas] Strategy Inst Digital Hlth, Hamburg, Germany</t>
  </si>
  <si>
    <t>Technical University of Munich</t>
  </si>
  <si>
    <t>Wolff, J (corresponding author), Tech Univ Munich, TUM Sch Life Sci Weihenstephan, Maximus von Imhof Forum 3, D-85354 Freising Weihenstephan, Germany.</t>
  </si>
  <si>
    <t>justus.wolff@syte-institute.com</t>
  </si>
  <si>
    <t>Baumbach, Jörg/E-3725-2014</t>
  </si>
  <si>
    <t>Baumbach, Jan/0000-0002-0282-0462</t>
  </si>
  <si>
    <t>Villum Young Investigator grant [13154]; H2020 project RepoTrial [777111]; Bavarian State Ministry of Science and the Arts</t>
  </si>
  <si>
    <t>Villum Young Investigator grant(Villum Fonden); H2020 project RepoTrial; Bavarian State Ministry of Science and the Arts</t>
  </si>
  <si>
    <t>The authors would like to thank Julia Menacher for her editorial support in creating this publication. JB is grateful for financial support from Villum Young Investigator grant number 13154. In addition, some of the work from JB was funded by H2020 project RepoTrial (number 777111). Contributions by JP are funded by the Bavarian State Ministry of Science and the Arts in the framework of the Center Digitisation.Bavaria (Zentrum Digitalisierung.Bayern).</t>
  </si>
  <si>
    <t>130 QUEENS QUAY E, STE 1102, TORONTO, ON M5A 0P6, CANADA</t>
  </si>
  <si>
    <t>1438-8871</t>
  </si>
  <si>
    <t>J MED INTERNET RES</t>
  </si>
  <si>
    <t>J. Med. Internet Res.</t>
  </si>
  <si>
    <t>FEB 20</t>
  </si>
  <si>
    <t>e16866</t>
  </si>
  <si>
    <t>10.2196/16866</t>
  </si>
  <si>
    <t>KN2KU</t>
  </si>
  <si>
    <t>WOS:000514672000001</t>
  </si>
  <si>
    <t>Ahuja, AS</t>
  </si>
  <si>
    <t>Ahuja, Abhimanyu S.</t>
  </si>
  <si>
    <t>The impact of artificial intelligence in medicine on the future role of the physician</t>
  </si>
  <si>
    <t>PEERJ</t>
  </si>
  <si>
    <t>Artificial intelligence; Machine learning; Impact; Medicine; Physician; Deep learning; Radiology; Pathology; Opthalmology; Oncology; Cardiology</t>
  </si>
  <si>
    <t>RADIOLOGY; WILL</t>
  </si>
  <si>
    <t>The practice of medicine is changing with the development of new Artificial Intelligence (AI) methods of machine learning. Coupled with rapid improvements in computer processing, these AI-based systems are already improving the accuracy and efficiency of diagnosis and treatment across various specializations. The increasing focus of AI in radiology has led to some experts suggesting that someday AI may even replace radiologists. These suggestions raise the question of whether AI-based systems will eventually replace physicians in some specializations or will augment the role of physicians without actually replacing them. To assess the impact on physicians this research seeks to better understand this technology and how it is transforming medicine. To that end this paper researches the role of AI-based systems in performing medical work in specializations including radiology, pathology, ophthalmology, and cardiology. It concludes that AI-based systems will augment physicians and are unlikely to replace the traditional physician-patient relationship.</t>
  </si>
  <si>
    <t>[Ahuja, Abhimanyu S.] Florida Atlantic Univ, Charles E Schmidt Coll Med, Boca Raton, FL 33431 USA</t>
  </si>
  <si>
    <t>State University System of Florida; Florida Atlantic University</t>
  </si>
  <si>
    <t>Ahuja, AS (corresponding author), Florida Atlantic Univ, Charles E Schmidt Coll Med, Boca Raton, FL 33431 USA.</t>
  </si>
  <si>
    <t>aahuja2016@health.fau.edu</t>
  </si>
  <si>
    <t>Ahuja, Abhimanyu/0000-0003-4333-9189</t>
  </si>
  <si>
    <t>PEERJ INC</t>
  </si>
  <si>
    <t>341-345 OLD ST, THIRD FLR, LONDON, EC1V 9LL, ENGLAND</t>
  </si>
  <si>
    <t>2167-8359</t>
  </si>
  <si>
    <t>PeerJ</t>
  </si>
  <si>
    <t>OCT 4</t>
  </si>
  <si>
    <t>e7702</t>
  </si>
  <si>
    <t>10.7717/peerj.7702</t>
  </si>
  <si>
    <t>JC1FA</t>
  </si>
  <si>
    <t>WOS:000489022700002</t>
  </si>
  <si>
    <t>Liu, JY; Kong, XJ; Xia, F; Bai, XM; Wang, L; Qing, Q; Lee, I</t>
  </si>
  <si>
    <t>Liu, Jiaying; Kong, Xiangjie; Xia, Feng; Bai, Xiaomei; Wang, Lei; Qing, Qing; Lee, Ivan</t>
  </si>
  <si>
    <t>Artificial Intelligence in the 21st Century</t>
  </si>
  <si>
    <t>Artificial intelligence; data analytics; scientific impact; science of science; data science</t>
  </si>
  <si>
    <t>SCIENTOMETRIC ANALYSIS; SCIENCE; TRENDS; DECADE</t>
  </si>
  <si>
    <t>The field of artificial intelligence (AI) has shown an upward trend of growth in the 21st century (from 2000 to 2015). The evolution in AI has advanced the development of human society in our own time, with dramatic revolutions shaped by both theories and techniques. However, the multidisciplinary and fastgrowing features make AI a field in which it is difficult to be well understood. In this paper, we study the evolution of AI at the beginning of the 21st century using publication metadata extracted from 9 top-tier journals and 12 top-tier conferences of this discipline. We find that the area is in the sustainable development and its impact continues to grow. From the perspective of reference behavior, the decrease in self-references indicates that the AI is becoming more and more open-minded. The influential papers/researchers/institutions we identified outline landmarks in the development of this field. Last but not least, we explore the inner structure in terms of topics' evolution over time. We have quantified the temporal trends at the topic level and discovered the inner connection among these topics. These findings provide deep insights into the current scientific innovations, as well as shedding light on funding policies.</t>
  </si>
  <si>
    <t>[Liu, Jiaying; Kong, Xiangjie; Xia, Feng; Wang, Lei; Qing, Qing] Dalian Univ Technol, Sch Software, Key Lab Ubiquitous Network &amp; Serv Software Liaoni, Dalian 116620, Peoples R China; [Bai, Xiaomei] Anshan Normal Univ, Comp Ctr, Anshan 114007, Peoples R China; [Lee, Ivan] Univ South Australia, Sch Informat Technol &amp; Math Sci, Adelaide, SA 5095, Australia</t>
  </si>
  <si>
    <t>Dalian University of Technology; Anshan Normal University; University of South Australia</t>
  </si>
  <si>
    <t>Xia, F (corresponding author), Dalian Univ Technol, Sch Software, Key Lab Ubiquitous Network &amp; Serv Software Liaoni, Dalian 116620, Peoples R China.</t>
  </si>
  <si>
    <t>f.xia@ieee.org</t>
  </si>
  <si>
    <t>Liu, JY/GYJ-0138-2022; wang, lei/U-2378-2019; Kong, Xiangjie/B-8809-2016; Lee, Ivan/F-4131-2013; Xia, Feng/Y-2859-2019</t>
  </si>
  <si>
    <t>Kong, Xiangjie/0000-0003-2698-3319; Lee, Ivan/0000-0002-2826-6367; Xia, Feng/0000-0002-8324-1859</t>
  </si>
  <si>
    <t>10.1109/ACCESS.2018.2819688</t>
  </si>
  <si>
    <t>GN6RS</t>
  </si>
  <si>
    <t>WOS:000439222700017</t>
  </si>
  <si>
    <t>Williams, K; Berman, G; Michalska, S</t>
  </si>
  <si>
    <t>Williams, Kate; Berman, Glen; Michalska, Sandra</t>
  </si>
  <si>
    <t>Investigating hybridity in artificial intelligence research</t>
  </si>
  <si>
    <t>BIG DATA &amp; SOCIETY</t>
  </si>
  <si>
    <t>Artificial intelligence; hybridity; knowledge production; research value; bibliometrics</t>
  </si>
  <si>
    <t>INSTITUTIONAL LOGICS; RESEARCH IMPACT; ALTMETRICS; INDUSTRY; PATENT</t>
  </si>
  <si>
    <t>Research in the global field of artificial intelligence is increasingly hybrid in orientation. Researchers are beholden to the requirements of multiple intersecting spheres, such as scholarly, public, and commercial, each with their own language and logic. Relatedly, collaboration across disciplinary, sector and national borders is increasingly expected, or required. Using a dataset of 93,482 artificial intelligence publications, this article operationalises scholarly, public, and commercial spheres through citations, news mentions, and patent mentions, respectively. High performing publications (99th percentile) for each metric were separated into eight categories of influence. These comprised four blended categories of influence (news, patents and citations; news and patents; news and citations; patents and citations) and three single categories of influence (citations; news; patents), in addition to the 'Other' category of non-high performing publications. The article develops and applies two components of a new hybridity lens: evaluative hybridity and generative hybridity. Using multinomial logistic regression, selected aspects of knowledge production - research context, focus, artefacts, and collaborative configurations - were examined. The results elucidate key characteristics of knowledge production in the artificial intelligence field and demonstrate the utility of the proposed lens.</t>
  </si>
  <si>
    <t>[Williams, Kate] Univ Melbourne, Sch Social &amp; Polit Sci, Melbourne, Vic, Australia; [Berman, Glen] Australian Natl Univ, Sch Engn, Canberra, ACT, Australia; [Michalska, Sandra] Kings Coll London, Policy Inst, London, England; [Williams, Kate] Univ Melbourne, Sch Social &amp; Polit Sci, 420 John Medley Bldg, Melbourne, Vic 3010, Australia</t>
  </si>
  <si>
    <t>University of Melbourne; Australian National University; University of London; King's College London; University of Melbourne</t>
  </si>
  <si>
    <t>Williams, K (corresponding author), Univ Melbourne, Sch Social &amp; Polit Sci, 420 John Medley Bldg, Melbourne, Vic 3010, Australia.</t>
  </si>
  <si>
    <t>kate.williams@unimelb.edu.au</t>
  </si>
  <si>
    <t>Williams, Kate/E-6482-2017</t>
  </si>
  <si>
    <t>Williams, Kate/0000-0002-2882-1068; Berman, Glen/0000-0003-3249-0190</t>
  </si>
  <si>
    <t>Economic and Social Research Council [ES/V004123/1]; ESRC [ES/V004123/1] Funding Source: UKRI</t>
  </si>
  <si>
    <t>Economic and Social Research Council(UK Research &amp; Innovation (UKRI)Economic &amp; Social Research Council (ESRC)); ESRC(UK Research &amp; Innovation (UKRI)Economic &amp; Social Research Council (ESRC))</t>
  </si>
  <si>
    <t>The author(s) disclosed receipt of the following financial support forthe research, authorship, and/or publication of this article: This workwas supported by the Economic and Social Research Council grant ES/V004123/1, awarded to Kate Williams and Jonathan Grant.</t>
  </si>
  <si>
    <t>2053-9517</t>
  </si>
  <si>
    <t>BIG DATA SOC</t>
  </si>
  <si>
    <t>Big Data Soc.</t>
  </si>
  <si>
    <t>10.1177/20539517231180577</t>
  </si>
  <si>
    <t>L5MG1</t>
  </si>
  <si>
    <t>WOS:001023699400001</t>
  </si>
  <si>
    <t>Jarrett, A; Choo, KKR</t>
  </si>
  <si>
    <t>Jarrett, Aaron; Choo, Kim-Kwang Raymond</t>
  </si>
  <si>
    <t>The impact of automation and artificial intelligence on digital forensics</t>
  </si>
  <si>
    <t>WILEY INTERDISCIPLINARY REVIEWS: FORENSIC SCIENCE</t>
  </si>
  <si>
    <t>artificial intelligence; automation; computer forensics; deep learning; digital forensics; forensics; machine learning</t>
  </si>
  <si>
    <t>Artificial intelligence (AI; broadly defined to include Machine Learning and Deep Learning) and automation are two current and reciprocal computing disciplines. As such, AI-powered software, programs, operating systems, and devices are developed on a massive scale to automate a wide variety of processes and operations. The principal aims of integrating AI and automation include efficiency, accuracy, and cost-reduction. While there is still an on-going cost associated with automation, the cost is typically many magnitudes smaller than the on-going costs incurred to get the job done manually, which increases the likelihood of generating a high return on investment. One emerging application of AI and automation is digital forensics. For example, US Federal and State Law Enforcement Agencies have started exploring the utility of AI-powered technology to make the job of digital forensics more impactful. This trend can maximize the accuracy of digital forensic investigations, enabling the resolution of more digital investigations. This article is categorized under: Digital and Multimedia Science &gt; Cyber Threat Intelligence Digital and Multimedia Science &gt; Artificial Intelligence Digital and Multimedia Science &gt; Cybercrime Investigation</t>
  </si>
  <si>
    <t>[Jarrett, Aaron; Choo, Kim-Kwang Raymond] Univ Texas San Antonio, Dept Informat Syst &amp; Cyber Secur, San Antonio, TX 78249 USA</t>
  </si>
  <si>
    <t>University of Texas System; University of Texas at San Antonio (UTSA)</t>
  </si>
  <si>
    <t>Jarrett, A (corresponding author), Univ Texas San Antonio, Dept Informat Syst &amp; Cyber Secur, San Antonio, TX 78249 USA.</t>
  </si>
  <si>
    <t>aaronckjarrett@gmail.com</t>
  </si>
  <si>
    <t>Choo, Kim-Kwang Raymond/A-3634-2009</t>
  </si>
  <si>
    <t>2573-9468</t>
  </si>
  <si>
    <t>WIRES FORENSIC SCI</t>
  </si>
  <si>
    <t>Wiley Interdiscip. Rev.-Forensic Sci.</t>
  </si>
  <si>
    <t>e1418</t>
  </si>
  <si>
    <t>10.1002/wfs2.1418</t>
  </si>
  <si>
    <t>Criminology &amp; Penology; Medicine, Legal</t>
  </si>
  <si>
    <t>Criminology &amp; Penology; Legal Medicine</t>
  </si>
  <si>
    <t>VL6UF</t>
  </si>
  <si>
    <t>WOS:000904725800006</t>
  </si>
  <si>
    <t>Liu, J; Jiang, WB; Miao, L; Zhang, J</t>
  </si>
  <si>
    <t>Zhu, M; Xia, X</t>
  </si>
  <si>
    <t>Liu, Jing; Jiang, Wenbo; Miao, Li; Zhang, Jian</t>
  </si>
  <si>
    <t>Application of Artificial Intelligence in Power System Fault Diagnosis</t>
  </si>
  <si>
    <t>PROCEEDINGS OF THE 2017 4TH INTERNATIONAL CONFERENCE ON MACHINERY, MATERIALS AND COMPUTER (MACMC 2017)</t>
  </si>
  <si>
    <t>AER-Advances in Engineering Research</t>
  </si>
  <si>
    <t>4th International Conference on Machinery, Materials and Computer (MACMC)</t>
  </si>
  <si>
    <t>NOV 27-29, 2017</t>
  </si>
  <si>
    <t>Res Inst Management Sci &amp; Ind Engn,Int Informat &amp; Engn Assoc,Natl Inst Technol</t>
  </si>
  <si>
    <t>Artificial Intelligence; Power System; Fault Diagnosis</t>
  </si>
  <si>
    <t>In the modern society, the economic development of our country is moving rapidly and the material living standards of the people are constantly increasing. As a result, the power resources occupy an increasingly important position in people's daily life. However, because of this, people's daily life In the electricity safety issues are also more and more attention. The power companies in the power system fault diagnosis should also put more effort, the only way to ensure people's daily life of electricity is safe and reliable, based on this background, but also with the continuous progress of artificial intelligence in recent years, as well as in Power system fault diagnosis has a significant role. Therefore, this article analyzes the practical application of artificial intelligence technology in power system fault diagnosis, and explores in all aspects the great impact of artificial intelligence technology on power failure detection.</t>
  </si>
  <si>
    <t>[Liu, Jing; Jiang, Wenbo; Miao, Li] Haikou Coll Econ, Haikou 571127, Hainan, Peoples R China; [Zhang, Jian] Hainan Univ, Haikou 570228, Hainan, Peoples R China</t>
  </si>
  <si>
    <t>Hainan University</t>
  </si>
  <si>
    <t>Liu, J (corresponding author), Haikou Coll Econ, Haikou 571127, Hainan, Peoples R China.</t>
  </si>
  <si>
    <t>Jiang, Wenbo/AGX-5151-2022</t>
  </si>
  <si>
    <t>Hainan Province, higher education and teaching reform research key project Internet of Things construction and wisdom of Hainan research and practice [Hnjg2016ZD-22]</t>
  </si>
  <si>
    <t>Hainan Province, higher education and teaching reform research key project Internet of Things construction and wisdom of Hainan research and practice</t>
  </si>
  <si>
    <t>Project Title (Level): Hainan Province, higher education and teaching reform research key project Internet of Things construction and wisdom of Hainan research and practiceProject Number: Hnjg2016ZD-22</t>
  </si>
  <si>
    <t>2352-5401</t>
  </si>
  <si>
    <t>978-94-6252-439-2</t>
  </si>
  <si>
    <t>AER ADV ENG RES</t>
  </si>
  <si>
    <t>Computer Science, Information Systems; Engineering, Multidisciplinary</t>
  </si>
  <si>
    <t>BJ6GB</t>
  </si>
  <si>
    <t>WOS:000426645100028</t>
  </si>
  <si>
    <t>Prorok, M; Takács, I</t>
  </si>
  <si>
    <t>Szakal, A</t>
  </si>
  <si>
    <t>Prorok, Mate; Takacs, Istvan</t>
  </si>
  <si>
    <t>The Impacts of Artificial Intelligence and Knowledge-Based Systems on Corporate Decision Support</t>
  </si>
  <si>
    <t>18TH INTERNATIONAL SYMPOSIUM ON APPLIED COMPUTATIONAL INTELLIGENCE AND INFORMATICS, SACI 2024</t>
  </si>
  <si>
    <t>International Symposium on Applied Computational Intelligence and Informatics</t>
  </si>
  <si>
    <t>18th IEEE International Symposium on Applied Computational Intelligence and Informatics (SACI)</t>
  </si>
  <si>
    <t>MAY 23-25, 2024</t>
  </si>
  <si>
    <t>Timisoara, ROMANIA</t>
  </si>
  <si>
    <t>IEEE,Univ Politehnica Timisoara</t>
  </si>
  <si>
    <t>artificial intelligence; expert systems; decision support systems; corporate decisions</t>
  </si>
  <si>
    <t>The way organizations operate is greatly influenced by effective decision-making in the dynamic corporate environment. This procedure has undergone a substantial transformation thanks to the use of cutting-edge technology, including artificial intelligence (AI), expert systems, and decision support systems. This research aims to investigate the interrelated domains of decision support systems, expert systems, corporate decisions, and the influence of artificial intelligence on corporate planning and management based on secondary research. Through modeling and data analysis, decision support systems improve organizational decision-making and provide managers with insightful information. Expert systems give advice and specialized knowledge, simulating human competency. Artificial intelligence has brought about a revolution in corporate governance, with a special focus on planning. AI systems assist organizations in foreseeing trends and reacting quickly to changing conditions by analyzing massive datasets, finding different patterns, and building predictive models. The analysis of AI's effects on business management and the economy must continue as its integration constantly grows.</t>
  </si>
  <si>
    <t>[Prorok, Mate; Takacs, Istvan] Obuda Univ, Keleti Karoly Fac Business &amp; Management, Innovat Management Doctoral Sch, Budapest, Hungary</t>
  </si>
  <si>
    <t>Obuda University</t>
  </si>
  <si>
    <t>Prorok, M (corresponding author), Obuda Univ, Keleti Karoly Fac Business &amp; Management, Innovat Management Doctoral Sch, Budapest, Hungary.</t>
  </si>
  <si>
    <t>prorokmate@gmail.com; takacs.istvan@kgk.uni-obuda.hu</t>
  </si>
  <si>
    <t>2833-9010</t>
  </si>
  <si>
    <t>979-8-3503-2953-7; 979-8-3503-2952-0</t>
  </si>
  <si>
    <t>Applied Compu Intell</t>
  </si>
  <si>
    <t>10.1109/SACI60582.2024.10619820</t>
  </si>
  <si>
    <t>BX5OS</t>
  </si>
  <si>
    <t>WOS:001301886500012</t>
  </si>
  <si>
    <t>Ganapathy, K; Abdul, SS; Nursetyo, AA</t>
  </si>
  <si>
    <t>Ganapathy, Krishnan; Abdul, Shabbir Syed; Nursetyo, Aldilas Achmad</t>
  </si>
  <si>
    <t>Artificial Intelligence in neurosciences: A clinician's perspective</t>
  </si>
  <si>
    <t>NEUROLOGY INDIA</t>
  </si>
  <si>
    <t>Artificial Intelligence and neurosciences; Artificial Intelligence in neurology; Artificial Intelligence in neurosurgery</t>
  </si>
  <si>
    <t>NEURAL-NETWORKS; GLIOMAS; INJURY; STIMULATION; PREDICTION; OUTCOMES</t>
  </si>
  <si>
    <t>Even after making allowance for an unprecedented hype, it is an undeniable fact that, in the coming decade, deployment of Artificial Intelligence (AI) will cause a paradigm shift in the delivery of healthcare. This paper will review the practical utility of AI in neurosciences from a clinician's perspective. Steering clear of the complex, technical, computational jargon, the authors will critically review the exponential development in this area from a clinical standpoint. The reader will be exposed to the fundamentals of AI in healthcare and its applications in different areas of neurosciences. Powerful AI techniques can unlock clinically relevant information, hidden in massive amounts of data. Translating technical computational success to meaningful clinical impact is, however, a challenge. AI requires a thorough and systematic evaluation, prior to integration in the clinical care. Like other disruptive technologies in the past, its potential for causing a great impact should not be underestimated. A scenario in which medical information, gathered at the point of care, is analyzed using sophisticated machine algorithms to provide real-time actionable analytics seems to be within touching distance.</t>
  </si>
  <si>
    <t>[Ganapathy, Krishnan] Apollo Main Hosp, Apollo Telemed Networking Fdn, Greams Lane, Madras 600006, Tamil Nadu, India; [Abdul, Shabbir Syed] Taipei Med Univ, Int Ctr Hlth Informat Technol, Taipei, Taiwan; [Nursetyo, Aldilas Achmad] Taipei Med Univ, Grad Inst Biomed Informat, Coll Med Sci &amp; Technol, Taipei, Taiwan</t>
  </si>
  <si>
    <t>Taipei Medical University; Taipei Medical University</t>
  </si>
  <si>
    <t>Ganapathy, K (corresponding author), Apollo Main Hosp, Apollo Telemed Networking Fdn, Greams Lane, Madras 600006, Tamil Nadu, India.</t>
  </si>
  <si>
    <t>drganapathy@apollohospitals.com</t>
  </si>
  <si>
    <t>Syed Abdul, Shabbir/AAI-2322-2020; Ganapathy, K./AAF-1065-2019</t>
  </si>
  <si>
    <t>Nursetyo, Aldilas Achmad/0000-0002-0572-0424; Syed-Abdul, Shabbir/0000-0002-0412-767X; Ganapathy, K./0000-0003-3156-7782</t>
  </si>
  <si>
    <t>0028-3886</t>
  </si>
  <si>
    <t>1998-4022</t>
  </si>
  <si>
    <t>NEUROL INDIA</t>
  </si>
  <si>
    <t>Neurol. India</t>
  </si>
  <si>
    <t>JUL-AUG</t>
  </si>
  <si>
    <t>10.4103/0028-3886.236971</t>
  </si>
  <si>
    <t>GX2HV</t>
  </si>
  <si>
    <t>WOS:000447540700007</t>
  </si>
  <si>
    <t>Jungherr, A</t>
  </si>
  <si>
    <t>Jungherr, Andreas</t>
  </si>
  <si>
    <t>Artificial Intelligence and Democracy: A Conceptual Framework</t>
  </si>
  <si>
    <t>SOCIAL MEDIA + SOCIETY</t>
  </si>
  <si>
    <t>artificial intelligence; democracy; self-rule; equality; elections; autocracy</t>
  </si>
  <si>
    <t>FILTER BUBBLES; ECHO CHAMBERS; AUTOMATION; BIAS; GO; AI; ALGORITHM; IMPACT; GAME</t>
  </si>
  <si>
    <t>The success and widespread deployment of artificial intelligence (AI) have raised awareness of the technology's economic, social, and political consequences. Each new step in the development and application of AI is accompanied by speculations about a supposedly imminent but largely fictional artificial general intelligence (AGI) with (super-)human capacities, as seen in the unfolding discourse about capabilities and impact of large language models (LLMs) in the wake of ChatGPT. These far-reaching expectations lead to a discussion on the societal and political impact of AI that is largely dominated by unfocused fears and enthusiasms. In contrast, this article provides a framework for a more focused and productive analysis and discussion of AI's likely impact on one specific social field: democracy. First, it is necessary to be clear about the workings of AI. This means differentiating between what is at present a largely imaginary AGI and narrow artificial intelligence focused on solving specific tasks. This distinction allows for a critical discussion of how AI affects different aspects of democracy, including its effects on the conditions of self-rule and people's opportunities to exercise it, equality, the institution of elections, and competition between democratic and autocratic systems of government. This article shows that the consequences of today's AI are more specific for democracy than broad speculation about AGI capabilities implies. Focusing on these specific aspects will account for actual threats and opportunities and thus allow for better monitoring of AI's impact on democracy in an interdisciplinary effort by computer and social scientists.</t>
  </si>
  <si>
    <t>[Jungherr, Andreas] Univ Bamberg, Digital Transformat, Chair Polit Sci, Bamberg, Germany; [Jungherr, Andreas] Univ Bamberg, Chair Polit Sci, Inst Polit Sci, Digital Transformat, Feldkirchenstr 21, D-96052 Bamberg, Germany</t>
  </si>
  <si>
    <t>Otto Friedrich University Bamberg; Otto Friedrich University Bamberg</t>
  </si>
  <si>
    <t>Jungherr, A (corresponding author), Univ Bamberg, Chair Polit Sci, Inst Polit Sci, Digital Transformat, Feldkirchenstr 21, D-96052 Bamberg, Germany.</t>
  </si>
  <si>
    <t>andreas.jungherr@gmail.com</t>
  </si>
  <si>
    <t>Jungherr, Andreas/P-7958-2016</t>
  </si>
  <si>
    <t>Jungherr, Andreas/0000-0003-2598-2453</t>
  </si>
  <si>
    <t>2056-3051</t>
  </si>
  <si>
    <t>SOC MEDIA SOC</t>
  </si>
  <si>
    <t>Soc. Med. Soc.</t>
  </si>
  <si>
    <t>10.1177/20563051231186353</t>
  </si>
  <si>
    <t>M3HH4</t>
  </si>
  <si>
    <t>WOS:001029117600001</t>
  </si>
  <si>
    <t>Shang, YP; Zhou, SL; Zhuang, DL; Zywiolek, J; Dincer, H</t>
  </si>
  <si>
    <t>Shang, Yuping; Zhou, Silu; Zhuang, Delin; Zywiolek, Justyna; Dincer, Hasan</t>
  </si>
  <si>
    <t>The impact of artificial intelligence application on enterprise environmental performance: Evidence from microenterprises</t>
  </si>
  <si>
    <t>GONDWANA RESEARCH</t>
  </si>
  <si>
    <t>Artificial intelligence; Enterprise environmental performance; Robot application; Enterprise innovation; Labor substitution</t>
  </si>
  <si>
    <t>FIRM; PRODUCTIVITY; TECHNOLOGY; GROWTH; ROBOTS; JOBS</t>
  </si>
  <si>
    <t>The progress of artificial intelligence (AI) technology is an important way to solve the problem of global sustainable development. This paper discusses how AI, as a new scientific force, affects the pollution reduction of enterprises from a micro perspective. In this paper, the robot data provided by the International Federation of Robotics and pollution data of industrial enterprises in China are used for empirical analysis to test the effect of AI on pollution performance of enterprises. The results show that the application of AI can reduce enterprise emissions through technological innovation effect and labor substitution effect, and this result remains robust after sample substitution and variable substitution. Further heterogeneity analysis shows that AI has a more significant impact on enterprises in big cities and southern cities, as well as large enterprises, old enterprises and non-technology-intensive enterprises. The research results of this paper provide an effective reference for solving how to achieve green and sustainable development of artificial intelligence applications. (c) 2024 International Association for Gondwana Research. Published by Elsevier B.V. All rights reserved.</t>
  </si>
  <si>
    <t>[Shang, Yuping; Zhou, Silu; Zhuang, Delin] Hefei Univ Technol, Sch Econ, Hefei 230009, Peoples R China; [Zywiolek, Justyna] Czestochowa Tech Univ, Fac Management, PL-42200 Czestochowa, Poland; [Dincer, Hasan] Istanbul Medipol Univ, Sch Business, Kavacik South Campus, TR-34810 Istanbul, Turkiye</t>
  </si>
  <si>
    <t>Hefei University of Technology; Technical University Czestochowa; Istanbul Medipol University</t>
  </si>
  <si>
    <t>Zhuang, DL (corresponding author), Hefei Univ Technol, Sch Econ, Hefei 230009, Peoples R China.</t>
  </si>
  <si>
    <t>qddlzhuang@126.com</t>
  </si>
  <si>
    <t>Żywiołek, Justyna/ABF-5370-2020; Dincer, Hasan/GPX-1316-2022</t>
  </si>
  <si>
    <t>Dincer, Hasan/0000-0002-8072-031X</t>
  </si>
  <si>
    <t>National Natural Science Foundation of China [72304084]; Fundamental Research Funds for the Central Universities of China [JZ2023HGQA0083, JZ2023HGTA0210]; Lanzhou University [2023, 2023CXZX-019]; Major Project of Anhui University Philosophy and Social Science Research Project [2023AH040229]</t>
  </si>
  <si>
    <t>National Natural Science Foundation of China(National Natural Science Foundation of China (NSFC)); Fundamental Research Funds for the Central Universities of China(Fundamental Research Funds for the Central Universities); Lanzhou University(Lanzhou University); Major Project of Anhui University Philosophy and Social Science Research Project</t>
  </si>
  <si>
    <t>This work was supported by the National Natural Science Foundation of China (Grant No. 72304084), the Fundamental Research Funds for the Central Universities of China (Grant Nos. JZ2023HGQA0083; JZ2023HGTA0210), Lanzhou University 2023 Graduate Student Innovation Star (Grant No. 2023CXZX-019) and The Major Project of Anhui University Philosophy and Social Science Research Project (2023AH040229) .</t>
  </si>
  <si>
    <t>1342-937X</t>
  </si>
  <si>
    <t>1878-0571</t>
  </si>
  <si>
    <t>GONDWANA RES</t>
  </si>
  <si>
    <t>Gondwana Res.</t>
  </si>
  <si>
    <t>10.1016/j.gr.2024.02.012</t>
  </si>
  <si>
    <t>Geosciences, Multidisciplinary</t>
  </si>
  <si>
    <t>Geology</t>
  </si>
  <si>
    <t>PQ1B3</t>
  </si>
  <si>
    <t>WOS:001215444000001</t>
  </si>
  <si>
    <t>Koreniuk, O; Mykhailovskyi, V; Melnychenko, N; Oliukha, V; Eremeeva, N</t>
  </si>
  <si>
    <t>Koreniuk, Olha; Mykhailovskyi, Viktor; Melnychenko, Nataliia; Oliukha, Vitalii; Eremeeva, Natalia</t>
  </si>
  <si>
    <t>ARTIFICIAL INTELLIGENCE: CHALLENGES FOR INTERNATIONAL TRADE AND LAW</t>
  </si>
  <si>
    <t>AD ALTA-JOURNAL OF INTERDISCIPLINARY RESEARCH</t>
  </si>
  <si>
    <t>Artificial intelligence; Digital economy; Intellectual property; International trade; Protection of rights</t>
  </si>
  <si>
    <t>ECONOMIC-SECURITY; OPTIMIZING RESOURCES; EUROPEAN INTEGRATION; PROJECT-MANAGEMENT; LEGAL BASES; IMPACT; EXPERIENCE; STATE; INNOVATIONS; TECHNOLOGY</t>
  </si>
  <si>
    <t>The article aims to consider the trends in the development of artificial intelligence and its impact on the processes in world trade, the issues of protecting the rights to digital content created using artificial intelligence technologies and neural networks. This topic is becoming increasingly relevant with the development of technology and the expansion of its application in various areas of life. The problems of protecting developers' rights and legitimate interests have come to the fore in intellectual property law. With the help of intelligent systems, legally protected content can be created, and other data, relations regarding which are also subject to protection. In this regard, issues related to the standardization of requirements for procedures and means of storing big data used in the development, testing, and operation of artificial intelligence systems, as well as the use of blockchain technology, are of particular importance. Various options for using artificial intelligence at all links in the value chain are considered, and an assessment of the consequences of introducing such technologies is made. The analysis of the issues of regulating the issues of cross-border movement of data against the background of the aggravation of the problem of data confidentiality was carried out. Analytical assumptions about the possible impact of AI on the labor market in the future are made.</t>
  </si>
  <si>
    <t>[Koreniuk, Olha; Mykhailovskyi, Viktor; Melnychenko, Nataliia] State Univ Trade &amp; Econ, 19 Kyoto Str, UA-02156 Kiev, Ukraine; [Oliukha, Vitalii; Eremeeva, Natalia] State Org V Mamutov Inst Econ &amp; Legal Res NAS Ukr, 60 Shevchenko Blvd, UA-01032 Kiev, Ukraine</t>
  </si>
  <si>
    <t>State University of Trade &amp; Economics</t>
  </si>
  <si>
    <t>Koreniuk, O (corresponding author), State Univ Trade &amp; Econ, 19 Kyoto Str, UA-02156 Kiev, Ukraine.</t>
  </si>
  <si>
    <t>o.korenyuk1@knute.edu.ua; v.mykhaylovskyy2@knute.edu.ua; melnychenko.n3@knute.edu.ua; advokat_vo4@ukr.net; eremeevanata015@gmail.com</t>
  </si>
  <si>
    <t>Melnychenko, Nataliia/N-5664-2016</t>
  </si>
  <si>
    <t>MAGNANIMITAS</t>
  </si>
  <si>
    <t>HRADEC KRALOVE</t>
  </si>
  <si>
    <t>CESKOSLOVENSKE ARMADY 300, HRADEC KRALOVE, 500 03, CZECH REPUBLIC</t>
  </si>
  <si>
    <t>1804-7890</t>
  </si>
  <si>
    <t>AD ALTA-INTERDISCIP</t>
  </si>
  <si>
    <t>AD ALTA-J. Interdiscip. Res.</t>
  </si>
  <si>
    <t>6I5OY</t>
  </si>
  <si>
    <t>WOS:000886177900007</t>
  </si>
  <si>
    <t>Bawack, RE; Wamba, SF; Carillo, KDA</t>
  </si>
  <si>
    <t>Bawack, Ransome Epie; Wamba, Samuel Fosso; Carillo, Kevin Daniel Andre</t>
  </si>
  <si>
    <t>Artificial Intelligence in Practice: Implications for Information Systems Research</t>
  </si>
  <si>
    <t>25TH AMERICAS CONFERENCE ON INFORMATION SYSTEMS (AMCIS 2019)</t>
  </si>
  <si>
    <t>25th Americas Conference on Information Systems of the Association-for-Information-Systems( AMCIS)</t>
  </si>
  <si>
    <t>AUG 15-17, 2019</t>
  </si>
  <si>
    <t>Cancun, MEXICO</t>
  </si>
  <si>
    <t>Artificial intelligence; information systems; adoption-use-impact framework; systematic review</t>
  </si>
  <si>
    <t>Artificial intelligence (AI) has the potential to enhance every component of information systems (IS) at the individual, organizational and societal level. However, AI technologies are being developed and commercialized at an unprecedented speed making it hard for IS researchers and practitioners to keep up with these technologies and how they can enhance IS. The technologies have evolved so fast in the last decade that many companies have tried and failed to implement AI without truly understanding what it is. Therefore, understanding AI from the perspective of the leading developers of related technologies is crucial for its adoption, use and impact on IS. In this paper, we provide a systematic review and synthesis of practice-based literature on AI, highlighting what leading industry entities and experts understand by AI. We use these findings to propose an AI adoption, use and impact classification framework for IS research and propose a corresponding research agenda.</t>
  </si>
  <si>
    <t>[Bawack, Ransome Epie] Univ Toulouse 1 Capitole, 2 Rue Doyen Gabriel Marty, F-31042 Toulouse 9, France; [Wamba, Samuel Fosso; Carillo, Kevin Daniel Andre] Toulouse Business Sch, 20 Blvd Lascrosses, F-31068 Toulouse, France</t>
  </si>
  <si>
    <t>Universite de Toulouse; Universite Toulouse 1 Capitole; Universite Federale Toulouse Midi-Pyrenees (ComUE); Universite de Toulouse; TBS Education</t>
  </si>
  <si>
    <t>Bawack, RE (corresponding author), Univ Toulouse 1 Capitole, 2 Rue Doyen Gabriel Marty, F-31042 Toulouse 9, France.</t>
  </si>
  <si>
    <t>ransome.bawack@tsm-education.fr; s.fosso-wamba@tbs-education.fr; k.carillo@tbs-education.fr</t>
  </si>
  <si>
    <t>Carillo, Kevin/AAD-5149-2020; Bawack, Ransome/GLT-8064-2022; Fosso Wamba, Samuel/AAB-4953-2019</t>
  </si>
  <si>
    <t>Bawack, Ransome/0000-0002-5441-604X</t>
  </si>
  <si>
    <t>978-0-9966831-8-0</t>
  </si>
  <si>
    <t>Computer Science, Information Systems; Computer Science, Theory &amp; Methods</t>
  </si>
  <si>
    <t>BS3LL</t>
  </si>
  <si>
    <t>WOS:000712432700079</t>
  </si>
  <si>
    <t>Agnese, P; Arduino, FR; Di Prisco, D</t>
  </si>
  <si>
    <t>Agnese, Paolo; Arduino, Francesca Romana; Di Prisco, Domenico</t>
  </si>
  <si>
    <t>The era of artificial intelligence: what implications for the board of directors?</t>
  </si>
  <si>
    <t>CORPORATE GOVERNANCE-THE INTERNATIONAL JOURNAL OF BUSINESS IN SOCIETY</t>
  </si>
  <si>
    <t>Artificial intelligence; Corporate governance; Board of directors</t>
  </si>
  <si>
    <t>FIRM PERFORMANCE; DECISION-MAKING; FINANCIAL PERFORMANCE; CORPORATE GOVERNANCE; CEO DUALITY; MACHINE; AI</t>
  </si>
  <si>
    <t>PurposeArtificial intelligence (AI) is a cutting-edge new reality already having an unprecedented impact on society, the economy and businesses. Its future developments and long-term influence are still largely unknown. This article aims to examine AI's potential benefits and challenges to corporate governance mechanisms, focusing on the board of directors.Design/methodology/approachThe paper theoretically explores the influence of artificial intelligence on the board of directors' capabilities, roles and functions.FindingsConcerning rethinking board functioning in the era of artificial intelligence, the paper analyzes how artificial intelligence can impact the board of directors. It proposes some recommendations on how directors can more effectively integrate artificial intelligence into the boardroom, including establishing an internal artificial intelligence committee composed of experts with technical knowledge dedicated to managing artificial intelligence-related potential threats and opportunities.Practical implicationsCompanies are invited to have some technical knowledge and expertise on artificial intelligence on the boards, fostering directors to upskill themselves in the new artificial intelligence technologies and establishing an ad-hoc internal committee. Policymakers are expected to keep pace with the growing proliferation of artificial intelligence solutions, defining a sharp regulatory framework.Originality/valueThe study advances knowledge in the corporate governance literature by shedding light on the effects of artificial intelligence on boards of directors and suggesting a set of best practices for its effective implementation.</t>
  </si>
  <si>
    <t>[Agnese, Paolo] Int Telemat Univ Uninettuno, Fac Econ &amp; Law, Rome, Italy; [Arduino, Francesca Romana; Di Prisco, Domenico] Luiss Univ, Dept Business &amp; Management, Rome, Italy</t>
  </si>
  <si>
    <t>UNINETTUNO; Luiss Guido Carli University</t>
  </si>
  <si>
    <t>Agnese, P (corresponding author), Int Telemat Univ Uninettuno, Fac Econ &amp; Law, Rome, Italy.</t>
  </si>
  <si>
    <t>paolo.agnese@uninettunouniversity.net</t>
  </si>
  <si>
    <t>1472-0701</t>
  </si>
  <si>
    <t>1758-6054</t>
  </si>
  <si>
    <t>CORP GOV-INT J BUS S</t>
  </si>
  <si>
    <t>Corp. Gov.-Int. J. Bus. Soc.</t>
  </si>
  <si>
    <t>JAN 14</t>
  </si>
  <si>
    <t>10.1108/CG-06-2023-0259</t>
  </si>
  <si>
    <t>S0D7D</t>
  </si>
  <si>
    <t>WOS:001241891200001</t>
  </si>
  <si>
    <t>Velev, D; Zlateva, P</t>
  </si>
  <si>
    <t>Altan, O; Sunar, F; Klein, D</t>
  </si>
  <si>
    <t>Velev, D.; Zlateva, P.</t>
  </si>
  <si>
    <t>CHALLENGES OF ARTIFICIAL INTELLIGENCE APPLICATION FOR DISASTER RISK MANAGEMENT</t>
  </si>
  <si>
    <t>39TH INTERNATIONAL SYMPOSIUM ON REMOTE SENSING OF ENVIRONMENT ISRSE-39 FROM HUMAN NEEDS TO SDGS, VOL. 48-M-1</t>
  </si>
  <si>
    <t>International Archives of the Photogrammetry, Remote Sensing and Spatial Information Sciences</t>
  </si>
  <si>
    <t>39th International Symposium on Remote Sensing of Environment (ISRSE) - From Human needs to SDGs</t>
  </si>
  <si>
    <t>APR 24-28, 2023</t>
  </si>
  <si>
    <t>Antalya, TURKEY</t>
  </si>
  <si>
    <t>Natural disasters; Disaster risk management; Disaster risk reduction; Artificial Intelligence</t>
  </si>
  <si>
    <t>Artificial Intelligence (AI) has the potential to play a significant role in disaster risk management - from predicting disasters to optimizing response efforts. However, its application in disaster management also presents significant challenges. These challenges include the need for high-quality and diverse data, compatibility with existing systems and technologies, ethical and social implications, and ongoing research and development. In addition, data privacy and security is a critical issue as the use of AI in disaster management often involves the collection and analysis of sensitive information. Addressing these challenges is crucial to ensuring that AI is developed and used in ways that are fair, equitable, and effective in reducing the impact of disasters. The aim of the paper is to provide an analysis of challenges of artificial intelligence application for disaster risk management.</t>
  </si>
  <si>
    <t>[Velev, D.; Zlateva, P.] Univ Natl &amp; World Econ, Sofia, Bulgaria; [Zlateva, P.] Bulgarian Acad Sci, Inst Robot, Sofia, Bulgaria</t>
  </si>
  <si>
    <t>University of National &amp; World Economics - Bulgaria; Bulgarian Academy of Sciences</t>
  </si>
  <si>
    <t>Velev, D (corresponding author), Univ Natl &amp; World Econ, Sofia, Bulgaria.</t>
  </si>
  <si>
    <t>dgvelev@unwe.bg; plamzlateva@unwe.bg</t>
  </si>
  <si>
    <t>National Science Fund of Bulgaria [Grant.KP-06-H55/5]; Science fund of the University of National and World Economy, Sofia, Bulgaria [NID NI 1/2021]</t>
  </si>
  <si>
    <t>National Science Fund of Bulgaria(National Science Fund of Bulgaria); Science fund of the University of National and World Economy, Sofia, Bulgaria</t>
  </si>
  <si>
    <t>The first author has been financially supported by National Science Fund of Bulgaria under the Grant.KP-06-H55/5 from 15.11.2021, titled Smart risk management for business from adverse events and natural disasters. The second author has been financially supported by the Science fund of the University of National and World Economy, Sofia, Bulgaria under the Grant. NID NI 1/2021 titled Development and use of artificial intelligence in education and economy.</t>
  </si>
  <si>
    <t>COPERNICUS GESELLSCHAFT MBH</t>
  </si>
  <si>
    <t>GOTTINGEN</t>
  </si>
  <si>
    <t>BAHNHOFSALLE 1E, GOTTINGEN, 37081, GERMANY</t>
  </si>
  <si>
    <t>1682-1750</t>
  </si>
  <si>
    <t>2194-9034</t>
  </si>
  <si>
    <t>INT ARCH PHOTOGRAMM</t>
  </si>
  <si>
    <t>10.5194/isprs-archives-XLVIII-M-1-2023-387-2023</t>
  </si>
  <si>
    <t>Computer Science, Information Systems; Remote Sensing</t>
  </si>
  <si>
    <t>Computer Science; Remote Sensing</t>
  </si>
  <si>
    <t>BW7HT</t>
  </si>
  <si>
    <t>WOS:001190737300053</t>
  </si>
  <si>
    <t>Baldrich, K; do Minguez-Oller, JC; García-Roca, A</t>
  </si>
  <si>
    <t>Baldrich, Kevin; do Minguez-Oller, Juana celia; Garcia-Roca, Anastasio</t>
  </si>
  <si>
    <t>Artificial Intelligence and its Impact on Academic Literacy: A Systematic Review</t>
  </si>
  <si>
    <t>ChatGPT; artificial intelligence; education; academic literacy; large learning model</t>
  </si>
  <si>
    <t>EDUCATION</t>
  </si>
  <si>
    <t>Generative Artificial Intelligence is compelling significant academic and educational transformations. This paper aims to analyze published empirical studies on this tool to examine its trends, approaches, and methodologies within the educational and academic spheres. To achieve this goal, a systematized methodology was adopted, adhering to the guidelines set out in the PRISMA 2020 statement and the ReSiste-CHS Framework. The search for studies was conducted in the Web of Science and Scopus databases through a equation process based on the FDC Fra-mework. Following the search, identification, selection, eligibility, and inclusion process, a sample corpus of 15 studies was obtained. These were categorized through an inductive process using the Ra-yyan.ai program. In this context, the analysis focused on the objectives, methodological approach, and achieved results. The findings highlight research lines centered on the creation of ethical standards, the accuracy of the information provided, and effective collaboration between educators and developers. Moreover, the importance of making periodic adjustments to the tactics used to ensure the effectiveness of Artificial Intelligence is emphasized, with special attention given to addressing and enhancing strategies to mitigate any form of distortion or bias in the information managed by these technologies.</t>
  </si>
  <si>
    <t>[Baldrich, Kevin; do Minguez-Oller, Juana celia; Garcia-Roca, Anastasio] Univ Almeria, Almeria, Spain</t>
  </si>
  <si>
    <t>Universidad de Almeria</t>
  </si>
  <si>
    <t>Baldrich, K (corresponding author), Univ Almeria, Edificio Dept Humanidades &amp; Ciencias Educ 2, Edif C Planta 1,Despacho 010, Almeria, Spain.</t>
  </si>
  <si>
    <t>kbr955@ual.es; jdo357@ual.es; agr638@ual.es</t>
  </si>
  <si>
    <t>García-Roca, Anastasio/M-9852-2017</t>
  </si>
  <si>
    <t>10.6018/educatio.609591</t>
  </si>
  <si>
    <t>L8B5R</t>
  </si>
  <si>
    <t>WOS:001352922700003</t>
  </si>
  <si>
    <t>Belgaum, MR; Musa, S; Alam, MM; Alansari, Z; Mazliham, MS</t>
  </si>
  <si>
    <t>Belgaum, Mohammad Riyaz; Musa, Shahrulniza; Alam, Muhammad Mansoor; Alansari, Zainab; Mazliham, M. S.</t>
  </si>
  <si>
    <t>Impact of Artificial Intelligence-enabled Software-defined Networks in Infrastructure and Operations: Trends and Challenges</t>
  </si>
  <si>
    <t>Artificial intelligence; infrastructure and operations; software-defined network; virtualization</t>
  </si>
  <si>
    <t>PREDICTION; 5G</t>
  </si>
  <si>
    <t>The emerging technologies trending up in information and communication technology are tuning the enterprises for betterment. The existing infrastructure and operations (I&amp;O) are supporting enterprises with their services and functionalities, considering the diverse requirements of the end-users. However, they are not free of the challenges and issues to address as the technology has advanced. This paper explains the impact of artificial intelligence (AI) in the enterprises using software-defined networking (SDN) in I&amp;O. The fusion of artificial intelligence with software-defined networking in infrastructure and operations enables to automate the process based on experience and provides opportunities to the management to make quick decisions. But this fusion has many challenges to be addressed. This research aimed to discuss the trends and challenges impacting infrastructure and operations, and the role of AI-enabled SDN in I&amp;O and discusses the benefits it provides that influence the directional path. Furthermore, the challenges to be addressed in implementing the AI-enabled SDN in I&amp;O shows future directions to explore.</t>
  </si>
  <si>
    <t>[Belgaum, Mohammad Riyaz; Musa, Shahrulniza; Alam, Muhammad Mansoor] Univ Kuala Lumpur, Malaysian Inst Informat Technol, Kuala Lumpur, Malaysia; [Alam, Muhammad Mansoor] Inst Business Management, Karachi, Pakistan; [Alansari, Zainab] Majan Univ Coll, Fac Informat Technol, Muscat, Oman; [Alansari, Zainab] Univ Malaya, Kuala Lumpur, Malaysia; [Mazliham, M. S.] Univ Kuala Lumpur, Malaysia France Inst, Kuala Lumpur, Malaysia</t>
  </si>
  <si>
    <t>University of Kuala Lumpur; Universiti Malaya; University of Kuala Lumpur</t>
  </si>
  <si>
    <t>Musa, S (corresponding author), Univ Kuala Lumpur, Malaysian Inst Informat Technol, Kuala Lumpur, Malaysia.</t>
  </si>
  <si>
    <t>Alansari, Zainab/AAH-9310-2019; Alam, Muhammad/AAA-7546-2020; Musa, Shahrulniza/J-6312-2019; Belgaum, Dr. Mohammad Riyaz/AGN-7520-2022</t>
  </si>
  <si>
    <t>Musa, Shahrulniza/0000-0003-4867-5085; Alam, Muhammad Mansoor/0000-0001-5773-7140; Belgaum, Dr. Mohammad Riyaz/0000-0002-6155-1530</t>
  </si>
  <si>
    <t>QM3QT</t>
  </si>
  <si>
    <t>WOS:000621697400009</t>
  </si>
  <si>
    <t>Cui, XL; Xu, B; Razzaq, A</t>
  </si>
  <si>
    <t>Cui, Xiuli; Xu, Bo; Razzaq, Amar</t>
  </si>
  <si>
    <t>Can Application of Artificial Intelligence in Enterprises Promote the Corporate Governance?</t>
  </si>
  <si>
    <t>FRONTIERS IN ENVIRONMENTAL SCIENCE</t>
  </si>
  <si>
    <t>artificial intelligence; corporate governance; information symmetry; influence mechanisms; policy suggestion</t>
  </si>
  <si>
    <t>INTERNAL CONTROL; ACCESS; HEALTH; WATER</t>
  </si>
  <si>
    <t>The impact of artificial intelligence (AI) on the economy and industry has gradually extended from the macroeconomic to the microeconomic level. Artificial intelligence technology has brought great innovation and impact to the company's operation and management and has a strong role in promoting the level of corporate governance. Based on an in-depth analysis of the theoretical mechanism of artificial intelligence affecting corporate governance, and based on the balanced panel data of Chinese A-share listed companies from 2011 to 2020, this paper empirically analyzes the mechanism and intermediary effect of artificial intelligence affecting corporate governance. The study found that AI applications can significantly improve corporate governance levels, and a higher level of artificial intelligence application can produce a higher level of corporate governance. From the perspective of the impact path, artificial intelligence technology can significantly improve the degree of information symmetry required for corporate governance, thereby providing favorable technical conditions and decision support for improving the level of corporate governance. Artificial intelligence technology has a positive and effective impact on corporate governance through the information symmetry effect.</t>
  </si>
  <si>
    <t>[Cui, Xiuli] Shandong Univ Technol, Sch Econ, Zibo, Peoples R China; [Xu, Bo] Zhejiang Shuren Univ, Sch Econ &amp; Social Welf, Hangzhou, Peoples R China; [Razzaq, Amar] Huanggang Normal Univ, Business Sch, Huanggang, Peoples R China</t>
  </si>
  <si>
    <t>Shandong University of Technology; Zhejiang Shuren University; Huanggang Normal University</t>
  </si>
  <si>
    <t>Xu, B (corresponding author), Zhejiang Shuren Univ, Sch Econ &amp; Social Welf, Hangzhou, Peoples R China.</t>
  </si>
  <si>
    <t>601190@zjsru.edu.cn</t>
  </si>
  <si>
    <t>Razzaq, Amar/L-1471-2019</t>
  </si>
  <si>
    <t>Razzaq, Amar/0000-0002-8858-2417</t>
  </si>
  <si>
    <t>Shandong Province Key R&amp;D (Soft Science) Research Project, China [2021RKY03057]; Key Project of Zhejiang Province Philosophy and Social Sciences Key Research Base, China [20JDZD072]; Basic Public Welfare Research Project of Zhejiang Province, China [LGF19G030005]</t>
  </si>
  <si>
    <t>Shandong Province Key R&amp;D (Soft Science) Research Project, China; Key Project of Zhejiang Province Philosophy and Social Sciences Key Research Base, China; Basic Public Welfare Research Project of Zhejiang Province, China</t>
  </si>
  <si>
    <t>Shandong Province Key R&amp;D (Soft Science) Research Project (2021RKY03057), China; Key Project of Zhejiang Province Philosophy and Social Sciences Key Research Base (20JDZD072), China; Basic Public Welfare Research Project of Zhejiang Province (LGF19G030005), China.</t>
  </si>
  <si>
    <t>2296-665X</t>
  </si>
  <si>
    <t>FRONT ENV SCI-SWITZ</t>
  </si>
  <si>
    <t>Front. Environ. Sci.</t>
  </si>
  <si>
    <t>JUN 30</t>
  </si>
  <si>
    <t>10.3389/fenvs.2022.944467</t>
  </si>
  <si>
    <t>3D3TL</t>
  </si>
  <si>
    <t>WOS:000829228100001</t>
  </si>
  <si>
    <t>Zhang, A; Wu, ZQ; Wu, ER; Wu, MT; Snyder, MP; Zou, JM; Wu, JC</t>
  </si>
  <si>
    <t>Zhang, Angela; Wu, Zhenqin; Wu, Eric; Wu, Matthew; Snyder, Michael P. P.; Zou, James; Wu, Joseph C. C.</t>
  </si>
  <si>
    <t>Leveraging physiology and artificial intelligence to deliver advancements in health care</t>
  </si>
  <si>
    <t>PHYSIOLOGICAL REVIEWS</t>
  </si>
  <si>
    <t>artificial intelligence; health care; medicine; physiology</t>
  </si>
  <si>
    <t>DEEP-LEARNING ALGORITHM; DIABETIC-RETINOPATHY; PREDICTIVE MODELS; IMAGE CLASSIFICATION; CLINICAL VALIDATION; WEARABLE TECHNOLOGY; SKIN-CANCER; RISK; AI; DERMATOLOGISTS</t>
  </si>
  <si>
    <t>Artificial intelligence in health care has experienced remarkable innovation and progress in the last decade. Significant advancements can be attributed to the utilization of artificial intelligence to transform physiology data to advance health care. In this review, we explore how past work has shaped the field and defined future challenges and directions. In particular, we focus on three areas of development. First, we give an overview of artifi- cial intelligence, with special attention to the most relevant artificial intelligence models. We then detail how physiology data have been harnessed by artificial intelligence to advance the main areas of health care: automating existing health care tasks, increasing access to care, and augmenting health care capabilities. Finally, we discuss emerging concerns surrounding the use of individual physiology data and detail an increasingly important consideration for the field, namely the challenges of deploying artificial intelligence models to achieve meaningful clinical impact.</t>
  </si>
  <si>
    <t>[Zhang, Angela; Wu, Joseph C. C.] Stanford Univ, Stanford Cardiovasc Inst, Sch Med, Stanford, CA 94305 USA; [Zhang, Angela; Snyder, Michael P. P.] Stanford Univ, Sch Med, Dept Genet, Stanford, CA 94305 USA; [Zhang, Angela; Wu, Matthew; Wu, Joseph C. C.] Greenstone Biosci, Palo Alto, CA 94304 USA; [Wu, Zhenqin] Stanford Univ, Dept Chem, Stanford, CA USA; [Wu, Eric] Stanford Univ, Dept Elect Engn, Stanford, CA USA; [Zou, James] Stanford Univ, Sch Med, Dept Biomed Informat, Stanford, CA USA; [Zou, James] Stanford Univ, Dept Comp Sci, Stanford, CA USA; [Wu, Joseph C. C.] Stanford Univ, Dept Med, Div Cardiovasc Med, Stanford, CA USA; [Wu, Joseph C. C.] Stanford Univ, Sch Med, Dept Radiol, Stanford, CA USA</t>
  </si>
  <si>
    <t>Stanford University; Stanford University; Stanford University; Stanford University; Stanford University; Stanford University; Stanford University; Stanford University</t>
  </si>
  <si>
    <t>Zhang, A (corresponding author), Stanford Univ, Stanford Cardiovasc Inst, Sch Med, Stanford, CA 94305 USA.;Zhang, A (corresponding author), Stanford Univ, Sch Med, Dept Genet, Stanford, CA 94305 USA.;Zhang, A (corresponding author), Greenstone Biosci, Palo Alto, CA 94304 USA.</t>
  </si>
  <si>
    <t>Takahashi, Hazuki/F-9007-2017; Wu, Zhenqin/HPC-5171-2023; Zhang, James/HHS-8616-2022; Wu, Joseph/H-1067-2013</t>
  </si>
  <si>
    <t>Wu, Joseph/0000-0002-6068-8041; Snyder, Michael/0000-0003-0784-7987; Wu, Zhenqin/0000-0002-0148-7055</t>
  </si>
  <si>
    <t>National Institutes of Health [F30HL156478, P30AG059307, U01MH098953, R01HL163680, R01HL130020, R01HL146690, R01HL126527]; National Science Foundation [CAREER1942926]; American Heart Association [17MERIT-3361009]</t>
  </si>
  <si>
    <t>National Institutes of Health(United States Department of Health &amp; Human ServicesNational Institutes of Health (NIH) - USA); National Science Foundation(National Science Foundation (NSF)); American Heart Association(American Heart Association)</t>
  </si>
  <si>
    <t>&amp; nbsp;This work was supported in part by National Institutes of Health Grants F30HL156478 (to A.Z.), P30AG059307 (to J.Z.), U01MH098953 (to J.Z.), R01HL163680 (to J.C.W), R01HL130020 (to J.C.W), R01HL146690 (to J.C.W.), and R01HL126527 (to J.C.W.); by National Science Foundation Grant CAREER1942926 (to J.Z.); and by American Heart Association Grant 17MERIT-3361009 (to J.C.W.).</t>
  </si>
  <si>
    <t>AMER PHYSIOLOGICAL SOC</t>
  </si>
  <si>
    <t>Rockville</t>
  </si>
  <si>
    <t>6120 Executive Blvd, Suite 600, Rockville, MD, UNITED STATES</t>
  </si>
  <si>
    <t>0031-9333</t>
  </si>
  <si>
    <t>1522-1210</t>
  </si>
  <si>
    <t>PHYSIOL REV</t>
  </si>
  <si>
    <t>Physiol. Rev.</t>
  </si>
  <si>
    <t>OCT 1</t>
  </si>
  <si>
    <t>10.1152/physrev.00033.2022</t>
  </si>
  <si>
    <t>Physiology</t>
  </si>
  <si>
    <t>N0UN0</t>
  </si>
  <si>
    <t>WOS:001034269500002</t>
  </si>
  <si>
    <t>Rolfes, V; Bittner, U; Gerhards, H; Krüssel, JS; Fehm, T; Ranisch, R; Fangerau, H</t>
  </si>
  <si>
    <t>Rolfes, Vasilija; Bittner, Uta; Gerhards, Helene; Kruessel, Jan-Steffen; Fehm, Tanja; Ranisch, Robert; Fangerau, Heiner</t>
  </si>
  <si>
    <t>Artificial Intelligence in Reproductive Medicine-An Ethical Perspective</t>
  </si>
  <si>
    <t>GEBURTSHILFE UND FRAUENHEILKUNDE</t>
  </si>
  <si>
    <t>artificial intelligence; reproductive medicine; infertility; medical ethics; research ethics</t>
  </si>
  <si>
    <t>IN-VITRO FERTILIZATION; INFERTILITY; HEALTH; IVF; CONSENT; LEGAL</t>
  </si>
  <si>
    <t>Artificial intelligence is steadily being integrated into all areas of medicine. In reproductive medicine, artificial intelligence methods can be utilized to improve the selection and prediction of sperm cells, oocytes, and embryos and to generate better predictive models for in vitro fertilization. The use of artificial intelligence in this field is justified by the suffering of persons or couples who wish to have children but are unable to conceive. However, research into the use of artificial intelligence in reproductive medicine is still in the early experimental stage and furthermore raises complex normative questions. There are ethical research challenges because evidence of the efficacy of certain pertinent systems is often lacking and because of the increased difficulty of ensuring informed consent on the part of the affected persons. Other ethically relevant issues include the potential risks for offspring and the difficulty of providing sufficient information. The opportunity to fulfill the desire to have children affects the welfare of patients and their reproductive autonomy. Ultimately, ensuring more accurate predictions and allowing physicians to devote more time to their patients will have a positive effect. Nevertheless, clinicians must be able to process patient data conscientiously. When using artificial intelligence, numerous actors are involved in making the diagnosis and deciding on the appropriate therapy, raising questions about who is ultimately responsible when mistakes occur. Questions of fairness arise with regard to resource allocation and cost reimbursement. Thus, before implementing artificial intelligence in clinical practice, it is necessary to critically examine the quantity and quality of the data used and to address issues of transparency. In the medium and long term, it would be necessary to confront the undesirable impact and social dynamics that may accompany the use of artificial intelligence in reproductive medicine.</t>
  </si>
  <si>
    <t>[Rolfes, Vasilija; Bittner, Uta; Fangerau, Heiner] Heinrich Heine Univ Dusseldorf, Med Fak, Inst Geschichte Theorie &amp; Eth Med, Moorenstr 5, D-40225 Dusseldorf, Germany; [Bittner, Uta; Gerhards, Helene] Ostbayer Tech Hsch Regensburg, Inst Sozialforsch &amp; Tech Folgenabschatzung, Regensburg, Germany; [Kruessel, Jan-Steffen] Heinrich Heine Univ Dusseldorf, Univ Klinikum Dusseldorf, Univ Interdisziplinares Kinderwunschzentrum Dusse, Klin Frauenheilkunde &amp; Geburtshilfe,Med Fak, Dusseldorf, Germany; [Fehm, Tanja] Heinrich Heine Univ Dusseldorf, Med Fak, Univ Klinikum Dusseldorf, Klin Frauenheilkunde &amp; Geburtshilfe, Dusseldorf, Germany; [Ranisch, Robert] Univ Potsdam, Fak Gesundheitswissensch Brandenburg, Potsdam, Germany; [Ranisch, Robert] Eberhard Karls Univ Tubingen, Med Fak, Inst Eth &amp; Geschichte Med, Forschungsstelle Eth Genom Editierung, Tubingen, Germany</t>
  </si>
  <si>
    <t>Heinrich Heine University Dusseldorf; Heinrich Heine University Dusseldorf; Heinrich Heine University Dusseldorf Hospital; Heinrich Heine University Dusseldorf; Heinrich Heine University Dusseldorf Hospital; University of Potsdam; Eberhard Karls University of Tubingen</t>
  </si>
  <si>
    <t>Rolfes, V (corresponding author), Heinrich Heine Univ Dusseldorf, Med Fak, Inst Geschichte Theorie &amp; Eth Med, Moorenstr 5, D-40225 Dusseldorf, Germany.</t>
  </si>
  <si>
    <t>Vasilija.Rolfes@uni-duesseldorf.de</t>
  </si>
  <si>
    <t>Ranisch, Robert/HGE-5304-2022; Fangerau, Heiner/A-2136-2008</t>
  </si>
  <si>
    <t>Rolfes, Vasilija/0000-0002-7306-7017; Krussel, Jan-Steffen/0000-0002-6862-2143; Fangerau, Heiner/0000-0001-9065-3395; Ranisch, Robert/0000-0002-1676-1694</t>
  </si>
  <si>
    <t>0016-5751</t>
  </si>
  <si>
    <t>1438-8804</t>
  </si>
  <si>
    <t>GEBURTSH FRAUENHEILK</t>
  </si>
  <si>
    <t>Geburtshilfe Frauenheilkd.</t>
  </si>
  <si>
    <t>10.1055/a-1866-2792</t>
  </si>
  <si>
    <t>Obstetrics &amp; Gynecology</t>
  </si>
  <si>
    <t>Z2MH3</t>
  </si>
  <si>
    <t>WOS:001110464900012</t>
  </si>
  <si>
    <t>Chen, YC; Ahn, MJ; Wang, YF</t>
  </si>
  <si>
    <t>Chen, Yu-Che; Ahn, Michael J. J.; Wang, Yi-Fan</t>
  </si>
  <si>
    <t>Artificial Intelligence and Public Values: Value Impacts and Governance in the Public Sector</t>
  </si>
  <si>
    <t>artificial intelligence systems; public values; governance</t>
  </si>
  <si>
    <t>ADMINISTRATIVE DISCRETION; STREET-LEVEL; AI; FRAMEWORK; ICT; TRUSTWORTHY; CHALLENGES; GOVERNMENT; SERVICES; ETHICS</t>
  </si>
  <si>
    <t>While there has been growth in the literature exploring the governance of artificial intelligence (AI) and recognition of the critical importance of guiding public values, the literature lacks a systematic study focusing on public values as well as the governance challenges and solutions to advance these values. This article conducts a systematic literature review of the relationships between the public sector AI and public values to identify the impacts on public values and the governance challenges and solutions. It further explores the perspectives of U.S. government employees on AI governance and public values via a national survey. The results suggest the need for a broad inclusion of diverse public values, the salience of transparency regarding several governance challenges, and the importance of stakeholder participation and collaboration as governance solutions. This article also explores and reports the nuances in these results and their practical implications.</t>
  </si>
  <si>
    <t>[Chen, Yu-Che; Wang, Yi-Fan] Univ Nebraska Omaha, Sch Publ Adm, Omaha, NE 68182 USA; [Ahn, Michael J. J.] Univ Massachusetts Boston, John W McCormack Grad Sch, Boston, MA 02125 USA</t>
  </si>
  <si>
    <t>University of Nebraska System; University of Nebraska Omaha; University of Massachusetts System; University of Massachusetts Boston</t>
  </si>
  <si>
    <t>Chen, YC (corresponding author), Univ Nebraska Omaha, Sch Publ Adm, Omaha, NE 68182 USA.</t>
  </si>
  <si>
    <t>ychen@unomaha.edu</t>
  </si>
  <si>
    <t>Chen, Yu-Che/0000-0003-2830-5589</t>
  </si>
  <si>
    <t>10.3390/su15064796</t>
  </si>
  <si>
    <t>A8YP3</t>
  </si>
  <si>
    <t>WOS:000957921700001</t>
  </si>
  <si>
    <t>Manasi, A; Panchanadeswaran, S; Sours, E; Lee, SJ</t>
  </si>
  <si>
    <t>Manasi, Ardra; Panchanadeswaran, Subadra; Sours, Emily; Lee, Seung Ju</t>
  </si>
  <si>
    <t>Mirroring the bias: gender and artificial intelligence</t>
  </si>
  <si>
    <t>GENDER TECHNOLOGY &amp; DEVELOPMENT</t>
  </si>
  <si>
    <t>Gender; artificial intelligence; bias; algorithms</t>
  </si>
  <si>
    <t>AFFECTIVE LABOR; ROBOTS</t>
  </si>
  <si>
    <t>Following COVID-19, there has been an increase in digitization and use of Artificial Intelligence (AI) across all spheres of life, which presents both opportunities and challenges. This commentary will explore the landscape of the gendered impact of AI at the intersections of Science and Technology Studies, feminist studies (socialist feminism), and computing. The Global Dialogue on Gender Equality and Artificial Intelligence (2020) organized by UNESCO highlighted the inadequacy of AI normative instruments or principles which focus on gender equality as a standalone issue. Past research has underscored the gender biases within AI algorithms that reinforce gender stereotypes and potentially perpetuate gender inequities and discrimination against women. Gender biases in AI manifest either during the algorithm's development, the training of datasets, or via AI-generated decision-making. Further, structural and gender imbalances in the AI workforce and the gender divide in digital and STEM skills have direct implications for the design and implementation of AI applications. Using a feminist lens and the concept of affective labor, this commentary will highlight these issues through the lenses of AI in virtual assistants, and robotics and make recommendations for greater accountability within the public, private and nonprofit sectors and offer examples of positive applications of AI in challenging gender stereotypes.</t>
  </si>
  <si>
    <t>[Manasi, Ardra] Rutgers State Univ, Ctr Womens Global Leadership, New Brunswick, NJ 08901 USA; [Panchanadeswaran, Subadra; Lee, Seung Ju] Adelphi Univ, Sch Social Work, Garden City, NY 11530 USA; [Sours, Emily] Rutgers State Univ, Women Gender &amp; Sexual Studies, New Brunswick, NJ USA</t>
  </si>
  <si>
    <t>Rutgers University System; Rutgers University New Brunswick; Adelphi University; Rutgers University System; Rutgers University New Brunswick</t>
  </si>
  <si>
    <t>Manasi, A (corresponding author), Rutgers State Univ, Ctr Womens Global Leadership, New Brunswick, NJ 08901 USA.</t>
  </si>
  <si>
    <t>ardramanasi11@gmail.com</t>
  </si>
  <si>
    <t>Panchanadeswaran, Subadra/0000-0002-0687-6498</t>
  </si>
  <si>
    <t>0971-8524</t>
  </si>
  <si>
    <t>0973-0656</t>
  </si>
  <si>
    <t>GEND TECHNOL DEV</t>
  </si>
  <si>
    <t>Gend. Technol. Dev.</t>
  </si>
  <si>
    <t>10.1080/09718524.2022.2128254</t>
  </si>
  <si>
    <t>7F0PA</t>
  </si>
  <si>
    <t>WOS:000880251400001</t>
  </si>
  <si>
    <t>Zhang, YY; Xiong, F; Xie, Y; Fan, X; Gu, HF</t>
  </si>
  <si>
    <t>Zhang, Yingying; Xiong, Feng; Xie, Yi; Fan, Xuan; Gu, Haifeng</t>
  </si>
  <si>
    <t>The Impact of Artificial Intelligence and Blockchain on the Accounting Profession</t>
  </si>
  <si>
    <t>Big Data; Blockchain; Machine learning; Finance; Accounting profession; artificial intelligence; big data; blockchain; machine learning</t>
  </si>
  <si>
    <t>BIG DATA; SOCIAL MEDIA; FINANCE; MODEL; INTEGRATION; SENTIMENT; INTERNET</t>
  </si>
  <si>
    <t>Recent developments in technology have introduced dramatic changes to the practice of the accounting profession. This paper provides a comprehensive review of current developments in big data, machine learning, artificial intelligence, and blockchain utilized in general business practice and by specialized practitioners in the accounting profession worldwide. This paper explores the evolution of the accounting profession following these recent technological developments and assesses the impact of future developments. Inherent challenges and opportunities posed by these new technologies pertaining to accounting professionals and accounting educators are also examined, including an increased demand for IT professionals with accounting experience as opposed to accounting major graduates. Considering the dramatic changes and developments of AI applications in accounting, this paper reflects how all these technologies and the associated requirements of job candidates will affect the desired capabilities of accounting graduates and provides further discussion regarding what higher institutions and their accounting graduates can do to adopt such changes.</t>
  </si>
  <si>
    <t>[Zhang, Yingying; Gu, Haifeng] Donghua Univ, Glorious Sun Sch Business &amp; Management, Dept Business Adm, Shanghai 200051, Peoples R China; [Xiong, Feng] Xiamen Univ, Ctr Accounting Studies, Sch Management, Xiamen 361005, Peoples R China; [Xiong, Feng; Xie, Yi] Xiamen Univ, Sch Management, Xiamen 361005, Peoples R China; [Fan, Xuan] Shenzhen Shishang Technol Poemcoder Ltd, Shenzhen 518028, Peoples R China</t>
  </si>
  <si>
    <t>Donghua University; Xiamen University; Xiamen University</t>
  </si>
  <si>
    <t>Xiong, F (corresponding author), Xiamen Univ, Ctr Accounting Studies, Sch Management, Xiamen 361005, Peoples R China.;Xiong, F; Xie, Y (corresponding author), Xiamen Univ, Sch Management, Xiamen 361005, Peoples R China.</t>
  </si>
  <si>
    <t>xiongfeng@xmu.edu.cn; yixie@xmu.edu.cn</t>
  </si>
  <si>
    <t>Gu, Haifeng/0009-0001-6096-4261; Zhang, Yingying/0000-0002-6236-9781</t>
  </si>
  <si>
    <t>National Natural Science Foundation of China [71790602, 71702160]; Chinese Ministry of Education [16JJD790034]; Chinese Fundamental Research Funds for Central Universities [20720201020, 20720201011]</t>
  </si>
  <si>
    <t>National Natural Science Foundation of China(National Natural Science Foundation of China (NSFC)); Chinese Ministry of Education(Ministry of Education, China); Chinese Fundamental Research Funds for Central Universities</t>
  </si>
  <si>
    <t>This work was supported in part by the National Natural Science Foundation of China under Grant 71790602 and Grant 71702160, in part by the Chinese Ministry of Education under Grant 16JJD790034, and in part by the Chinese Fundamental Research Funds for Central Universities under Grant 20720201020 and Grant 20720201011.</t>
  </si>
  <si>
    <t>10.1109/ACCESS.2020.3000505</t>
  </si>
  <si>
    <t>MH0II</t>
  </si>
  <si>
    <t>WOS:000546414000079</t>
  </si>
  <si>
    <t>Arévalo, P; Jurado, F</t>
  </si>
  <si>
    <t>Arevalo, Paul; Jurado, Francisco</t>
  </si>
  <si>
    <t>Impact of Artificial Intelligence on the Planning and Operation of Distributed Energy Systems in Smart Grids</t>
  </si>
  <si>
    <t>artificial intelligence in smart grids; distributed energy systems optimization; renewable energy integration; demand response</t>
  </si>
  <si>
    <t>POWER; GENERATION; PREDICTION; MANAGEMENT; NETWORKS; AI</t>
  </si>
  <si>
    <t>This review paper thoroughly explores the impact of artificial intelligence on the planning and operation of distributed energy systems in smart grids. With the rapid advancement of artificial intelligence techniques such as machine learning, optimization, and cognitive computing, new opportunities are emerging to enhance the efficiency and reliability of electrical grids. From demand and generation prediction to energy flow optimization and load management, artificial intelligence is playing a pivotal role in the transformation of energy infrastructure. This paper delves deeply into the latest advancements in specific artificial intelligence applications within the context of distributed energy systems, including the coordination of distributed energy resources, the integration of intermittent renewable energies, and the enhancement of demand response. Furthermore, it discusses the technical, economic, and regulatory challenges associated with the implementation of artificial intelligence-based solutions, as well as the ethical considerations related to automation and autonomous decision-making in the energy sector. This comprehensive analysis provides a detailed insight into how artificial intelligence is reshaping the planning and operation of smart grids and highlights future research and development areas that are crucial for achieving a more efficient, sustainable, and resilient electrical system.</t>
  </si>
  <si>
    <t>[Arevalo, Paul] Univ Cuenca, Fac Engn, Dept Elect Engn Elect &amp; Telecommun DEET, Balzay Campus, Cuenca 010107, Azuay, Ecuador; [Arevalo, Paul; Jurado, Francisco] Univ Jaen, Dept Elect Engn, EPS Linares, Jaen 23700, Spain</t>
  </si>
  <si>
    <t>Universidad de Cuenca; Universidad de Jaen</t>
  </si>
  <si>
    <t>Arévalo, P (corresponding author), Univ Cuenca, Fac Engn, Dept Elect Engn Elect &amp; Telecommun DEET, Balzay Campus, Cuenca 010107, Azuay, Ecuador.;Arévalo, P (corresponding author), Univ Jaen, Dept Elect Engn, EPS Linares, Jaen 23700, Spain.</t>
  </si>
  <si>
    <t>warevalo@ujaen.es; fjurado@ujaen.es</t>
  </si>
  <si>
    <t>Arevalo Cordero, Wilian/IRZ-7156-2023; Jurado, Francisco/F-7546-2011</t>
  </si>
  <si>
    <t>Jurado, Francisco/0000-0001-8122-7415; Arevalo-Codero, Paul/0000-0002-6721-1326</t>
  </si>
  <si>
    <t>10.3390/en17174501</t>
  </si>
  <si>
    <t>F6P3V</t>
  </si>
  <si>
    <t>WOS:001311014900001</t>
  </si>
  <si>
    <t>Barros, A; Prasad, A; Sliwa, M</t>
  </si>
  <si>
    <t>Barros, Amon; Prasad, Ajnesh; Sliwa, Martyna</t>
  </si>
  <si>
    <t>Generative artificial intelligence and academia: Implication for research, teaching and service</t>
  </si>
  <si>
    <t>MANAGEMENT LEARNING</t>
  </si>
  <si>
    <t>Academia; artificial intelligence; generative AI; research; service; teaching</t>
  </si>
  <si>
    <t>MANAGEMENT; FUTURE</t>
  </si>
  <si>
    <t>In this editorial, we identify some of the opportunities and the consequences of generative artificial intelligence for academia. We discuss how generative artificial intelligence will affect the three main areas of an academic's job responsibilities: research, teaching and service. To animate our ideas, we offer illustrative examples of how generative artificial intelligence will impact each of these areas. Further recognizing that generative artificial intelligence poses both opportunities and consequences for academia from a management learning perspective, we use examples that represent a positive and a negative outcome resultant of generative artificial intelligence to each of the three areas of academic responsibility.</t>
  </si>
  <si>
    <t>[Barros, Amon] FGV EAESP, Sao Paulo, Brazil; [Prasad, Ajnesh] Royal Rd Univ, Victoria, BC, Canada; [Prasad, Ajnesh] Tecnol Monterrey, Zapopan, Mexico; [Sliwa, Martyna] Univ Durham, Durham, England; [Prasad, Ajnesh] 2005 Sooke Rd, Victoria, BC V9B 5Y2, Canada</t>
  </si>
  <si>
    <t>Getulio Vargas Foundation; Tecnologico de Monterrey; Durham University</t>
  </si>
  <si>
    <t>Prasad, A (corresponding author), 2005 Sooke Rd, Victoria, BC V9B 5Y2, Canada.</t>
  </si>
  <si>
    <t>ajnesh_prasad@yahoo.ca</t>
  </si>
  <si>
    <t>Prasad, Ajnesh/AAS-3674-2020; Barros, Amon/AAD-2143-2020</t>
  </si>
  <si>
    <t>Prasad, Ajnesh/0000-0002-4368-1796</t>
  </si>
  <si>
    <t>1350-5076</t>
  </si>
  <si>
    <t>1461-7307</t>
  </si>
  <si>
    <t>MANAGE LEARN</t>
  </si>
  <si>
    <t>Manage. Learn.</t>
  </si>
  <si>
    <t>10.1177/13505076231201445</t>
  </si>
  <si>
    <t>OCT 2023</t>
  </si>
  <si>
    <t>W0NO3</t>
  </si>
  <si>
    <t>WOS:001081899400001</t>
  </si>
  <si>
    <t>Padmanabhan, S; Tran, TQB; Dominiczak, AF</t>
  </si>
  <si>
    <t>Padmanabhan, Sandosh; Tran Quoc Bao Tran; Dominiczak, Anna F.</t>
  </si>
  <si>
    <t>Artificial Intelligence in Hypertension Seeing Through a Glass Darkly</t>
  </si>
  <si>
    <t>CIRCULATION RESEARCH</t>
  </si>
  <si>
    <t>artificial intelligence; blood pressure; clinical trial; hypertension; machine learning</t>
  </si>
  <si>
    <t>CORONARY-ARTERY-DISEASE; LEARNING-BASED APPROACH; BLOOD-PRESSURE; ATRIAL-FIBRILLATION; CLINICAL IMPACT; PREDICTION; HEALTH; RISK; CLASSIFICATION; MANAGEMENT</t>
  </si>
  <si>
    <t>Hypertension remains the largest modifiable cause of mortality worldwide despite the availability of effective medications and sustained research efforts over the past 100 years. Hypertension requires transformative solutions that can help reduce the global burden of the disease. Artificial intelligence and machine learning, which have made a substantial impact on our everyday lives over the last decade may be the route to this transformation. However, artificial intelligence in health care is still in its nascent stages and realizing its potential requires numerous challenges to be overcome. In this review, we provide a clinician-centric perspective on artificial intelligence and machine learning as applied to medicine and hypertension. We focus on the main roadblocks impeding implementation of this technology in clinical care and describe efforts driving potential solutions. At the juncture, there is a critical requirement for clinical and scientific expertise to work in tandem with algorithmic innovation followed by rigorous validation and scrutiny to realize the promise of artificial intelligence-enabled health care for hypertension and other chronic diseases.</t>
  </si>
  <si>
    <t>[Padmanabhan, Sandosh; Tran Quoc Bao Tran; Dominiczak, Anna F.] Univ Glasgow, BHF Glasgow Cardiovasc Res Ctr, Inst Cardiovasc &amp; Med Sci, Wolfson Med Sch Bldg,Univ Ave, Glasgow G12 8QQ, Lanark, Scotland</t>
  </si>
  <si>
    <t>University of Glasgow</t>
  </si>
  <si>
    <t>Dominiczak, AF (corresponding author), Univ Glasgow, BHF Glasgow Cardiovasc Res Ctr, Inst Cardiovasc &amp; Med Sci, Wolfson Med Sch Bldg,Univ Ave, Glasgow G12 8QQ, Lanark, Scotland.</t>
  </si>
  <si>
    <t>anna.dominiczak@glasgow.ac.uk</t>
  </si>
  <si>
    <t>Dominiczak, Anna/P-9390-2017</t>
  </si>
  <si>
    <t>Dominiczak, Anna/0000-0003-4913-3608; Tran, Tran Quoc Bao/0000-0001-6829-6432; Padmanabhan, Sandosh/0000-0003-3869-5808</t>
  </si>
  <si>
    <t>Medical Research Council [MR/M016560/1]; British Heart Foundation [PG/12/85/29925, CS/16/1/31878, RE/18/6/34217]; Health Data Research UK [HDR-5012]; Chief Scientist Office, Scotland; UK Research and Innovation Strength in Places Fund; MRC [MR/M016560/1] Funding Source: UKRI</t>
  </si>
  <si>
    <t>Medical Research Council(UK Research &amp; Innovation (UKRI)Medical Research Council UK (MRC)); British Heart Foundation(British Heart Foundation); Health Data Research UK; Chief Scientist Office, Scotland(Chief Scientist Office - Scotland); UK Research and Innovation Strength in Places Fund; MRC(UK Research &amp; Innovation (UKRI)Medical Research Council UK (MRC))</t>
  </si>
  <si>
    <t>S. Padmanabhan is funded by the Medical Research Council (MR/M016560/1), the British Heart Foundation (PG/12/85/29925, CS/16/1/31878, and RE/18/6/34217), Health Data Research UK (HDR-5012), and Chief Scientist Office, Scotland. A.F. Dominiczak acknowledges funding from UK Research and Innovation Strength in Places Fund.</t>
  </si>
  <si>
    <t>0009-7330</t>
  </si>
  <si>
    <t>1524-4571</t>
  </si>
  <si>
    <t>CIRC RES</t>
  </si>
  <si>
    <t>Circ.Res.</t>
  </si>
  <si>
    <t>APR 2</t>
  </si>
  <si>
    <t>10.1161/CIRCRESAHA.121.318106</t>
  </si>
  <si>
    <t>Cardiac &amp; Cardiovascular Systems; Hematology; Peripheral Vascular Disease</t>
  </si>
  <si>
    <t>Cardiovascular System &amp; Cardiology; Hematology</t>
  </si>
  <si>
    <t>RL9WD</t>
  </si>
  <si>
    <t>WOS:000639312800016</t>
  </si>
  <si>
    <t>Cavacece, Y; Ebraico, S; Spena, TR; Mele, C; Leone, D; Schiavone, F; Bastone, A</t>
  </si>
  <si>
    <t>Cavacece, Ylenia; Ebraico, Sara; Spena, Tiziana Russo; Mele, Cristina; Leone, Daniele; Schiavone, Francesco; Bastone, Anna</t>
  </si>
  <si>
    <t>Blockchain technology and Artificial Intelligence for value co-creation in healthcare</t>
  </si>
  <si>
    <t>Value co-creation; blockchain; healthcare; ecosystem; Artificial Intelligence</t>
  </si>
  <si>
    <t>SERVICE</t>
  </si>
  <si>
    <t>The Covid-19 pandemic highlighted the need of managing complex relations within the healthcare ecosystem. The role of new technologies in achieving this goal is a topic of current interest. Among them, blockchain technology and Artificial Intelligence are gaining wide application in the healthcare context. The aim of this work is to investigate how these technologies foster value co-creation paths in healthcare ecosystems. The results show the direct and indirect impacts of blockchain adoption on value co-creation in terms of data and resource sharing, patient participation, and collaboration between professionals. Theoretical and practical implications are provided.</t>
  </si>
  <si>
    <t>[Cavacece, Ylenia; Ebraico, Sara; Spena, Tiziana Russo; Mele, Cristina] Univ Naples Federico II, Dept Econ, Management, Naples, Italy; [Leone, Daniele; Schiavone, Francesco; Bastone, Anna] Univ Naples Parthenope, Dept Management Studies &amp; Quantitat Methods DISAQ, Naples, Italy</t>
  </si>
  <si>
    <t>University of Naples Federico II; Parthenope University Naples</t>
  </si>
  <si>
    <t>Cavacece, Y (corresponding author), Univ Naples Federico II, Dept Econ, Management, Naples, Italy.</t>
  </si>
  <si>
    <t>ylenia.cavacece@unicas.it; sara.ebraico@unina.it; russospe@unina.it; cristina.mele@unina.it; daniele.leone@uniparthenope.it; francesco.schiavone@uniparthenope.it; anna.bastone001@studenti.uniparthenope.it</t>
  </si>
  <si>
    <t>Russo-Spena, Tiziana/D-3220-2012; MELE, Cristina/AAE-7417-2019</t>
  </si>
  <si>
    <t>Russo-Spena, Tiziana/0000-0002-1732-6029; Leone, Daniele/0000-0002-1789-2055; MELE, Cristina/0000-0002-8353-8150</t>
  </si>
  <si>
    <t>10.1109/MetroXRAINE54828.2022.9967567</t>
  </si>
  <si>
    <t>WOS:000947347200092</t>
  </si>
  <si>
    <t>Gutiérrez, JPL; Pulido-Flórez, J</t>
  </si>
  <si>
    <t>Gutierrez, Jenny P. Lis; Pulido-Florez, Jhonathan</t>
  </si>
  <si>
    <t>Musical Artistic Creations and Artificial Intelligence (2019-2022)</t>
  </si>
  <si>
    <t>OIDO PENSANTE</t>
  </si>
  <si>
    <t>Artificial Intelligence; music; intellectual property; artistic creation; musical artistic creation</t>
  </si>
  <si>
    <t>The aim of this research is to analyze how Artificial Intelligence was used in music artistic creation between the years 2019 and 2022. For this purpose, three key aspects were addressed: (i) describing the different uses of Artificial Intelligence in the musical domain, (ii) examining the advantages and disadvantages of its application, and (iii) comparing three specific cases of Artificial Intelligence implementation in music (Massive Attack, DeepBeat, These Lyrics Do Not Exist). A qualitative methodology was employed, involving an exhaustive review of scientific literature and a detailed analysis of primary sources related to the mentioned cases. Through this process, it was identified that Artificial Intelligence has been increasingly used in various musical aspects, encompassing composition, musical instruction, and recommendation, with a significant impact on the commercial sphere. Additionally, the use of Artificial Intelligence in music has demonstrated diverse advantages and disadvantages in areas such as convenience, creativity, autonomy, intellectual property, investment, technological development, flexibility, and musical writing. Furthermore, the detailed comparison of the three cases studied allowed for the identification of the scope and concrete applications of Deep Learning in the musical domain, showcasing its wide adoption and massive utilization in this field. An important aspect arising from this research is its contribution to the discussion on new scenarios and the development of policies and regulations in the realm of artistic creation involving Artificial Intelligence.</t>
  </si>
  <si>
    <t>[Gutierrez, Jenny P. Lis] Fdn Univ Konrad Lorenz, Ctr Invest, Escuela Negocios, Bogota, Colombia; [Pulido-Florez, Jhonathan] Fdn Univ Konrad Lorenz, Bogota, Colombia</t>
  </si>
  <si>
    <t>Gutiérrez, JPL (corresponding author), Fdn Univ Konrad Lorenz, Ctr Invest, Escuela Negocios, Bogota, Colombia.</t>
  </si>
  <si>
    <t>jenny.lis@konradlorenz.edu.co; jhonathans.pulidof@konradlorenz.edu.co</t>
  </si>
  <si>
    <t>UNIV BUENOS AIRES, FAC FILOSOFIA &amp; LETRAS, INST CIENCIAS ANTROPOLOGICS</t>
  </si>
  <si>
    <t>PUAN 470, 4TO, PISO OF 464, BUENOS AIRES, 00000, ARGENTINA</t>
  </si>
  <si>
    <t>2250-7116</t>
  </si>
  <si>
    <t>Oido Pensante</t>
  </si>
  <si>
    <t>MAR-SEP</t>
  </si>
  <si>
    <t>10.34096/oidopensante.v12n1.12176</t>
  </si>
  <si>
    <t>Music</t>
  </si>
  <si>
    <t>QF2Q4</t>
  </si>
  <si>
    <t>WOS:001219402100007</t>
  </si>
  <si>
    <t>García-Peñalvo, FJ; Llorens-Largo, F; Vidal, J</t>
  </si>
  <si>
    <t>Garcia-Penalvo, Francisco Jose; Llorens-Largo, Faraon; Vidal, Javier</t>
  </si>
  <si>
    <t>The new reality of education in the face of advances in generative artificial intelligence</t>
  </si>
  <si>
    <t>RIED-REVISTA IBEROAMERICANA DE EDUCACION A DISTANCIA</t>
  </si>
  <si>
    <t>artificial intelligence; generative artificial intelligence; ChatGPT; education</t>
  </si>
  <si>
    <t>It is increasingly common to interact with products that seem intelligent, although the label artificial intelligence may have been replaced by other euphemisms. Since November 2022, with the emergence of the ChatGPT tool, there has been an exponential increase in the use of artificial intelligence in all areas. Although ChatGPT is just one of many generative artificial intelligence technologies, its impact on teaching and learning processes has been significant. This article reflects on the advantages, disadvantages, potentials, limits, and challenges of generative artificial intelligence technologies in education to avoid the biases inherent in extremist positions. To this end, we conducted a systematic review of both the tools and the scientific production that have emerged in the six months since the appearance of ChatGPT. Generative artificial intelligence is extremely powerful and improving at an accelerated pace, but it is based on large language models with a probabilistic basis, which means that they have no capacity for reasoning or comprehension and are therefore susceptible to containing errors that need to be contrasted. On the other hand, many of the problems associated with these technologies in educational contexts already existed before their appearance, but now, due to their power, we cannot ignore them, and we must assume what our speed of response will be to analyse and incorporate these tools into our teaching practice.</t>
  </si>
  <si>
    <t>[Garcia-Penalvo, Francisco Jose] Univ Salamanca, Salamanca, Spain; [Llorens-Largo, Faraon] Univ Alicante, Alicante, Spain; [Vidal, Javier] Univ Leon, Leon, Spain</t>
  </si>
  <si>
    <t>University of Salamanca; Universitat d'Alacant; Universidad de Leon</t>
  </si>
  <si>
    <t>García-Peñalvo, FJ (corresponding author), Univ Salamanca, Salamanca, Spain.</t>
  </si>
  <si>
    <t>Llorens Largo, Faraón/K-5060-2014; GARCIA-PENALVO, Francisco Jose/D-5445-2013</t>
  </si>
  <si>
    <t>GARCIA-PENALVO, Francisco Jose/0000-0001-9987-5584</t>
  </si>
  <si>
    <t>ASOCIACION IBEROAMERICANA EDUCACION SUPERIOR &amp; DISTANCIA - AIESAD</t>
  </si>
  <si>
    <t>UNED, FAC EDUC, C/ JUAN DEL ROSAI, 14, MADRID, 28040, SPAIN</t>
  </si>
  <si>
    <t>1138-2783</t>
  </si>
  <si>
    <t>1390-3306</t>
  </si>
  <si>
    <t>RIED-REV IBEROAM EDU</t>
  </si>
  <si>
    <t>RIED-Rev. Iberoam. Educ. Distancia</t>
  </si>
  <si>
    <t>10.5944/ried.27.1.37716</t>
  </si>
  <si>
    <t>EE4Q1</t>
  </si>
  <si>
    <t>WOS:001137233600013</t>
  </si>
  <si>
    <t>Raveendran, R; Perumbure, S; Nath, SG</t>
  </si>
  <si>
    <t>Raveendran, Ranjith; Perumbure, Suresh; Nath, Sameera G.</t>
  </si>
  <si>
    <t>Artificial intelligence: A newer vista in dentistry</t>
  </si>
  <si>
    <t>ARTIFICIAL ORGANS</t>
  </si>
  <si>
    <t>artificial intelligence; dentistry; diagnosis; disease prediction; review; treatment</t>
  </si>
  <si>
    <t>DECISION-SUPPORT-SYSTEM; MINOR APICAL FORAMEN; NEURAL-NETWORK; DIAGNOSIS; PERFORMANCE; EXTRACTIONS; PREDICTION</t>
  </si>
  <si>
    <t>Background Artificial intelligence (AI) is one of the newest fields in science and engineering. It refers to the simulation of human intelligence in machines that are programmed to think like humans and mimic their actions. Artificial intelligence as a science is very broad and encompasses various fields, including reasoning, natural language processing, planning, and machine learning. In modern times the real-world current applications of AI include health care, automotive, finance and economics, playing video games, solving mathematical theorems, writing poetry, driving a car on a crowded street, and many more all of which aim to improve human life. Methods The aim of this article is to review the current application of AI in the field of dentistry based on electronic search in various data bases like Google scholar, PubMed, and Scopus. Results The present review outlines the potential applications of AI in the field of Dentistry in diagnosis, treatment planning, and disease prediction and discusses its impact on dentists, with the objective of creating a support for future research in this rapidly expanding arena. Conclusions Artificial intelligence systems can simplify the tasks, give a standardization to the procedures and provide results in quick time which can save the dentist time and help the dentist to perform his duties more efficiently.</t>
  </si>
  <si>
    <t>[Raveendran, Ranjith] Govt Dent Coll, Dept Orthodont &amp; Dentofacial Orthoped, Kannur, India; [Perumbure, Suresh] Muthoot Inst Technol &amp; Sci, Ctr Interdisciplinary Res Innovat &amp; Entrepreneurs, Ernakulam, India; [Nath, Sameera G.] Govt Dent Coll, Dept Periodont, Kozhikode 673008, Kerala, India</t>
  </si>
  <si>
    <t>Nath, SG (corresponding author), Govt Dent Coll, Dept Periodont, Kozhikode 673008, Kerala, India.</t>
  </si>
  <si>
    <t>sameeradr@rediffmail.com</t>
  </si>
  <si>
    <t>Nath, Sameera/A-5851-2013</t>
  </si>
  <si>
    <t>0160-564X</t>
  </si>
  <si>
    <t>1525-1594</t>
  </si>
  <si>
    <t>ARTIF ORGANS</t>
  </si>
  <si>
    <t>Artif. Organs</t>
  </si>
  <si>
    <t>10.1111/aor.14128</t>
  </si>
  <si>
    <t>Engineering, Biomedical; Transplantation</t>
  </si>
  <si>
    <t>Engineering; Transplantation</t>
  </si>
  <si>
    <t>2R0AG</t>
  </si>
  <si>
    <t>WOS:000727103900001</t>
  </si>
  <si>
    <t>Zhang, XH</t>
  </si>
  <si>
    <t>Hou, H; Han, Z</t>
  </si>
  <si>
    <t>Zhang, Xihua</t>
  </si>
  <si>
    <t>A Study on the Research Field and Social Influence of Computer Artificial Intelligence</t>
  </si>
  <si>
    <t>PROCEEDINGS OF THE 2017 5TH INTERNATIONAL CONFERENCE ON MACHINERY, MATERIALS AND COMPUTING TECHNOLOGY (ICMMCT 2017)</t>
  </si>
  <si>
    <t>5th International Conference on Machinery, Materials and Computing Technology (ICMMCT)</t>
  </si>
  <si>
    <t>MAR 25-26, 2017</t>
  </si>
  <si>
    <t>Inst Nat Sci &amp; Adv Technol</t>
  </si>
  <si>
    <t>Computer; Artificial intelligence; Research field; Social influence</t>
  </si>
  <si>
    <t>The rapid development of artificial intelligence technology has formed a systematic trend and gradually constructed an intelligent technology environment, which will have a great impact on human life style. The systematic development and popularization of artificial intelligence will deeply influence the way of human life. Based on the author's learning and practical experience, this paper first analyzed the research fields of computer artificial intelligence, and then discussed the impact of computer artificial intelligence on the society.</t>
  </si>
  <si>
    <t>[Zhang, Xihua] Baicheng Normal Univ, Baicheng City 137000, Jilin, Peoples R China</t>
  </si>
  <si>
    <t>Baicheng Normal University</t>
  </si>
  <si>
    <t>Zhang, XH (corresponding author), Baicheng Normal Univ, Baicheng City 137000, Jilin, Peoples R China.</t>
  </si>
  <si>
    <t>978-94-6252-318-0</t>
  </si>
  <si>
    <t>BJ0UJ</t>
  </si>
  <si>
    <t>WOS:000417222700253</t>
  </si>
  <si>
    <t>Ahmad, I; Amelio, A; Merla, A; Scozzari, F</t>
  </si>
  <si>
    <t>Ahmad, Ijaz; Amelio, Alessia; Merla, Arcangelo; Scozzari, Francesca</t>
  </si>
  <si>
    <t>A survey on the role of artificial intelligence in managing Long COVID</t>
  </si>
  <si>
    <t>artificial intelligence; deep learning; machine learning; Long COVID; post-acute sequelae of SARS CoV-2 infection; PASC</t>
  </si>
  <si>
    <t>In the last years, several techniques of artificial intelligence have been applied to data from COVID-19. In addition to the symptoms related to COVID-19, many individuals with SARS-CoV-2 infection have described various long-lasting symptoms, now termed Long COVID. In this context, artificial intelligence techniques have been utilized to analyze data from Long COVID patients in order to assist doctors and alleviate the considerable strain on care and rehabilitation facilities. In this paper, we explore the impact of the machine learning methodologies that have been applied to analyze the many aspects of Long COVID syndrome, from clinical presentation through diagnosis. We also include the text mining techniques used to extract insights and trends from large amounts of text data related to Long COVID. Finally, we critically compare the various approaches and outline the work that has to be done to create a robust artificial intelligence approach for efficient diagnosis and treatment of Long COVID.</t>
  </si>
  <si>
    <t>[Ahmad, Ijaz] Telemat Univ Leonardo da Vinci, Dept Human Legal &amp; Econ Sci, Chieti, Italy; [Amelio, Alessia; Merla, Arcangelo] Univ G dAnnunzio, Dept Engn &amp; Geol, Pescara, Italy; [Scozzari, Francesca] Univ G dAnnunzio, Dept Econ Studies, Lab Computat Log &amp; Artificial Intelligence, Pescara, Italy</t>
  </si>
  <si>
    <t>G d'Annunzio University of Chieti-Pescara; G d'Annunzio University of Chieti-Pescara</t>
  </si>
  <si>
    <t>Amelio, A (corresponding author), Univ G dAnnunzio, Dept Engn &amp; Geol, Pescara, Italy.</t>
  </si>
  <si>
    <t>alessia.amelio@unich.it</t>
  </si>
  <si>
    <t>Amelio, Alessia/AAI-4601-2021; Scozzari, Francesca/KCL-0390-2024</t>
  </si>
  <si>
    <t>Scozzari, Francesca/0000-0002-2105-4855; Ahmad, ijaz/0000-0001-6804-8025</t>
  </si>
  <si>
    <t>JAN 11</t>
  </si>
  <si>
    <t>10.3389/frai.2023.1292466</t>
  </si>
  <si>
    <t>FT2Q0</t>
  </si>
  <si>
    <t>WOS:001148044900001</t>
  </si>
  <si>
    <t>Bodea, CN; Paparic, M; Mogos, RI; Dascalu, MI</t>
  </si>
  <si>
    <t>Bodea, Constanta-Nicoleta; Paparic, Mario; Mogos, Radu Ioan; Dascalu, Maria-Iuliana</t>
  </si>
  <si>
    <t>ARTIFICIAL INTELLIGENCE ADOPTION IN THE WORKPLACE AND ITS IMPACT ON THE UPSKILLING AND RESKILLING STRATEGIES</t>
  </si>
  <si>
    <t>upskilling; reskilling; artificial intelligence; competence; ethnography; talent management</t>
  </si>
  <si>
    <t>The technology innovation, especially in the case of artificial intelligence, has significantly transformed the work processes and how they are organised and performed. Even if the adoption of advanced technologies usually leads to a higher work performance, there are risks of negative disruptions in the working systems, such as non -ethical use and social negative effects. The paper presents the results of an ethnographic research conducted by the authors, with the objective to identify the impact of the artificial intelligence adoption in the workplace on the professional knowledge and skills requirements and on the upskilling and reskilling strategies. Three different domains were considered: information technology, education, and scientific research. One relevant conclusion of the research is that knowledge and skills requirements should be studied from multiple perspectives, such as profession dynamics, not only from the technology innovation perspective. The research originality mainly consists in the way in which the concept of the level of upskilling/reskilling importance is defined and applied, based on professional knowledge and skills development requirements. By using the assessed level of upskilling/reskilling importance, strategies and related actions may be defined and undertaken. By substantiating this manner of setting up the upskilling and reskilling strategies and actions, the research has a theoretical and practical impact in the domain of talent management.</t>
  </si>
  <si>
    <t>[Bodea, Constanta-Nicoleta; Mogos, Radu Ioan] Bucharest Univ Econ Studies, Bucharest, Romania; [Bodea, Constanta-Nicoleta] Romanian Acad, Natl Inst Econ Res, Bucharest, Romania; [Paparic, Mario] Alma Mater Europaea ECM, Maribor, Slovenia; [Paparic, Mario] Calor Gas Ireland, Dublin, Ireland; [Dascalu, Maria-Iuliana] Natl Univ Sci &amp; Technol Politehn Bucharest, Bucharest, Romania</t>
  </si>
  <si>
    <t>Bucharest University of Economic Studies; National Institute for Economic Research Costin C. Kiritescu; Romanian Academy; Alma Mater Europaea; National University of Science &amp; Technology POLITEHNICA Bucharest</t>
  </si>
  <si>
    <t>Bodea, CN (corresponding author), Bucharest Univ Econ Studies, Bucharest, Romania.;Bodea, CN (corresponding author), Romanian Acad, Natl Inst Econ Res, Bucharest, Romania.</t>
  </si>
  <si>
    <t>bodea@ase.ro</t>
  </si>
  <si>
    <t>Paparic, Mario/JGC-8918-2023; Dascalu, Maria-Iuliana/JLN-0689-2023</t>
  </si>
  <si>
    <t>Ministry of Research, Innovation and Digitization, CNCS - UE FISCDI [TE151]</t>
  </si>
  <si>
    <t>Ministry of Research, Innovation and Digitization, CNCS - UE FISCDI</t>
  </si>
  <si>
    <t>We are grateful to the professionals agreeing to reflect on their experiences in using AI systems/tools, to participate in interviews and to validate the research findings.This work was supported by a grant of the Ministry of Research, Innovation and Digitization, CNCS - UE FISCDI, project number TE151 from 14/06/2022, within PNCDI III: Smart Career Profiler based on a Semantic Data Fusion Framework.</t>
  </si>
  <si>
    <t>10.24818/EA/2024/65/126</t>
  </si>
  <si>
    <t>WOS:001251298900008</t>
  </si>
  <si>
    <t>Kot, S; Hussain, HI; Bilan, S; Haseeb, M; Mihardjo, LWW</t>
  </si>
  <si>
    <t>Kot, Sebastian; Hussain, Hafezali Iqbal; Bilan, Svitlana; Haseeb, Muhammad; Mihardjo, Leonardus W. W.</t>
  </si>
  <si>
    <t>THE ROLE OF ARTIFICIAL INTELLIGENCE RECRUITMENT AND QUALITY TO EXPLAIN THE PHENOMENON OF EMPLOYER REPUTATION</t>
  </si>
  <si>
    <t>JOURNAL OF BUSINESS ECONOMICS AND MANAGEMENT</t>
  </si>
  <si>
    <t>artificial intelligence (AI); artificial intelligence recruitment (AIR); artificial intelligence quality (AIQ); artificial intelligence adoption (AIadopt); employer reputation (ER); human resource management (HRM)</t>
  </si>
  <si>
    <t>CUSTOMER SATISFACTION; SERVICE QUALITY; MANAGEMENT; ADOPTION; SIGNAL; MODEL</t>
  </si>
  <si>
    <t>The prime contribution of current research entails the explanation of role of artificial intelligence based human resource management function to determine the employer reputation among pharmaceutical industry of Indonesia. The study intends to examine the empirically investigation the role and impact of artificial intelligence-based recruitment and artificial intelligence-based quality to determine the employer reputation with mediating role of artificial intelligence adoption. The study contributes to the body of knowledge and claims to be novel in explaining the AI based HR function to explain the phenomenon of employer reputation. The study examined the empirical investigation between AI based recruitment and AI based quality to influence the AI adoption that further predicts the phenomenon of employer reputation. The study was conducted on pharmaceutical industry of Indonesia and convenience sampling was used for data collected and Smart-PLS was utilized for data analysis. The study found that AI based recruitment and quality significantly influences the AI adoption and further it influences the employer reputation. The mediation role of artificial intelligence adoption is significant where it is found that artificial intelligence mediates the relationship between artificial intelligence recruitment and employer reputation, with similar significant mediation role between artificial intelligence quality and employer reputation.</t>
  </si>
  <si>
    <t>[Kot, Sebastian] Czestochowa Tech Univ, Management Fac, Czestochowa, Poland; [Kot, Sebastian] Univ Johannesburg, Coll Business &amp; Econ, Johannesburg, South Africa; [Hussain, Hafezali Iqbal; Haseeb, Muhammad] Taylors Univ, Taylors Business Sch, Subang Jaya, Malaysia; [Hussain, Hafezali Iqbal] Univ Econ &amp; Human Sci Warsaw, Warsaw, Poland; [Bilan, Svitlana] Univ Econ &amp; Innovat Lublin, Lublin, Poland; [Bilan, Svitlana] Al Farabi Kazakh Natl Univ, Alma Ata, Kazakhstan; [Mihardjo, Leonardus W. W.] Bina Nusantara Univ, Jalan Hang Lekir I 6, Jakarta 10270, Indonesia</t>
  </si>
  <si>
    <t>Technical University Czestochowa; University of Johannesburg; Taylor's University; Al-Farabi Kazakh National University; Universitas Bina Nusantara</t>
  </si>
  <si>
    <t>Kot, S (corresponding author), Czestochowa Tech Univ, Management Fac, Czestochowa, Poland.;Kot, S (corresponding author), Univ Johannesburg, Coll Business &amp; Econ, Johannesburg, South Africa.</t>
  </si>
  <si>
    <t>sebacat@zim.pcz.zest.pl</t>
  </si>
  <si>
    <t>mihardjo, leonardus/AAO-4558-2020; Hussain, Hafezali/U-1483-2019; Bilan, Yuriy/ABC-6948-2021; Kot, Sebastian/P-5165-2018; Bilan, Svitlana/T-7904-2018; Haseeb, Muhammad/J-6858-2014</t>
  </si>
  <si>
    <t>Kot, Sebastian/0000-0002-8272-6918; Bilan, Svitlana/0000-0001-9814-5459; Mihardjo, Leonardus Wahyu Wasono/0000-0002-3820-4960; Haseeb, Muhammad/0000-0002-0307-6751</t>
  </si>
  <si>
    <t>VILNIUS GEDIMINAS TECH UNIV</t>
  </si>
  <si>
    <t>VILNIUS</t>
  </si>
  <si>
    <t>SAULETEKIO AL 11, VILNIUS, LT-10223, LITHUANIA</t>
  </si>
  <si>
    <t>1611-1699</t>
  </si>
  <si>
    <t>2029-4433</t>
  </si>
  <si>
    <t>J BUS ECON MANAG</t>
  </si>
  <si>
    <t>J. Bus. Econ. Manag.</t>
  </si>
  <si>
    <t>10.3846/jbem.2021.14606</t>
  </si>
  <si>
    <t>Business; Economics</t>
  </si>
  <si>
    <t>SE4GB</t>
  </si>
  <si>
    <t>WOS:000652030200002</t>
  </si>
  <si>
    <t>Bulatovic, G</t>
  </si>
  <si>
    <t>Bulatovic, Gordana</t>
  </si>
  <si>
    <t>CREATING SHARED VALUE AS A FRAMEWORK FOR RESPONSIBLE APPLICATION OF ARTIFICIAL INTELLIGENCE IN SERBIA</t>
  </si>
  <si>
    <t>SERBIAN JOURNAL OF MANAGEMENT</t>
  </si>
  <si>
    <t>artificial intelligence; creating shared value; sustainable development; Serbia; social impact</t>
  </si>
  <si>
    <t>This paper proposes a model of creating shared value as a framework for responsible application of artificial intelligence in Serbia, taking into account key social and economic challenges brought by this technology. The work relies on analysis of existing literature in the fields of artificial intelligence, creating shared value and Serbia's strategies for AI development. Key challenges and opportunities related to AI application in Serbia have been identified. The proposed model of creating shared value can provide a responsible and beneficial development of the AI sector in Serbia, considering the social and economic impacts of this technology.</t>
  </si>
  <si>
    <t>[Bulatovic, Gordana] Metropolitan Univ, FEFA, Bulevar Zorana Dindica 44, Belgrade, Serbia</t>
  </si>
  <si>
    <t>Bulatovic, G (corresponding author), Metropolitan Univ, FEFA, Bulevar Zorana Dindica 44, Belgrade, Serbia.</t>
  </si>
  <si>
    <t>gordana.bulatovic18@fefa.edu.rs</t>
  </si>
  <si>
    <t>UNIV BELGRADE, TECHNICAL FACULTY AT BOR</t>
  </si>
  <si>
    <t>BOR</t>
  </si>
  <si>
    <t>VOJSKE JUGOSLAVIJE 12, BOR, 19210, SERBIA</t>
  </si>
  <si>
    <t>1452-4864</t>
  </si>
  <si>
    <t>SERB J MANAG</t>
  </si>
  <si>
    <t>Serb. J. Manag.</t>
  </si>
  <si>
    <t>10.5937/sjm19-50164</t>
  </si>
  <si>
    <t>P2V1Q</t>
  </si>
  <si>
    <t>WOS:001376541500009</t>
  </si>
  <si>
    <t>Zhong, X; She, JQ; Wu, XJ</t>
  </si>
  <si>
    <t>Zhong, Xi; She, Jianquan; Wu, Xiaojie</t>
  </si>
  <si>
    <t>Tech for social good: Artificial intelligence and workplace safety</t>
  </si>
  <si>
    <t>Artificial intelligence; Heinrich's domino theory; Workplace safety; Military CEOs; Foreign shareholders</t>
  </si>
  <si>
    <t>MILITARY; RESPONSIBILITY; MANAGEMENT; OWNERSHIP; CULTURE; RISK; CSR</t>
  </si>
  <si>
    <t>The impact of artificial intelligence on the interests of corporate shareholders has been widely explored, but how it affects the interests of employees, particularly their workplace safety, has not yet been explored properly. This study examines the impact of artificial intelligence on workplace safety by applying Heinrich's domino theory. Using empirical data from listed companies in China from 2011 to 2022, we find that artificial intelligence will improve workplace safety. We attribute this to the fact that artificial intelligence reduces employees' unsafe behavior and suppresses the unsafe state of objects, which in turn promotes workplace safety. In addition, we find that military CEOs enhance the relationship, but foreign shareholders have no effect on it. Further tests show that the role of artificial intelligence in improving workplace safety is more pronounced in SOEs and firms that disclose corporate social responsibility (CSR). By incorporating Heinrich's domino theory, we provide new insights into the literature on artificial intelligence and workplace safety and new insights for governments and firms to improve workplace safety.</t>
  </si>
  <si>
    <t>[Zhong, Xi; She, Jianquan; Wu, Xiaojie] Guangdong Univ Technol, Sch Management, 161 Yinglong Rd, Guangzhou, Guangdong, Peoples R China</t>
  </si>
  <si>
    <t>Guangdong University of Technology</t>
  </si>
  <si>
    <t>She, JQ (corresponding author), Guangdong Univ Technol, Sch Management, 161 Yinglong Rd, Guangzhou, Guangdong, Peoples R China.</t>
  </si>
  <si>
    <t>HGzhongxi@163.com; shejianquan@outlook.com; xiaojie_wu@163.com</t>
  </si>
  <si>
    <t>wu, xiaojie/HJG-8102-2022</t>
  </si>
  <si>
    <t>Wu, Xiaojie/0000-0001-6897-5910</t>
  </si>
  <si>
    <t>National Natural Science Foundation Project of China [72202043]; Guangdong Basic and Applied Basic Research Foundation [2021A1515110864]</t>
  </si>
  <si>
    <t>National Natural Science Foundation Project of China(National Natural Science Foundation of China (NSFC)); Guangdong Basic and Applied Basic Research Foundation</t>
  </si>
  <si>
    <t>This work was supported by the National Natural Science Foundation Project of China (Grant No.72202043) and the Guangdong Basic and Applied Basic Research Foundation (Grant No. 2021A1515110864) .</t>
  </si>
  <si>
    <t>10.1016/j.techsoc.2024.102745</t>
  </si>
  <si>
    <t>L4F8R</t>
  </si>
  <si>
    <t>WOS:001350302800001</t>
  </si>
  <si>
    <t>Syrykh, C; van den Brand, M; Kather, JN; Laurent, C</t>
  </si>
  <si>
    <t>Syrykh, Charlotte; van den Brand, Michiel; Kather, Jakob Nikolas; Laurent, Camille</t>
  </si>
  <si>
    <t>Role of artificial intelligence in haematolymphoid diagnostics</t>
  </si>
  <si>
    <t>HISTOPATHOLOGY</t>
  </si>
  <si>
    <t>artificial intelligence; haematopathology; lymphoma diagnosis</t>
  </si>
  <si>
    <t>B-CELL LYMPHOMA; GENE-EXPRESSION; RANDOMIZED-TRIALS; CLASSIFICATION; CANCER; NETWORK; INDEX; PREDICTION; IMPACT</t>
  </si>
  <si>
    <t>The advent of digital pathology and the deployment of high-throughput molecular techniques are generating an unprecedented mass of data. Thanks to advances in computational sciences, artificial intelligence (AI) approaches represent a promising avenue for extracting relevant information from complex data structures. From diagnostic assistance to powerful research tools, the potential fields of application of machine learning techniques in pathology are vast and constitute the subject of considerable research work. The aim of this article is to provide an overview of the potential applications of AI in the field of haematopathology and to define the role that these emerging technologies could play in our laboratories in the short to medium term. Workflows of artificial intelligence implementations in haematopathology from diagnostic assistance tools (A) to exploratory approaches (B). image</t>
  </si>
  <si>
    <t>[Syrykh, Charlotte; Laurent, Camille] CHU Toulouse, Inst Univ Canc Oncopole Toulouse, Dept Pathol, Toulouse, France; [van den Brand, Michiel] Radboud Univ Nijmegen Med Ctr, Dept Pathol, Nijmegen, Netherlands; [van den Brand, Michiel] Pathol DNA, Arnhem, Netherlands; [Kather, Jakob Nikolas] TUD Dresden Univ Technol, Else Kroener Fresenius Ctr Digital Hlth, Fac Med, Dresden, Germany; [Kather, Jakob Nikolas] TUD Dresden Univ Technol, Univ Hosp Carl Gustav Carus, Dresden, Germany; [Kather, Jakob Nikolas] Univ Hosp Heidelberg, Natl Ctr Tumor Dis NCT, Med Oncol, Heidelberg, Germany; [Laurent, Camille] Univ Toulouse III Paul Sabatier, Ctr Rech Cancerol Toulouse, INSERM, CNRS,UMR5071,UMR1037, Toulouse, France</t>
  </si>
  <si>
    <t>CHU de Toulouse; Universite de Toulouse; Universite Toulouse III - Paul Sabatier; Radboud University Nijmegen; Technische Universitat Dresden; Technische Universitat Dresden; Carl Gustav Carus University Hospital; Helmholtz Association; German Cancer Research Center (DKFZ); Ruprecht Karls University Heidelberg; National Center for Tumor Diseases; Centre National de la Recherche Scientifique (CNRS); Universite de Toulouse; Universite Toulouse III - Paul Sabatier; Institut National de la Sante et de la Recherche Medicale (Inserm)</t>
  </si>
  <si>
    <t>Syrykh, C; Laurent, C (corresponding author), CHU Toulouse, Inst Univ Canc Oncopole Toulouse, Dept Pathol, Toulouse, France.</t>
  </si>
  <si>
    <t>syrykh.charlotte@iuct-oncopole.fr; laurent.camille@iuct-oncopole.fr</t>
  </si>
  <si>
    <t>Laurent, Camille/G-2797-2017; Kather, Jakob Nikolas/D-4279-2015</t>
  </si>
  <si>
    <t>Syrykh, Charlotte/0000-0002-3201-6109; Kather, Jakob Nikolas/0000-0002-3730-5348; laurent, camille/0000-0002-5375-7512</t>
  </si>
  <si>
    <t>0309-0167</t>
  </si>
  <si>
    <t>1365-2559</t>
  </si>
  <si>
    <t>Histopathology</t>
  </si>
  <si>
    <t>10.1111/his.15327</t>
  </si>
  <si>
    <t>Cell Biology; Pathology</t>
  </si>
  <si>
    <t>P7F4G</t>
  </si>
  <si>
    <t>WOS:001343530000001</t>
  </si>
  <si>
    <t>Fu, T; Qiu, ZX; Yang, XY; Li, ZJ</t>
  </si>
  <si>
    <t>Fu, Tong; Qiu, Zhaoxuan; Yang, Xiangyang; Li, Zijun</t>
  </si>
  <si>
    <t>The impact of artificial intelligence on green technology cycles in China</t>
  </si>
  <si>
    <t>Artificial intelligence; Green technological innovation; Executive background; Digital economy</t>
  </si>
  <si>
    <t>UPPER ECHELONS; AUTOMATION</t>
  </si>
  <si>
    <t>In the context of the global climate crisis being of great concern and the accelerated development and application of AI, it is of great significance to study how artificial intelligence (AI) empowers green technological innovation (GTI) in enterprises and assists them in green and low-carbon transformation. This paper explores the impact of AI on firms' GTI. By exploiting Chinese A-share listed companies from 2007 to 2022, we show that AI significantly enhances GTI, and the GTI incentive effect of AI is more prominent in SOEs, large-scale firms and manufacturing firms. Moreover, we show that AI promotes corporate GTI through labor structure (LS) upgrading, internal management (IM) optimization and environmental regulation (ER) enhancement. For policy implication, we further find that the green background of corporate executives (GB) and digital economy development concern (DE) play a significant positive moderating role between AI and corporate GTI. Finally, this paper puts forward corresponding policy recommendations for policy support, environmental regulation, internal management and international cooperation from the three perspectives of government, enterprise and international.</t>
  </si>
  <si>
    <t>[Fu, Tong] Guizhou Univ, Sch Econ, Guiyang 550025, Peoples R China; [Fu, Tong] Guizhou Univ, Ctr Dev &amp; Applicat Marxist Econ, Guiyang 550025, Peoples R China; [Qiu, Zhaoxuan] Hohai Univ, Business Sch, Nanjing 211100, Peoples R China; [Yang, Xiangyang; Li, Zijun] Nanjing Univ Finance &amp; Econ, Sch Int Econ &amp; Business, Nanjing 210023, Peoples R China; [Li, Zijun] Southeast Univ, Sch Econ &amp; Management, Nanjing 211189, Peoples R China</t>
  </si>
  <si>
    <t>Guizhou University; Guizhou University; Hohai University; Nanjing University of Finance &amp; Economics; Southeast University - China</t>
  </si>
  <si>
    <t>Yang, XY; Li, ZJ (corresponding author), Nanjing Univ Finance &amp; Econ, Sch Int Econ &amp; Business, Nanjing 210023, Peoples R China.;Li, ZJ (corresponding author), Southeast Univ, Sch Econ &amp; Management, Nanjing 211189, Peoples R China.</t>
  </si>
  <si>
    <t>njuestudy@163.com; njlzjun@163.com</t>
  </si>
  <si>
    <t>LI, ZIJUN/JDD-1772-2023</t>
  </si>
  <si>
    <t>National Social Science Fund of China [23CGL043]; Social Science Foundation of Jiangsu Province [23EYC001]</t>
  </si>
  <si>
    <t>National Social Science Fund of China; Social Science Foundation of Jiangsu Province</t>
  </si>
  <si>
    <t>The National Social Science Fund of China (23CGL043) and Social Science Foundation of Jiangsu Province (23EYC001) .</t>
  </si>
  <si>
    <t>10.1016/j.techfore.2024.123821</t>
  </si>
  <si>
    <t>O0Y1L</t>
  </si>
  <si>
    <t>WOS:001368476600001</t>
  </si>
  <si>
    <t>Roda-Segarra, J; Mengual-Andrés, S; Rico, AP</t>
  </si>
  <si>
    <t>Roda-Segarra, Jacobo; Mengual-Andres, Santiago; Rico, Andres Paya</t>
  </si>
  <si>
    <t>Analysis of social metrics on scientific production in the field of emotion-aware education through artificial intelligence</t>
  </si>
  <si>
    <t>artificial intelligence; emotion-aware; education; social impact; social media</t>
  </si>
  <si>
    <t>Research in the field of Artificial Intelligence applied to emotions in the educational context has experienced significant growth in recent years. However, despite the field's profound implications for the educational community, the social impact of this scientific production on digital social media remains unclear. To address this question, the present research has been proposed, aiming to analyze the social impact of scientific production on the use of Artificial Intelligence for emotions in the educational context. For this purpose, a sample of 243 scientific publications indexed in Scopus and Web of Science has been selected, from which a second sample of 6,094 social impact records has been extracted from Altmetric, Crossref, and PlumX databases. A dual analysis has been conducted using specially designed software: on one hand, the scientific sample has been analyzed from a bibliometric perspective, and on the other hand, the social impact records have been studied. Comparative analysis based on the two dimensions, scientific and social, has focused on the evolution of scientific production with its corresponding social impact, sources, impact, and content analysis. The results indicate that scientific publications have had a high social impact (with an average of 25.08 social impact records per publication), with a significant increase in research interest starting from 2019, likely driven by the emotional implications of measures taken to curb the COVID-19 pandemic. Furthermore, a lack of alignment has been identified between articles with the highest scientific impact and those with the highest social impact, as well as a lack of alignment in the most commonly used terms from both scientific and social perspectives, a significant variability in the lag in months for scientific research to make an impact on social media, and the fact that the social impact of the research did not emerge from the interest of Twitter users unaffiliated with the research, but rather from the authors, publishers, or scientific institutions. The proposed comparative methodology can be applied to any field of study, making it a useful tool given that current trends in accreditation agencies propose the analysis of the repercussion of scientific research in social media.</t>
  </si>
  <si>
    <t>[Roda-Segarra, Jacobo; Mengual-Andres, Santiago; Rico, Andres Paya] Univ Valencia, Dept Comparat Educ &amp; Hist Educ, Valencia, Spain</t>
  </si>
  <si>
    <t>University of Valencia</t>
  </si>
  <si>
    <t>Roda-Segarra, J (corresponding author), Univ Valencia, Dept Comparat Educ &amp; Hist Educ, Valencia, Spain.</t>
  </si>
  <si>
    <t>jacobo.roda@uv.es</t>
  </si>
  <si>
    <t>Rico, Andres/O-8591-2019; Mengual-Andrés, Santiago/E-8045-2011</t>
  </si>
  <si>
    <t>Roda-Segarra, Jacobo/0000-0002-4717-6295</t>
  </si>
  <si>
    <t>APR 8</t>
  </si>
  <si>
    <t>10.3389/frai.2024.1401162</t>
  </si>
  <si>
    <t>OI6I9</t>
  </si>
  <si>
    <t>WOS:001206677900001</t>
  </si>
  <si>
    <t>Merhi, MI</t>
  </si>
  <si>
    <t>Merhi, Mohammad, I</t>
  </si>
  <si>
    <t>An Assessment of the Barriers Impacting Responsible Artificial Intelligence</t>
  </si>
  <si>
    <t>INFORMATION SYSTEMS FRONTIERS</t>
  </si>
  <si>
    <t>Artificial intelligence; Responsible AI; Data quality; Ethics; Analytical hierarchy process</t>
  </si>
  <si>
    <t>BIG DATA; MODEL; SYSTEMS; AI; IMPLEMENTATION; TECHNOLOGY; RESISTANCE; ETHICS</t>
  </si>
  <si>
    <t>Responsible Artificial Intelligence (AI) has recently gained a lot of attention, especially in the last few years. Scholars have conducted systematic literature reviews to gain more knowledge about responsible AI. However, no study has collected and evaluated the most significant barriers to responsible AI. We filled this gap in the literature by identifying eleven barriers and categorized them, using the Technology-Organization-Environment framework, into three categories. We collected data from seven experts and used the analytical hierarchy process to evaluate the importance of the barriers. The results indicated that technology, as a category, is the most important. The findings also recommended that data quality is the most vital among all eleven barriers. We offered eleven propositions as a theoretical contribution for future researchers in terms of conceptual development. We discussed the implications of the findings for research and practice.</t>
  </si>
  <si>
    <t>[Merhi, Mohammad, I] Indiana Univ, Judd Leighton Sch Business &amp; Econ, Dept Decis Sci, South Bend, IN 46615 USA</t>
  </si>
  <si>
    <t>Indiana University System; Indiana University South Bend</t>
  </si>
  <si>
    <t>Merhi, MI (corresponding author), Indiana Univ, Judd Leighton Sch Business &amp; Econ, Dept Decis Sci, South Bend, IN 46615 USA.</t>
  </si>
  <si>
    <t>mmerhi@iusb.edu</t>
  </si>
  <si>
    <t>Merhi, Mohammad/0000-0003-2933-1965</t>
  </si>
  <si>
    <t>1387-3326</t>
  </si>
  <si>
    <t>1572-9419</t>
  </si>
  <si>
    <t>INFORM SYST FRONT</t>
  </si>
  <si>
    <t>Inf. Syst. Front.</t>
  </si>
  <si>
    <t>10.1007/s10796-022-10276-3</t>
  </si>
  <si>
    <t>APR 2022</t>
  </si>
  <si>
    <t>I2ER0</t>
  </si>
  <si>
    <t>WOS:000784822400003</t>
  </si>
  <si>
    <t>Kaur, P; Mahajan, R</t>
  </si>
  <si>
    <t>Kaur, Parneet; Mahajan, Renu</t>
  </si>
  <si>
    <t>Artificial Intelligence Enablement's Diffusion And Impact On Organizational Performance: A Case Study Of Digital Healthcare Service Providers</t>
  </si>
  <si>
    <t>JOURNAL OF PHARMACEUTICAL NEGATIVE RESULTS</t>
  </si>
  <si>
    <t>Artificial Intelligence; Digital Healthcare; Healthcare Employees</t>
  </si>
  <si>
    <t>The study's purpose was to determine the spread and impact of Artificial Intelligence Enablement-based digital healthcare service providers. The level of artificial intelligence enablement was researched based on the collection of opinions on thirteen criteria from healthcare employees, and first-hand information from healthcare organisations. The data was collected with the help of a well -structured data collection instrument schedule around the region. The information gathered was organised in a tabular format, and statistical procedures such as descriptive and percentage analysis, mean, correlation analysis, chi-square test, ANOVA analysis, factor analysis, and structural equation modelling were utilised. On the basis of these observations and discussions, the key findings and conclusions were summarised as follows. Based on the findings, a few suggestions have been made.</t>
  </si>
  <si>
    <t>[Kaur, Parneet; Mahajan, Renu] Chandigarh Univ, Mohali 140413, Punjab, India</t>
  </si>
  <si>
    <t>Chandigarh University</t>
  </si>
  <si>
    <t>Kaur, P (corresponding author), Chandigarh Univ, Mohali 140413, Punjab, India.</t>
  </si>
  <si>
    <t>Kaur, Parneet/ISA-2806-2023</t>
  </si>
  <si>
    <t>RESEARCHTRENTZ ACAD PUBL EDUCATION SERVICES</t>
  </si>
  <si>
    <t>Somerville</t>
  </si>
  <si>
    <t>240 Elm Street, 2nd &amp; 3rd Floors, Somerville, MA, UNITED STATES</t>
  </si>
  <si>
    <t>0976-9234</t>
  </si>
  <si>
    <t>2229-7723</t>
  </si>
  <si>
    <t>J PHARM NEGAT RESULT</t>
  </si>
  <si>
    <t>J. Pharm. Negat. Results</t>
  </si>
  <si>
    <t>10.47750/pnr.2022.13.S05.15</t>
  </si>
  <si>
    <t>Pharmacology &amp; Pharmacy</t>
  </si>
  <si>
    <t>5U2HU</t>
  </si>
  <si>
    <t>WOS:000876374600015</t>
  </si>
  <si>
    <t>Hopcan, S; Türkmen, G; Polat, E</t>
  </si>
  <si>
    <t>Hopcan, Sinan; Turkmen, Gamze; Polat, Elif</t>
  </si>
  <si>
    <t>Exploring the artificial intelligence anxiety and machine learning attitudes of teacher candidates</t>
  </si>
  <si>
    <t>EDUCATION AND INFORMATION TECHNOLOGIES</t>
  </si>
  <si>
    <t>Artificial intelligence; Machine learning; Artificial intelligence anxiety; Machine learning attitude; Teacher candidates</t>
  </si>
  <si>
    <t>TECHNOLOGY; VALIDATION</t>
  </si>
  <si>
    <t>With the advancement of artificial intelligence (AI) and machine learning (ML) techniques, attitudes towards these two fields have begun to gain importance in different professions. One of the affected professions is undoubtedly the teaching profession. Increasing the levels of concern for artificial intelligence and attitudes towards machine learning has become important in order to adapt to potential technologies that will be used. The purpose of this study is to examine the anxiety related to AI and the attitudes towards ML among teacher candidates of different ages, genders, and fields. This study investigates the relationships between sub-dimensions of anxiety towards artificial intelligence and attitudes towards machine learning, as well as to identify differences in these sub-dimensions among gender, age, and department. The findings suggest that although teacher candidates from different disciplines, ages, and genders do not have any concerns regarding learning about artificial intelligence, they do express anxiety about the impact of artificial intelligence on employment rates and social life. The results of this study can be beneficial for developing instructional programs that focus on AI in the long run, considering factors such as age, personal experience, gender, and field-specific elements.</t>
  </si>
  <si>
    <t>[Hopcan, Sinan; Polat, Elif] Istanbul Univ Cerrahpasa, Hasan Ali Yucel Educ Fac, Dept Comp Educ &amp; Instruct Technol, Istanbul, Turkiye; [Turkmen, Gamze] Manisa Celal Bayar Univ, Fac Educ, Dept Comp Educ &amp; Instruct Technol, Manisa, Turkiye</t>
  </si>
  <si>
    <t>Istanbul University - Cerrahpasa; Celal Bayar University</t>
  </si>
  <si>
    <t>Hopcan, S (corresponding author), Istanbul Univ Cerrahpasa, Hasan Ali Yucel Educ Fac, Dept Comp Educ &amp; Instruct Technol, Istanbul, Turkiye.</t>
  </si>
  <si>
    <t>sinan.hopcan@iuc.edu.tr; gamze.trkmn@gmail.com; elif.polat@iuc.edu.tr</t>
  </si>
  <si>
    <t>POLAT HOPCAN, Elif/C-8348-2019; Turkmen, Gamze/ABC-6972-2020; Hopcan, Sinan/D-1609-2019</t>
  </si>
  <si>
    <t>Turkmen, Gamze/0000-0002-4695-9159; Hopcan, Sinan/0000-0001-8911-3463</t>
  </si>
  <si>
    <t>1360-2357</t>
  </si>
  <si>
    <t>1573-7608</t>
  </si>
  <si>
    <t>EDUC INF TECHNOL</t>
  </si>
  <si>
    <t>Educ. Inf. Technol.</t>
  </si>
  <si>
    <t>10.1007/s10639-023-12086-9</t>
  </si>
  <si>
    <t>WN3U0</t>
  </si>
  <si>
    <t>WOS:001046964800001</t>
  </si>
  <si>
    <t>Du, JM</t>
  </si>
  <si>
    <t>Du, Jiamei</t>
  </si>
  <si>
    <t>Impaction of Artificial Intelligence on Interaction Design</t>
  </si>
  <si>
    <t>2021 2ND INTERNATIONAL CONFERENCE ON COMPUTER ENGINEERING AND INTELLIGENT CONTROL (ICCEIC 2021)</t>
  </si>
  <si>
    <t>2nd International Conference on Computer Engineering and Intelligent Control (ICCEIC)</t>
  </si>
  <si>
    <t>NOV 12-14, 2021</t>
  </si>
  <si>
    <t>Artificial Intelligence; Interaction Design; Emotion AI; User Experience; UX</t>
  </si>
  <si>
    <t>In recent years, artificial intelligence (AI) technology has made rapid development. Speech recognition, face recognition, natural language processing, limb recognition and other technologies are becoming more and more mature. The development of human technology has constantly changed the interaction mode between people and computers. For example, the maturity of touch screen technology has brought the popularity of tablet computers. The theme of this study is to investigate the impact of artificial intelligence (AI) technology on interaction design and how to use the interaction mode of AI technology to improve user experience. The research method of this paper is through the investigation of literature and face recognition experiments. The research results show that AI technology has a great impact on interaction design, Chat robot and speech recognition have been applied in many interaction designs. The recognition of facial expressions and human body movements can recognize more detailed feature information (such as expression, mental state, skin state, etc.), open more interaction space and provide users with better user experience.</t>
  </si>
  <si>
    <t>[Du, Jiamei] Northeast Yucai Foreign Language Sch, Shenyang 110000, Liaoning, Peoples R China</t>
  </si>
  <si>
    <t>Du, JM (corresponding author), Northeast Yucai Foreign Language Sch, Shenyang 110000, Liaoning, Peoples R China.</t>
  </si>
  <si>
    <t>jiamei_du2004@yahoo.com</t>
  </si>
  <si>
    <t>978-1-6654-0212-5</t>
  </si>
  <si>
    <t>10.1109/ICCEIC54227.2021.00044</t>
  </si>
  <si>
    <t>Computer Science, Artificial Intelligence; Computer Science, Theory &amp; Methods; Engineering, Electrical &amp; Electronic</t>
  </si>
  <si>
    <t>BT0SB</t>
  </si>
  <si>
    <t>WOS:000790983300037</t>
  </si>
  <si>
    <t>Dang, LA; Chazard, E; Poncelet, E; Serb, T; Rusu, A; Pauwels, X; Parsy, C; Poclet, T; Cauliez, H; Engelaere, C; Ramette, G; Brienne, C; Dujardin, S; Laurent, N</t>
  </si>
  <si>
    <t>Lan-Anh Dang; Chazard, Emmanuel; Poncelet, Edouard; Serb, Teodora; Rusu, Aniela; Pauwels, Xavier; Parsy, Clemence; Poclet, Thibault; Cauliez, Hugo; Engelaere, Constance; Ramette, Guillaume; Brienne, Charlotte; Dujardin, Sofiane; Laurent, Nicolas</t>
  </si>
  <si>
    <t>Impact of artificial intelligence in breast cancer screening with mammography</t>
  </si>
  <si>
    <t>BREAST CANCER</t>
  </si>
  <si>
    <t>Artificial intelligence; Breast cancer; Mammography; BI-RADS classification</t>
  </si>
  <si>
    <t>VARIABILITY; PERFORMANCE; AI</t>
  </si>
  <si>
    <t>Objectives To demonstrate that radiologists, with the help of artificial intelligence (AI), are able to better classify screening mammograms into the correct breast imaging reporting and data system (BI-RADS) category, and as a secondary objective, to explore the impact of AI on cancer detection and mammogram interpretation time. Methods A multi-reader, multi-case study with cross-over design, was performed, including 314 mammograms. Twelve radiologists interpreted the examinations in two sessions delayed by a 4 weeks wash-out period with and without AI support. For each breast of each mammogram, they had to mark the most suspicious lesion (if any) and assign it with a forced BI-RADS category and a level of suspicion or continuous BI-RADS 100. Cohen's kappa correlation coefficient evaluating the inter-observer agreement for BI-RADS category per breast, and the area under the receiver operating characteristic curve (AUC), were used as metrics and analyzed. Results On average, the quadratic kappa coefficient increased significantly when using AI for all readers [kappa = 0.549, 95% CI (0.528-0.571) without AI and kappa = 0.626, 95% CI (0.607-0.6455) with AI]. AUC was significantly improved when using AI (0.74 vs 0.77, p = 0.004). Reading time was not significantly affected for all readers (106 s without AI and vs 102 s with AI; p = 0.754). Conclusions When using AI, radiologists were able to better assign mammograms with the correct BI-RADS category without slowing down the interpretation time.</t>
  </si>
  <si>
    <t>[Lan-Anh Dang; Poncelet, Edouard; Serb, Teodora; Rusu, Aniela; Pauwels, Xavier; Parsy, Clemence; Poclet, Thibault; Cauliez, Hugo; Engelaere, Constance; Ramette, Guillaume; Brienne, Charlotte; Dujardin, Sofiane; Laurent, Nicolas] Valenciennes Hosp Ctr, Dept Radiol, 114 Ave Desandrouin, F-59300 Valenciennes, France; [Chazard, Emmanuel] Lille Univ, Dept Publ Hlth, EA 2694, 1 Pl Verdun, F-59045 Lille, France</t>
  </si>
  <si>
    <t>CH de Valenciennes; Universite de Lille</t>
  </si>
  <si>
    <t>Dang, LA (corresponding author), Valenciennes Hosp Ctr, Dept Radiol, 114 Ave Desandrouin, F-59300 Valenciennes, France.</t>
  </si>
  <si>
    <t>dang-la@ch-valenciennes.fr; emmanuel.chazard@univ-lille.fr; poncelet-e@ch-valenciennes.fr; serb-t@ch-valenciennes.fr; rusu-a@ch-valenciennes.fr; pauwels-x@ch-valenciennes.fr; parsy-c@ch-valenciennes.fr; poclet-t@ch-valenciennes.fr; hugo.cauliez@gmail.com; constance.e@hotmail.fr; ramette.g@gmail.com; charlotte.brienne@hotmail.fr; sofiane.dujardin@gmail.com; laurent-n@ch-valenciennes.fr</t>
  </si>
  <si>
    <t>Laurent, Nicolas/GRX-2374-2022</t>
  </si>
  <si>
    <t>SPRINGER JAPAN KK</t>
  </si>
  <si>
    <t>TOKYO</t>
  </si>
  <si>
    <t>SHIROYAMA TRUST TOWER 5F, 4-3-1 TORANOMON, MINATO-KU, TOKYO, 105-6005, JAPAN</t>
  </si>
  <si>
    <t>1340-6868</t>
  </si>
  <si>
    <t>1880-4233</t>
  </si>
  <si>
    <t>BREAST CANCER-TOKYO</t>
  </si>
  <si>
    <t>Breast Cancer</t>
  </si>
  <si>
    <t>10.1007/s12282-022-01375-9</t>
  </si>
  <si>
    <t>Oncology; Obstetrics &amp; Gynecology</t>
  </si>
  <si>
    <t>5N4AM</t>
  </si>
  <si>
    <t>WOS:000817875900001</t>
  </si>
  <si>
    <t>Sprukul, PS</t>
  </si>
  <si>
    <t>Sprukul, Polina S.</t>
  </si>
  <si>
    <t>CONCEPTS OF THE FUTURE IN THE PHILOSOPHY OF ARTIFICIAL INTELLIGENCE: DYSTOPIA, UTOPIA AND PROTOPIA</t>
  </si>
  <si>
    <t>VESTNIK TOMSKOGO GOSUDARSTVENNOGO UNIVERSITETA-FILOSOFIYA-SOTSIOLOGIYA-POLITOLOGIYA-TOMSK STATE UNIVERSITY JOURNAL OF PHILOSOPHY SOCIOLOGY AND POLITICAL SCIENCE</t>
  </si>
  <si>
    <t>philosophy of artificial intelligence; digital technology; strong artificial intelligence; weak artificial intelligence</t>
  </si>
  <si>
    <t>The article presents an analysis and comparison of three concepts of the future in the philosophy of artificial intelligence: dystopia, utopia and protopia. The author describes each of these concepts in detail, highlighting their key aspects, advantages and disadvantages. Artificial intelligence is considered in its weak version as a system designed to perform specific tasks and functions. As an example, the language model of OpenAI company - ChatGPT - is given, which is widely available and demonstrates a very high speed of development. The author considers five levels of technology development to achieve the level of AGI (Artificial General Intelligence) - a strong version of artificial intelligence, which will be comparable in power to human intelligence or even surpass it. The current level of ChatGPT development is defined as the first one, but according to OpenAI employees, it can reach the second level in the foreseeable future. This indicates significant progress in the field of artificial intelligence and raises important questions about its future impact on society. Based on the analysis of the current level of AI development, as well as some facts and events taking place at present (such as legal regulation or user experience), the author attempts to determine the most probable concept of the future. Utopia and dystopia are assessed as extremely positive and negative scenarios, and therefore the least likely ones. The current state of things suggests that the concept of protopia, which includes features of the other two, is closest to reality. Protopia assumes that AI development should be aimed at the benefit of all humanity and be carried out under the control of society and the state. This will help avoid negative consequences and ensure sustainable development of society in the future. The author emphasizes that all three concepts are hypothetical, but they help us think about the possible consequences of developing artificial intelligence and take measures for its safe and effective use. The author concludes that only a balanced and responsible approach to the development and implementation of artificial intelligence can ensure its positive impact on society and prevent possible negative scenarios.</t>
  </si>
  <si>
    <t>[Sprukul, Polina S.] Russian Acad Sci, Siberian Branch, Tomsk Sci Ctr, Lab Log &amp; Philosoph Res, Tomsk, Russia</t>
  </si>
  <si>
    <t>Tomsk Scientific Center of the Siberian Branch of the Russian Academy of Sciences; Russian Academy of Sciences; Siberian Branch of the Russian Academy of Sciences</t>
  </si>
  <si>
    <t>Sprukul, PS (corresponding author), Russian Acad Sci, Siberian Branch, Tomsk Sci Ctr, Lab Log &amp; Philosoph Res, Tomsk, Russia.</t>
  </si>
  <si>
    <t>polina.sprukul@gmail.com</t>
  </si>
  <si>
    <t>Russian Science Foundation [23-18-00019]</t>
  </si>
  <si>
    <t>Russian Science Foundation(Russian Science Foundation (RSF))</t>
  </si>
  <si>
    <t>The study is supported by the Russian Science Foundation, Project No. 23-18-00019, https://rscf.ru/project/23-18-00019/</t>
  </si>
  <si>
    <t>TOMSK STATE UNIV</t>
  </si>
  <si>
    <t>TOMSK</t>
  </si>
  <si>
    <t>LENIN AVE, 36, TOMSK, 634050, RUSSIA</t>
  </si>
  <si>
    <t>1998-863X</t>
  </si>
  <si>
    <t>2311-2395</t>
  </si>
  <si>
    <t>VESTN TOMSK U-FILOS</t>
  </si>
  <si>
    <t>Vestn. Tomsk. Gos. Univ. Filos.-Sotsiologiya-Politologiya</t>
  </si>
  <si>
    <t>10.17223/1998863./81/5</t>
  </si>
  <si>
    <t>P7N9N</t>
  </si>
  <si>
    <t>WOS:001379741200005</t>
  </si>
  <si>
    <t>Silva, C; Nascimento, D; Dantas, GG; Fonseca, K; Hespanhol, L; Rego, A; Araújo, I</t>
  </si>
  <si>
    <t>Silva, Caroliny; Nascimento, Daniel; Dantas, Gabriela Gomes; Fonseca, Karoline; Hespanhol, Larissa; Rego, Amalia; Araujo-Filho, Irami</t>
  </si>
  <si>
    <t>Impact of artificial intelligence on the training of general surgeons of the future: a scoping review of the advances and challenges</t>
  </si>
  <si>
    <t>ACTA CIRURGICA BRASILEIRA</t>
  </si>
  <si>
    <t>General Surgery; Specialties; Surgical; Artificial Intelligence; Education; Medical</t>
  </si>
  <si>
    <t>SKILLS; EDUCATION; GESTURES; REALITY</t>
  </si>
  <si>
    <t>Purpose: To explore artificial intelligence's impact on surgical education, highlighting its advantages and challenges. Methods: A comprehensive search across databases such as PubMed, Scopus, Scientific Electronic Library Online (SciELO), Embase, Web of Science, and Google Scholar was conducted to compile relevant studies. Results: Artificial intelligence offers several advantages in surgical training. It enables highly realistic simulation environments for the safe practice of complex procedures. Artificial intelligence provides personalized real-time feedback, improving trainees' skills. It efficiently processes clinical data, enhancing diagnostics and surgical planning. Artificial intelligence-assisted surgeries promise precision and minimally invasive procedures. Challenges include data security, resistance to artificial intelligence adoption, and ethical considerations. Conclusion: Stricter policies and regulatory compliance are needed for data privacy. Addressing surgeons' and educators' reluctance to embrace artificial intelligence is crucial. Integrating artificial intelligence into curricula and providing ongoing training are vital. Ethical, bioethical, and legal aspects surrounding artificial intelligence demand attention. Establishing clear ethical guidelines, ensuring transparency, and implementing supervision and accountability are essential. As artificial intelligence evolves in surgical training, research and development remain crucial. Future studies should explore artificial intelligence-driven personalized training and monitor ethical and legal regulations. In summary, artificial intelligence is shaping the future of general surgeons, offering advanced simulations, personalized feedback, and improved patient care. However, addressing data security, adoption resistance, and ethical concerns is vital. Adapting curricula and providing continuous training are essential to maximize artificial intelligence's potential, promoting ethical and safe surgery.</t>
  </si>
  <si>
    <t>[Silva, Caroliny; Nascimento, Daniel; Dantas, Gabriela Gomes; Fonseca, Karoline; Araujo-Filho, Irami] Univ Fed Rio Grande do Norte, Gen Surg Dept, Natal, RN, Brazil; [Hespanhol, Larissa] Univ Fed Campina Grande, Gen Surg Dept, Campina Grande, PB, Brazil; [Rego, Amalia] Inst Teaching Res &amp; Innovat, Liga Canc, Natal, RN, Brazil</t>
  </si>
  <si>
    <t>Universidade Federal do Rio Grande do Norte; Universidade Federal de Campina Grande</t>
  </si>
  <si>
    <t>Araújo, I (corresponding author), Univ Fed Rio Grande do Norte, Gen Surg Dept, Natal, RN, Brazil.</t>
  </si>
  <si>
    <t>ARAUJO FILHO, IRAMI/C-2258-2014</t>
  </si>
  <si>
    <t>ARAUJO FILHO, IRAMI/0000-0003-2471-7447; Meneses do Rego, Amalia Cinthia/0000-0002-0575-3752; Hespanhol, Larissa C./0000-0002-1325-5948</t>
  </si>
  <si>
    <t>SAO PAULO</t>
  </si>
  <si>
    <t>ALAMEDA RIO CLARO, 179-41, SAO PAULO, SP 01332-010, BRAZIL</t>
  </si>
  <si>
    <t>0102-8650</t>
  </si>
  <si>
    <t>1678-2674</t>
  </si>
  <si>
    <t>ACTA CIR BRAS</t>
  </si>
  <si>
    <t>Acta Cir. Bras.</t>
  </si>
  <si>
    <t>e396224</t>
  </si>
  <si>
    <t>10.1590/acb396224</t>
  </si>
  <si>
    <t>H0W9S</t>
  </si>
  <si>
    <t>gold, Green Accepted</t>
  </si>
  <si>
    <t>WOS:001320746100001</t>
  </si>
  <si>
    <t>Suraña-Sánchez, C; Aramendia-Muneta, ME</t>
  </si>
  <si>
    <t>Surana-Sanchez, Clara; Aramendia-Muneta, Maria Elena</t>
  </si>
  <si>
    <t>Impact of artificial intelligence on customer engagement and advertising engagement: A review and future research agenda</t>
  </si>
  <si>
    <t>INTERNATIONAL JOURNAL OF CONSUMER STUDIES</t>
  </si>
  <si>
    <t>advertising engagement; artificial intelligence; customer engagement; machine learning; marketing</t>
  </si>
  <si>
    <t>SUPPLY CHAIN MANAGEMENT; SOCIAL MEDIA; BRAND ENGAGEMENT; DATA ANALYTICS; RECOMMENDER SYSTEMS; NATURAL-LANGUAGE; DECISION-MAKING; CO-CREATION; MARKET; ROBOTS</t>
  </si>
  <si>
    <t>This study, through a bibliometric analysis, aims to provide increased knowledge of the evolution and effects of artificial intelligence over the last 30 years in customer engagement and advertising engagement. Articles were gathered from three databases by using combinations of keywords (artificial intelligence, customer engagement, advertising engagement, marketing, machine learning, etc.). A set of inclusion/exclusion criteria were then applied to obtain the final sample. The final sample was made up of 190 peer-reviewed articles. Three separate analyses were performed to test the sample. A performance analysis identified the articles' years of publication, contributions per country and the performance/output of the relevant journals. A data analysis created 10 clusters; these are examined in depth, and provide explanations of the evolution of the relevant scientific production. The study's findings offer a wide perspective of research undertaken to date, and identify possible research gaps. This research contributes to the marketing field by bridging a gap, through undertaking a bibliometric analysis, in the research about the impact of artificial intelligence on customer and advertising engagement over the years 1991 through 2022. It offers scholars and researchers ideas for future research.</t>
  </si>
  <si>
    <t>[Surana-Sanchez, Clara] Univ Publ Navarra, Dept Gest Empresas, Pamplona, Spain; [Aramendia-Muneta, Maria Elena] Univ Publ Navarra, Inst Adv Res Business &amp; Econ, Pamplona, Spain</t>
  </si>
  <si>
    <t>Universidad Publica de Navarra; Universidad Publica de Navarra</t>
  </si>
  <si>
    <t>Aramendia-Muneta, ME (corresponding author), Univ Publ Navarra, Inst Adv Res Business &amp; Econ, Pamplona, Spain.</t>
  </si>
  <si>
    <t>elena.aramendia@unavarra.es</t>
  </si>
  <si>
    <t>Aramendia-Muneta, Maria Elena/D-2223-2011</t>
  </si>
  <si>
    <t>Aramendia-Muneta, Maria Elena/0000-0001-6167-3194</t>
  </si>
  <si>
    <t>Universidad Pblica de Navarra (MCIN/AEI/10.13039/501100011033 and European Union NextGenerationEU/PRTR)</t>
  </si>
  <si>
    <t>None.</t>
  </si>
  <si>
    <t>1470-6423</t>
  </si>
  <si>
    <t>1470-6431</t>
  </si>
  <si>
    <t>INT J CONSUM STUD</t>
  </si>
  <si>
    <t>Int. J. Consum. Stud.</t>
  </si>
  <si>
    <t>e13027</t>
  </si>
  <si>
    <t>10.1111/ijcs.13027</t>
  </si>
  <si>
    <t>JQ4Q4</t>
  </si>
  <si>
    <t>WOS:001174621800001</t>
  </si>
  <si>
    <t>Chen, KX; Zhang, SS</t>
  </si>
  <si>
    <t>Chen, Kaixuan; Zhang, Shushan</t>
  </si>
  <si>
    <t>Impact of artificial intelligence on entrepreneurial activity -empirical evidence from Chinese cities</t>
  </si>
  <si>
    <t>TECHNOLOGY ANALYSIS &amp; STRATEGIC MANAGEMENT</t>
  </si>
  <si>
    <t>M13; L26; R12; Artificial intelligence; entrepreneurial activity; Chinese cities; mechanism testing</t>
  </si>
  <si>
    <t>This paper presents an investigation of the impact of artificial intelligence (AI) on entrepreneurial activity (EA) using panel data from 284 Chinese cities over the period 2010-2019. The study finds that AI has a positive and significant effect on EA, and this result remains robust after conducting a series of tests, including the endogeneity test, the exogenous shock test, and the robustness test. The study also conducts mechanistic and heterogeneity tests, which show that AI promotes technological innovation and drives consumer demand, leading to a positive effect on EA. Moreover, the entrepreneurial effect of AI is more significant in the eastern region, in regions with net population inflows, and in the service sector. These findings provide insights into the entrepreneurial impact of AI, and suggest the need to strengthen the top-level design and application of AI in the entrepreneurial system.</t>
  </si>
  <si>
    <t>[Chen, Kaixuan; Zhang, Shushan] Northeast Normal Univ, Sch Econ &amp; Management, Changchun, Peoples R China</t>
  </si>
  <si>
    <t>Northeast Normal University - China</t>
  </si>
  <si>
    <t>Zhang, SS (corresponding author), Northeast Normal Univ, Sch Econ &amp; Management, Changchun, Peoples R China.</t>
  </si>
  <si>
    <t>chenkaixuan666@nenu.edu.cn; zhangss591@nenu.edu.cn</t>
  </si>
  <si>
    <t>Chen, Kaixuan/AAH-8203-2020</t>
  </si>
  <si>
    <t>chen, kaixuan/0000-0002-4218-291X</t>
  </si>
  <si>
    <t>National Social Science Fund of China [18BJY180]</t>
  </si>
  <si>
    <t>This work was supported by the National Social Science Fund of China [grant number 18BJY180].</t>
  </si>
  <si>
    <t>0953-7325</t>
  </si>
  <si>
    <t>1465-3990</t>
  </si>
  <si>
    <t>TECHNOL ANAL STRATEG</t>
  </si>
  <si>
    <t>Technol. Anal. Strateg. Manage.</t>
  </si>
  <si>
    <t>10.1080/09537325.2023.2268210</t>
  </si>
  <si>
    <t>Management; Multidisciplinary Sciences</t>
  </si>
  <si>
    <t>N0T0J</t>
  </si>
  <si>
    <t>WOS:001151559400001</t>
  </si>
  <si>
    <t>Gavrilova, V; Gurvits-Suits, NA</t>
  </si>
  <si>
    <t>Gavrilova, Valeria; Gurvits-Suits, Natalie Aleksandra</t>
  </si>
  <si>
    <t>Contemporary Innovation Challenges - Future of Adoption Artificial Intelligence: Case of Estonia</t>
  </si>
  <si>
    <t>EUROPEAN INTEGRATION STUDIES</t>
  </si>
  <si>
    <t>artificial intelligence; accounting; financial accounting; reporting; skills</t>
  </si>
  <si>
    <t>Nowadays artificial intelligence is gaining popularity and brings changes into everyday lives and business. Latest research outline various options and challenges related to the implementation of artificial intelligence in different fields (Garbuio&amp;Lin, 2019; Kumar et.al, 2019; Tambe et.al 2019). It is obvious that its adoption will have a notable significant impact on certain industries. However, it also requires complete understanding and awareness of main constraints and benefits. The aim of the present research is to find out the possibilities of adoption of the artificial intelligence in accounting industry in case of Estonia and its impact on the role of the accountant in the future. The main research question focuses on whether Estonian accountants are aware of the new opportunities related to the implementation of artificial intelligence and their openness to these challenges. Authors conducted a survey among Estonian accounting professionals and the results revealed limited knowledge, with people being aware of the meaning but having little or no idea about the basic components of artificial intelligence and wide range of a potential application. During the research, it became obvious that only few companies in Estonia are already using artificial intelligence: among the main reasons of non-adoption are lack of experience, lack of qualified professionals and the general complexity. Authors believe that the results of this study provide a starting point for companies involved in providing various modern technical support for accounting industry and may contribute to the raising awareness and further development of active successful adoption of artificial intelligence in Estonia.</t>
  </si>
  <si>
    <t>[Gavrilova, Valeria] Metaan AS, Laki Poik 6, EE-12915 Tallinn, Estonia; [Gurvits-Suits, Natalie Aleksandra] Tallinn Univ Technol, Ehitajate Tee 5, EE-19086 Tallinn, Estonia</t>
  </si>
  <si>
    <t>Tallinn University of Technology</t>
  </si>
  <si>
    <t>Gavrilova, V (corresponding author), Metaan AS, Laki Poik 6, EE-12915 Tallinn, Estonia.</t>
  </si>
  <si>
    <t>vateriagavrilova8@gmail.com; natalja.gurvits@taltech.ee</t>
  </si>
  <si>
    <t>KAUNO TECHNOLOGIJOS UNIV</t>
  </si>
  <si>
    <t>KAUNAS</t>
  </si>
  <si>
    <t>FAC SOCIAL SCI, ARTS &amp; HUMANITIES, MICKEVCLAUS 37 STR, KAUNAS, 44244, LITHUANIA</t>
  </si>
  <si>
    <t>1822-8402</t>
  </si>
  <si>
    <t>2335-8831</t>
  </si>
  <si>
    <t>EUR INTEGR STUD</t>
  </si>
  <si>
    <t>Eur. Integr. Stud.</t>
  </si>
  <si>
    <t>10.5755/j01.eis.1.14.26143</t>
  </si>
  <si>
    <t>OX2PT</t>
  </si>
  <si>
    <t>WOS:000593413900018</t>
  </si>
  <si>
    <t>Walsh, ME</t>
  </si>
  <si>
    <t>Walsh, Matthew E.</t>
  </si>
  <si>
    <t>Toward risk analysis of the impact of artificial intelligence on the deliberate biological threat landscape</t>
  </si>
  <si>
    <t>RISK ANALYSIS</t>
  </si>
  <si>
    <t>artificial intelligence; biological engineering; risk analysis</t>
  </si>
  <si>
    <t>The perception that the convergence of biological engineering and artificial intelligence (AI) could enable increased biorisk has recently drawn attention to the governance of biotechnology and AI. The 2023 Executive Order, Executive Order on the Safe, Secure, and Trustworthy Development and Use of Artificial Intelligence, requires an assessment of how AI can increase biorisk. Within this perspective, quantitative and qualitative frameworks for evaluating biorisk are presented. Both frameworks are exercised using notional scenarios and their benefits and limitations are then discussed. Finally, the perspective concludes by noting that assessment and evaluation methodologies must keep pace with advances of AI in the life sciences.</t>
  </si>
  <si>
    <t>[Walsh, Matthew E.] Johns Hopkins Bloomberg Sch Publ Hlth, Dept Environm Hlth &amp; Engn, 615 N Wolfe St, Baltimore, MD 21205 USA</t>
  </si>
  <si>
    <t>Johns Hopkins University; Johns Hopkins Bloomberg School of Public Health</t>
  </si>
  <si>
    <t>Walsh, ME (corresponding author), Johns Hopkins Bloomberg Sch Publ Hlth, Dept Environm Hlth &amp; Engn, 615 N Wolfe St, Baltimore, MD 21205 USA.</t>
  </si>
  <si>
    <t>mwalsh52@jhu.edu</t>
  </si>
  <si>
    <t>Walsh, Matthew/0000-0003-1514-7761</t>
  </si>
  <si>
    <t>Open Philanthropy Project; Open Philanthropy Project</t>
  </si>
  <si>
    <t>The author thanks Dr. Gerald Epstein and Dr. Gigi Kwik Gronvall for their constructive comments and suggestions on the manuscript. The author's dissertation studies are funded by Open Philanthropy Project.</t>
  </si>
  <si>
    <t>0272-4332</t>
  </si>
  <si>
    <t>1539-6924</t>
  </si>
  <si>
    <t>RISK ANAL</t>
  </si>
  <si>
    <t>Risk Anal.</t>
  </si>
  <si>
    <t>10.1111/risa.17691</t>
  </si>
  <si>
    <t>Public, Environmental &amp; Occupational Health; Mathematics, Interdisciplinary Applications; Social Sciences, Mathematical Methods</t>
  </si>
  <si>
    <t>Public, Environmental &amp; Occupational Health; Mathematics; Mathematical Methods In Social Sciences</t>
  </si>
  <si>
    <t>R5J9L</t>
  </si>
  <si>
    <t>WOS:001391822400001</t>
  </si>
  <si>
    <t>Danese, C; Kale, AU; Aslam, T; Lanzetta, P; Barratt, J; Chou, YB; Eldem, B; Eter, N; Gale, R; Korobelnik, JF; Kozak, I; Li, XR; Li, XX; Loewenstein, A; Ruamviboonsuk, P; Sakamoto, T; Ting, DSW; van Wijngaarden, P; Waldstein, SM; Wong, DV; Wu, LH; Zapata, MA; Zarranz-Ventura, J</t>
  </si>
  <si>
    <t>Danese, Carla; Kale, Aditya U.; Aslam, Tariq; Lanzetta, Paolo; Barratt, Jane; Chou, Yu-Bai; Eldem, Bora; Eter, Nicole; Gale, Richard; Korobelnik, Jean-Francois; Kozak, Igor; Li, Xiaorong; Li, Xiaoxin; Loewenstein, Anat; Ruamviboonsuk, Paisan; Sakamoto, Taiji; Ting, Daniel S. W.; van Wijngaarden, Peter; Waldstein, Sebastian M.; Wong, David; Wu, Lihteh; Zapata, Miguel A.; Zarranz-Ventura, Javier</t>
  </si>
  <si>
    <t>The impact of artificial intelligence on retinal disease management: Vision Academy retinal expert consensus</t>
  </si>
  <si>
    <t>artificial intelligence; disease management; retina</t>
  </si>
  <si>
    <t>MACULAR DEGENERATION; DIABETIC-RETINOPATHY; IMAGING BIOMARKERS; PREDICTION; VALIDATION; ALGORITHM; HOME</t>
  </si>
  <si>
    <t>Purpose of reviewThe aim of this review is to define the state-of-the-art in artificial intelligence (AI)-enabled devices that support the management of retinal conditions and to provide Vision Academy recommendations on the topic.Recent findingsMost of the AI models described in the literature have not been approved for disease management purposes by regulatory authorities. These new technologies are promising as they may be able to provide personalized treatments as well as a personalized risk score for various retinal diseases. However, several issues still need to be addressed, such as the lack of a common regulatory pathway and a lack of clarity regarding the applicability of AI-enabled medical devices in different populations.It is likely that current clinical practice will need to change following the application of AI-enabled medical devices. These devices are likely to have an impact on the management of retinal disease. However, a consensus needs to be reached to ensure they are safe and effective for the overall population.</t>
  </si>
  <si>
    <t>[Danese, Carla; Lanzetta, Paolo] Univ Udine, Dept Med Ophthalmol, Udine, Italy; [Danese, Carla] Univ Paris Cite, Hop Lariboisiere, Dept Ophthalmol, AP HP, Paris, France; [Kale, Aditya U.] Univ Birmingham, Inst Inflammat &amp; Ageing, Coll Med &amp; Dent Sci, Acad Unit Ophthalmol, Birmingham, England; [Aslam, Tariq] Univ Manchester, Fac Biol Med &amp; Hlth, Div Pharm &amp; Optometry, Sch Hlth Sci, Manchester, England; [Barratt, Jane] Int Federat Ageing, Toronto, ON, Canada; [Chou, Yu-Bai] Taipei Vet Gen Hosp, Dept Ophthalmol, Taipei, Taiwan; [Chou, Yu-Bai] Natl Yang Ming Chiao Tung Univ, Sch Med, Taipei, Taiwan; [Eldem, Bora] Hacettepe Univ, Dept Ophthalmol, Ankara, Turkiye; [Eter, Nicole] Univ Munster, Dept Ophthalmol, Med Ctr, Munster, Germany; [Gale, Richard] York Teaching Hosp NHS Fdn Trust, Dept Ophthalmol, York, England; CHU Bordeaux, Serv Ophtalmol, Bordeaux, France; Univ Bordeaux, INSERM, BPH, UMR1219, F-33000 Bordeaux, France; Moorfields Eye Hosp Ctr, Abu Dhabi, U Arab Emirates; Ist Europeo Microchirurg Oculare, Udine, Italy; Tianjin Med Univ, Eye Inst, Tianjin Branch Natl Clin Res Ctr Ocular Dis, Sch Optometry,Eye Hosp, Tianjin, Peoples R China; Xiamen Univ, Xiamen Eye Ctr, Xiamen, Peoples R China; Tel Aviv Univ, Sackler Fac Med, Tel Aviv Sourasky Med Ctr, Div Ophthalmol, Tel Aviv, Israel; Rangsit Univ, Rajavithi Hosp, Coll Med, Dept Ophthalmol, Bangkok, Thailand; Kagoshima Univ, Dept Ophthalmol, Kagoshima, Japan; Singapore Natl Eye Ctr, Duke NUS Med Sch, Singapore, Singapore; Univ Melbourne, Dept Surg, Ophthalmol, Melbourne, Australia; Royal Victorian Eye &amp; Ear Hosp, Ctr Eye Res Australia, East Melbourne, Vic, Australia; Landesklinikum Mistelbach Ganserndorf, Dept Ophthalmol, Mistelbach, Austria; Univ Toronto, Unity Hlth Toronto, St Michaels Hosp, Toronto, ON, Canada; Macula Vitreous &amp; Retina Associates Costa Rica, San Jose, Costa Rica; Hosp Valle De Hebron, Ophthalmol Dept, Barcelona, Spain; Univ Barcelona, Hosp Clin Barcelona, Barcelona, Spain; [Aslam, Tariq] Univ Manchester, Fac Biol Med &amp; Hlth, Div Pharm &amp; Optometry, Sch Hlth Sci, Manchester M13 9PL, England</t>
  </si>
  <si>
    <t>University of Udine; Assistance Publique Hopitaux Paris (APHP); Universite Paris Cite; Hopital Universitaire Lariboisiere-Fernand-Widal - APHP; University of Birmingham; University of Manchester; Taipei Veterans General Hospital; National Yang Ming Chiao Tung University; Hacettepe University; University of Munster; CHU Bordeaux; Universite de Bordeaux; Institut National de la Sante et de la Recherche Medicale (Inserm); Universite de Bordeaux; Tianjin Medical University; Xiamen University; Tel Aviv University; Sackler Faculty of Medicine; Tel Aviv Sourasky Medical Center; Rangsit University; Rajavithi Hospital; Kagoshima University; Singapore National Eye Center; National University of Singapore; University of Melbourne; Royal Victorian Eye &amp; Ear Hospital; Centre for Eye Research Australia; University of Toronto; Saint Michaels Hospital Toronto; Hospital Universitari Vall d'Hebron; University of Barcelona; Hospital Clinic de Barcelona; University of Manchester</t>
  </si>
  <si>
    <t>Aslam, T (corresponding author), Univ Manchester, Fac Biol Med &amp; Hlth, Div Pharm &amp; Optometry, Sch Hlth Sci, Manchester M13 9PL, England.</t>
  </si>
  <si>
    <t>tariq.aslam@mft.nhs.uk</t>
  </si>
  <si>
    <t>Li, Xiaorong/GZL-3261-2022; Danese, Carla/AHE-2872-2022; Wong, David/C-4440-2009; KOROBELNIK, Jean-Francois/A-5448-2016; Aslam, Tariq/A-8532-2016; Zarranz-Ventura, Javier/AAB-5390-2021</t>
  </si>
  <si>
    <t>Gale, Richard P./0009-0006-0213-6253; Aslam, Tariq/0000-0002-9739-7280; Zarranz-Ventura, Javier/0000-0003-2338-8143; Wong, David/0000-0001-8117-9193</t>
  </si>
  <si>
    <t>Grants-in-Aid for Scientific Research [21H03095] Funding Source: KAKEN</t>
  </si>
  <si>
    <t>Grants-in-Aid for Scientific Research(Ministry of Education, Culture, Sports, Science and Technology, Japan (MEXT)Japan Society for the Promotion of ScienceGrants-in-Aid for Scientific Research (KAKENHI))</t>
  </si>
  <si>
    <t>10.1097/ICU.0000000000000980</t>
  </si>
  <si>
    <t>O9DI7</t>
  </si>
  <si>
    <t>Green Published, hybrid</t>
  </si>
  <si>
    <t>WOS:001046748600009</t>
  </si>
  <si>
    <t>Seijas-Costa, R</t>
  </si>
  <si>
    <t>Seijas-Costa, Raquel</t>
  </si>
  <si>
    <t>Communication Policies and Artificial Intelligence: New Challenges</t>
  </si>
  <si>
    <t>URVIO-REVISTA LATINOAMERICANA DE ESTUDIOS DE SEGURIDAD</t>
  </si>
  <si>
    <t>artificial intelligence; communication policy; journalism; mass media; regulation of communication</t>
  </si>
  <si>
    <t>Artificial intelligence (AI) presents significant challenges. Governments and institutions must assess the consequences and impacts of AI to address the resulting changes. The objective of this study is to compare AI regulations in Spain, the European Union, and the United States and to examine how they could affect the formulation of media policies and, ultimately, the media industry. The research meth-odology involves a documentary study to uncover key findings and a comparative analysis of AI regu-lations. Integrating artificial intelligence into the media industry will require oversight of its decisions and effects, thereby giving rise to new questions regarding the formulation of communication policies.</t>
  </si>
  <si>
    <t>[Seijas-Costa, Raquel] Univ Malaga, Dept Periodismo, Malaga, Spain</t>
  </si>
  <si>
    <t>Universidad de Malaga</t>
  </si>
  <si>
    <t>Seijas-Costa, R (corresponding author), Univ Malaga, Dept Periodismo, Malaga, Spain.</t>
  </si>
  <si>
    <t>seijas@uma.es</t>
  </si>
  <si>
    <t>Seijas-Costa, Raquel/HTR-4269-2023</t>
  </si>
  <si>
    <t>Seijas-Costa, Raquel/0000-0003-2350-6015</t>
  </si>
  <si>
    <t>FLACSO-ECUADOR</t>
  </si>
  <si>
    <t>QUITO</t>
  </si>
  <si>
    <t>CALLE PRADERA E7-174 &amp; DIEGO ALMAGRO, QUITO, 00000, ECUADOR</t>
  </si>
  <si>
    <t>1390-3691</t>
  </si>
  <si>
    <t>1390-4299</t>
  </si>
  <si>
    <t>URVIO-REV LATINOAM E</t>
  </si>
  <si>
    <t>URVIO-REV. LATINOAM. ESTUD. SEGUR.</t>
  </si>
  <si>
    <t>10.17141/urvio.37.2023.5992</t>
  </si>
  <si>
    <t>Political Science</t>
  </si>
  <si>
    <t>Z8BB8</t>
  </si>
  <si>
    <t>WOS:001114263200007</t>
  </si>
  <si>
    <t>Ruhela, S; Riaz, S</t>
  </si>
  <si>
    <t>Ruhela, Sonakshi; Riaz, Sadia</t>
  </si>
  <si>
    <t>An Intelligent Combination: Assessing the Impact of harmonized Emotional and Artificial Intelligence for the Success of Industry 4.0</t>
  </si>
  <si>
    <t>2019 10TH INTERNATIONAL CONFERENCE ON COMPUTING, COMMUNICATION AND NETWORKING TECHNOLOGIES (ICCCNT)</t>
  </si>
  <si>
    <t>International Conference on Computing Communication and Network Technologies</t>
  </si>
  <si>
    <t>10th International Conference on Computing, Communication and Networking Technologies (ICCCNT)</t>
  </si>
  <si>
    <t>JUL 06-08, 2019</t>
  </si>
  <si>
    <t>IIT Kanpur, Kanpur, INDIA</t>
  </si>
  <si>
    <t>IIT Kanpur</t>
  </si>
  <si>
    <t>Emotional intelligence; Artificial Intelligence; Industry 4.0</t>
  </si>
  <si>
    <t>INTERNET</t>
  </si>
  <si>
    <t>Artificial intelligence (AI) is the simulation of human intelligence. With man-made consciousness and advent of AI, industrial process reengineering is reevaluated now. Machine learning supports predictions using enormous data, at the same time, is independent enough to infer knowledge based on pattern recognition from the data. For this reason, the technology has found its place in new industrial processes. What was previously a single direction road has now turned into a two-way communication. We would now be able to instruct technology to identify with individuals, as much as we train individuals to utilize technology. However, it is pertinent to note that individuals are also driven emotionally. The existing literature talks about getting human-driven artificial structure right, but does not comprehend the greatest factor in the achievement or disappointment of AI-driven changes, by incorporating human Emotional Intelligence (EI). The objective of the study include: a) To understand the role of artificial intelligence in Industry 4.0 b) To comprehend the collective impact of emotional and artificial intelligence in contemporary times and c) To assess the relationship between artificial intelligence, emotional intelligence and industry success. The methodology followed is a focus group data collected from AI experts in Dubai. The results highlight that a right combination of artificial intelligence and emotional intelligence is the recipe for the success of Industry 4.0.</t>
  </si>
  <si>
    <t>[Ruhela, Sonakshi; Riaz, Sadia] Amity Univ Dubai, Dept Humanities Arts &amp; Appl Sci, Dubai, U Arab Emirates</t>
  </si>
  <si>
    <t>Ruhela, S (corresponding author), Amity Univ Dubai, Dept Humanities Arts &amp; Appl Sci, Dubai, U Arab Emirates.</t>
  </si>
  <si>
    <t>sruhela@amityuniversity.ae; sriaz@amityuniversity.ae</t>
  </si>
  <si>
    <t>2162-7665</t>
  </si>
  <si>
    <t>978-1-5386-5906-9</t>
  </si>
  <si>
    <t>INT CONF COMPUT</t>
  </si>
  <si>
    <t>Computer Science, Hardware &amp; Architecture; Telecommunications</t>
  </si>
  <si>
    <t>BO7WM</t>
  </si>
  <si>
    <t>WOS:000525828100214</t>
  </si>
  <si>
    <t>Wang, JN; Huang, XY; Yang, ZC; Zhao, WR</t>
  </si>
  <si>
    <t>Hu, J; Min, G; Wang, G; Georgalas, N</t>
  </si>
  <si>
    <t>Wang, Jinning; Huang, Xinyuan; Yang, Zichu; Zhao, Weiran</t>
  </si>
  <si>
    <t>Construction of Artificial Intelligence Generated Content in Digital Film Production</t>
  </si>
  <si>
    <t>2023 IEEE 22ND INTERNATIONAL CONFERENCE ON TRUST, SECURITY AND PRIVACY IN COMPUTING AND COMMUNICATIONS, TRUSTCOM, BIGDATASE, CSE, EUC, ISCI 2023</t>
  </si>
  <si>
    <t>IEEE International Conference on Trust Security and Privacy in Computing and Communications</t>
  </si>
  <si>
    <t>IEEE 22nd International Conference on Trust, Security and Privacy in Computing and Communications (TrustCom) / BigDataSE Conference / CSE Conference / EUC Conference / ISCI Conference</t>
  </si>
  <si>
    <t>NOV 01-03, 2023</t>
  </si>
  <si>
    <t>Exeter, ENGLAND</t>
  </si>
  <si>
    <t>IEEE,IEEE Comp Soc,IEEE Tech Community Scalable Comp</t>
  </si>
  <si>
    <t>AIGC (Artificial Intelligence Generated Content); Digital Imagery; Digital Film</t>
  </si>
  <si>
    <t>Since the inception of artificial intelligence in 1956, it has brought about significant transformations in people's production and daily lives. Artificial intelligence technology is widely applied in various fields due to its capacity to emulate human thinking and learning. Focusing on the creation of cinematic culture, contemporary film production has gradually shifted towards digitization in its processes and virtualization in its content. Consequently, the continuous iterative development of digital filmmaking technology has presented further opportunities for integration with artificial intelligence technology.In the context of virtual production technology expanding to encompass the entire filmmaking process, this paper aims to explore artificial intelligence image technology from the perspective of digital cinema. It elucidates the application characteristics of artificial intelligence technology in the realm of imagery under the current cinematic aesthetics, delves into the future visual marvels constructed by films in the era of artificial intelligence, and thereby further explores the impact of artificial intelligence image technology on the creative concepts of future digital filmmaking, along with the insights and reflections derived from this exploration.</t>
  </si>
  <si>
    <t>[Wang, Jinning; Yang, Zichu; Zhao, Weiran] Beijing Film Acad, Beijing, Peoples R China; [Huang, Xinyuan] Commun Univ China, Beijing, Peoples R China</t>
  </si>
  <si>
    <t>Beijing Film Academy; Communication University of China</t>
  </si>
  <si>
    <t>Yang, ZC (corresponding author), Beijing Film Acad, Beijing, Peoples R China.</t>
  </si>
  <si>
    <t>wangjinning@bfa.edu.cn; Huangxinyuan@cuc.edu.cn; yangzichu@bfa.edu.cn; Zhaoweiran@bfa.edu.cn</t>
  </si>
  <si>
    <t>2324-898X</t>
  </si>
  <si>
    <t>979-8-3503-8199-3; 979-8-3503-8200-6</t>
  </si>
  <si>
    <t>IEEE INT CONF TRUST</t>
  </si>
  <si>
    <t>10.1109/TrustCom60117.2023.00366</t>
  </si>
  <si>
    <t>Computer Science, Artificial Intelligence; Computer Science, Information Systems; Computer Science, Theory &amp; Methods; Telecommunications</t>
  </si>
  <si>
    <t>BX0XC</t>
  </si>
  <si>
    <t>WOS:001239879400342</t>
  </si>
  <si>
    <t>Cucu, C; Gavrioloaia, G; Bologa, R; Cazacu, M</t>
  </si>
  <si>
    <t>Roceanu, I; Holotescu, C; Ciolan, L; Colibaba, AC; Radu, C</t>
  </si>
  <si>
    <t>Cucu, Cristian; Gavrioloaia, Gheorghe; Bologa, Razvan; Cazacu, Mihail</t>
  </si>
  <si>
    <t>Current Technologies and Trends in Cybersecurity and the Impact of Artificial Intelligence</t>
  </si>
  <si>
    <t>NEW TECHNOLOGIES AND REDESIGNING LEARNING SPACES, VOL II</t>
  </si>
  <si>
    <t>eLearning and Software for Education</t>
  </si>
  <si>
    <t>15th International Scientific Conference on eLearning and Software for Education (eLSE) - New Technologies and Redesigning Learning Spaces</t>
  </si>
  <si>
    <t>APR 11-12, 2019</t>
  </si>
  <si>
    <t>European Secur &amp; Def Coll,Romania Partnership Ctr,Natl Def Univ Carol I</t>
  </si>
  <si>
    <t>cybersecurity; artificial intelligence; machine learning; siem</t>
  </si>
  <si>
    <t>The large majority of the current cybersecurity technologies are identifying cyberattacks based on predefined signatures, rules, filters or scenarios such as virus or malware definitions, firewall rules, intrusion prevention filters or SIEM playbooks. In recent years, these technologies have achieved only a small reach towards addressing the new challenges and the pace of their development is bowing in front of the much faster evolution of the threats. This exponential increase in the number and complexity of cyberattacks opened the door to the utilization of artificial intelligence algorithms within the protection technologies primarily for a couple of reasons: to identify deviations from trained regular behaviour and to analyse large volumes of data for patterns. Following this cycle, in turn, cyberattacks started themselves to employ artificial intelligence to automate labour-intensive tasks like social media and other public information analysis to prioritize targets, to evade current techniques, to generate domains or to perform human-like operations. These new trends started to challenge the current static-rule-based approach largely used today in the cybersecurity ecosystem and at the same time to provide the opportunity to adapt the current technologies and sharing platforms to respond to these dynamic threats. The learning processes needs modifications as well by employing mechanisms that will allow to deliver knowledge faster and more specialized. These developments in the cybersecurity realm led not only to the adaptation of the existing technologies but also to the creation of new trends, new technologies and new products that could offer alternative protection against this fast changing threat landscape.</t>
  </si>
  <si>
    <t>[Cucu, Cristian; Gavrioloaia, Gheorghe] Univ Pitesti, Pitesti, Romania; [Bologa, Razvan; Cazacu, Mihail] Bucharest Univ Econ Studies, Bucharest, Romania</t>
  </si>
  <si>
    <t>National University of Science &amp; Technology POLITEHNICA Bucharest; University of Pitesti; Bucharest University of Economic Studies</t>
  </si>
  <si>
    <t>Cucu, C (corresponding author), Univ Pitesti, Pitesti, Romania.</t>
  </si>
  <si>
    <t>ccris73@yahoo.com; ggavriloaia@gmail.com; razvanbologa@ase.ro; mihail.cazacu@gmail.com</t>
  </si>
  <si>
    <t>Bologa, Razvan/JTT-2104-2023</t>
  </si>
  <si>
    <t>Bologa, Razvan/0000-0001-9738-4677</t>
  </si>
  <si>
    <t>CAROL I NATL DEFENCE UNIV PUBLISHING HOUSE</t>
  </si>
  <si>
    <t>PANDURI ST, 68-72, BUCHAREST, 00000, ROMANIA</t>
  </si>
  <si>
    <t>2066-026X</t>
  </si>
  <si>
    <t>ELEARN SOFTW EDUC</t>
  </si>
  <si>
    <t>10.12753/2066-026X-19-099</t>
  </si>
  <si>
    <t>BN0QM</t>
  </si>
  <si>
    <t>WOS:000473324400030</t>
  </si>
  <si>
    <t>López-Villanueva, D; Santiago, R; Palau, R</t>
  </si>
  <si>
    <t>Lopez-Villanueva, David; Santiago, Raul; Palau, Ramon</t>
  </si>
  <si>
    <t>Flipped Learning and Artificial Intelligence</t>
  </si>
  <si>
    <t>ELECTRONICS</t>
  </si>
  <si>
    <t>flipped learning; artificial intelligence; AIEd; AIge</t>
  </si>
  <si>
    <t>The recent emergence of Artificial Intelligence (AI) has the potential to influence the teaching-learning process. Some of the most used pedagogical approaches of the last decade have been Flipped Classroom and Flipped Learning. This article explores the intersection between Flipped Learning and AI through qualitative research based on interviews with international experts in the field. The results reveal the significant impact of AI on education, highlighting how AI tools are transforming teaching and learning methodologies. Additionally, the evolution of Flipped Learning with the integration of AI is analyzed, showing how this combination enhances personalized learning and improves student engagement. Finally, the role of the teacher in this new educational paradigm is discussed, emphasizing the need for continuous adaptation and the development of new competencies to fully leverage emerging technologies. With this study, we aim to provide an overview of the opportunities and challenges that AI presents in the context of Flipped Learning.</t>
  </si>
  <si>
    <t>[Lopez-Villanueva, David; Palau, Ramon] Univ Rovira &amp; Virgili, Dept Pedag, Tarragona 43002, Spain; [Santiago, Raul] Univ La Rioja, Dept Educ Sci, Logrono 26006, Spain</t>
  </si>
  <si>
    <t>Universitat Rovira i Virgili; Universidad de La Rioja</t>
  </si>
  <si>
    <t>López-Villanueva, D (corresponding author), Univ Rovira &amp; Virgili, Dept Pedag, Tarragona 43002, Spain.</t>
  </si>
  <si>
    <t>david.lopezv@estudiants.urv.cat; raul.santiago@unirioja.es; ramon.palau@urv.cat</t>
  </si>
  <si>
    <t>Palau, Ramon/AAG-3585-2020</t>
  </si>
  <si>
    <t>Palau, Ramon/0000-0002-9843-3116; Lopez-Villanueva, David/0009-0001-9556-9384</t>
  </si>
  <si>
    <t>2079-9292</t>
  </si>
  <si>
    <t>ELECTRONICS-SWITZ</t>
  </si>
  <si>
    <t>Electronics</t>
  </si>
  <si>
    <t>10.3390/electronics13173424</t>
  </si>
  <si>
    <t>Computer Science, Information Systems; Engineering, Electrical &amp; Electronic; Physics, Applied</t>
  </si>
  <si>
    <t>Computer Science; Engineering; Physics</t>
  </si>
  <si>
    <t>F6Y0T</t>
  </si>
  <si>
    <t>WOS:001311240900001</t>
  </si>
  <si>
    <t>Morita, PP; Lotto, M; Kaur, J; Chumachenko, D; Oetomo, A; Espiritu, KD; Hussain, IZ</t>
  </si>
  <si>
    <t>Morita, Plinio P.; Lotto, Matheus; Kaur, Jasleen; Chumachenko, Dmytro; Oetomo, Arlene; Espiritu, Kristopher Dylan; Hussain, Irfhana Zakir</t>
  </si>
  <si>
    <t>What is the impact of artificial intelligence-based chatbots on infodemic management?</t>
  </si>
  <si>
    <t>FRONTIERS IN PUBLIC HEALTH</t>
  </si>
  <si>
    <t>artificial intelligence; infodemic; health information management; misinformation; eHealth</t>
  </si>
  <si>
    <t>GOOGLE</t>
  </si>
  <si>
    <t>Artificial intelligence (AI) chatbots have the potential to revolutionize online health information-seeking behavior by delivering up-to-date information on a wide range of health topics. They generate personalized responses to user queries through their ability to process extensive amounts of text, analyze trends, and generate natural language responses. Chatbots can manage infodemic by debunking online health misinformation on a large scale. Nevertheless, system accuracy remains technically challenging. Chatbots require training on diverse and representative datasets, security to protect against malicious actors, and updates to keep up-to-date on scientific progress. Therefore, although AI chatbots hold significant potential in assisting infodemic management, it is essential to approach their outputs with caution due to their current limitations.</t>
  </si>
  <si>
    <t>[Morita, Plinio P.; Lotto, Matheus; Kaur, Jasleen; Chumachenko, Dmytro; Oetomo, Arlene; Espiritu, Kristopher Dylan; Hussain, Irfhana Zakir] Univ Waterloo, Sch Publ Hlth Sci, Waterloo, ON, Canada; [Morita, Plinio P.] Univ Waterloo, Dept Syst Design Engn, Waterloo, ON, Canada; [Morita, Plinio P.] Univ Waterloo, Res Inst Aging, Waterloo, ON, Canada; [Morita, Plinio P.] Univ Hlth Network, Techna Inst, Ctr Digital Therapeut, Toronto, ON, Canada; [Morita, Plinio P.] Univ Toronto, Dalla Lana Sch Publ Hlth, Inst Hlth Policy Management &amp; Evaluat, Toronto, ON, Canada; [Lotto, Matheus] Univ Sao Paulo, Bauru Sch Dent, Dept Pediat Dent Orthodont &amp; Publ Hlth, Bauru, Brazil; [Chumachenko, Dmytro] Natl Aerosp Univ, Kharkiv Aviat Inst, Dept Math Modelling &amp; Artificial Intelligence, Kharkiv, Ukraine</t>
  </si>
  <si>
    <t>University of Waterloo; University of Waterloo; University of Waterloo; University of Toronto; University Health Network Toronto; University of Toronto; Universidade de Sao Paulo; Ministry of Education &amp; Science of Ukraine; National Aerospace University Kharkiv Aviation Institute</t>
  </si>
  <si>
    <t>Morita, PP (corresponding author), Univ Waterloo, Sch Publ Hlth Sci, Waterloo, ON, Canada.;Morita, PP (corresponding author), Univ Waterloo, Dept Syst Design Engn, Waterloo, ON, Canada.;Morita, PP (corresponding author), Univ Waterloo, Res Inst Aging, Waterloo, ON, Canada.;Morita, PP (corresponding author), Univ Hlth Network, Techna Inst, Ctr Digital Therapeut, Toronto, ON, Canada.;Morita, PP (corresponding author), Univ Toronto, Dalla Lana Sch Publ Hlth, Inst Hlth Policy Management &amp; Evaluat, Toronto, ON, Canada.</t>
  </si>
  <si>
    <t>plinio.morita@uwaterloo.ca</t>
  </si>
  <si>
    <t>Oetomo, Arlene/ABE-7407-2021; Lotto, Matheus/X-6400-2019; Chumachenko, Dmytro/I-8520-2018</t>
  </si>
  <si>
    <t>Chumachenko, Dmytro/0000-0003-2623-3294</t>
  </si>
  <si>
    <t>So Paulo Research Foundation10.13039/501100001807</t>
  </si>
  <si>
    <t>2296-2565</t>
  </si>
  <si>
    <t>FRONT PUBLIC HEALTH</t>
  </si>
  <si>
    <t>Front. Public Health</t>
  </si>
  <si>
    <t>FEB 13</t>
  </si>
  <si>
    <t>10.3389/fpubh.2024.1310437</t>
  </si>
  <si>
    <t>JA8B3</t>
  </si>
  <si>
    <t>WOS:001170512400001</t>
  </si>
  <si>
    <t>Nieberl, M; Zeiser, A; Timinger, H</t>
  </si>
  <si>
    <t>Nieberl, Michael; Zeiser, Alexander; Timinger, Holger</t>
  </si>
  <si>
    <t>A Review of Data-Centric Artificial Intelligence (DCAI) and its Impact on manufacturing Industry: Challenges, Limitations, and Future Directions</t>
  </si>
  <si>
    <t>artificial intelligence; machine learning; data-centric AI; Industry 4.0; manufacturing</t>
  </si>
  <si>
    <t>With the advancement of big data, the scope and potential of Artificial Intelligence (AI) have acquired major momentum. Data-Centric Artificial Intelligence (DCAI) is one of the most emergent fields of study in the current era of digitalization. Many examples have proven the effectiveness of Machine- and Deep Learning methods. In industrial production, however, limitations are still present that hinder application online and in a series that goes beyond isolated use cases. One crucial issue is data precondition, i.e., data quality, consistency, and labeling. As DCAI addresses these issues, developments in this field have caught the attention of various experts. In summary, DCAI continues to be an exciting and promising field of study that enhances AI applicability. Several research works have been conducted in DCAI, but unfortunately, no comprehensive reviews have been conducted to summarize and highlight the results. This gap in knowledge inspired our work, that aims to answer wellstructured research questions. The focus of this paper is to clarify the terminology used in DCAI while also distinguishing it from other AI-related problems. This helps to analyze the current standards and problems associated with DCAI. This paper summarizes current use cases of DCAI and their impact on industries. Through this detailed description, readers can understand the potential and benefits of using DCAI in different business sectors. The analysis of the latest methods employed by DCAI to achieve enhanced AI performance and outcomes provides valuable insights for professionals and organizations that strive to incorporate AI into their business.</t>
  </si>
  <si>
    <t>[Nieberl, Michael; Zeiser, Alexander] BMW AG, Landshut, Germany; [Timinger, Holger] Univ Appl Sci Landshut, Inst Data &amp; Proc Sci, Landshut, Germany</t>
  </si>
  <si>
    <t>BMW AG</t>
  </si>
  <si>
    <t>Nieberl, M (corresponding author), BMW AG, Landshut, Germany.</t>
  </si>
  <si>
    <t>michael.nb.nieberl@bmw.de; alexander.az.zeiser@bmw.de; holger.timinger@haw-landshut.de</t>
  </si>
  <si>
    <t>10.1109/CAI59869.2024.00018</t>
  </si>
  <si>
    <t>WOS:001289387700009</t>
  </si>
  <si>
    <t>Chen, L; Chen, ZH; Zhang, YB; Liu, YF; Osman, AI; Farghali, M; Hua, JM; Al-Fatesh, A; Ihara, I; Rooney, DW; Yap, PS</t>
  </si>
  <si>
    <t>Chen, Lin; Chen, Zhonghao; Zhang, Yubing; Liu, Yunfei; Osman, Ahmed I.; Farghali, Mohamed; Hua, Jianmin; Al-Fatesh, Ahmed; Ihara, Ikko; Rooney, David W.; Yap, Pow-Seng</t>
  </si>
  <si>
    <t>Artificial intelligence-based solutions for climate change: a review</t>
  </si>
  <si>
    <t>ENVIRONMENTAL CHEMISTRY LETTERS</t>
  </si>
  <si>
    <t>Artificial intelligence; Climate change; Energy efficiency; Sustainability; Resource management</t>
  </si>
  <si>
    <t>SOFT SENSOR; NEURAL-NETWORK; ENERGY EFFICIENCY; FAULT-DETECTION; CARBON CAPTURE; AIR-POLLUTION; SYSTEM; PREDICTION; CHALLENGES; MANAGEMENT</t>
  </si>
  <si>
    <t>Climate change is a major threat already causing system damage to urban and natural systems, and inducing global economic losses of over $500 billion. These issues may be partly solved by artificial intelligence because artificial intelligence integrates internet resources to make prompt suggestions based on accurate climate change predictions. Here we review recent research and applications of artificial intelligence in mitigating the adverse effects of climate change, with a focus on energy efficiency, carbon sequestration and storage, weather and renewable energy forecasting, grid management, building design, transportation, precision agriculture, industrial processes, reducing deforestation, and resilient cities. We found that enhancing energy efficiency can significantly contribute to reducing the impact of climate change. Smart manufacturing can reduce energy consumption, waste, and carbon emissions by 30-50% and, in particular, can reduce energy consumption in buildings by 30-50%. About 70% of the global natural gas industry utilizes artificial intelligence technologies to enhance the accuracy and reliability of weather forecasts. Combining smart grids with artificial intelligence can optimize the efficiency of power systems, thereby reducing electricity bills by 10-20%. Intelligent transportation systems can reduce carbon dioxide emissions by approximately 60%. Moreover, the management of natural resources and the design of resilient cities through the application of artificial intelligence can further promote sustainability.</t>
  </si>
  <si>
    <t>[Chen, Lin; Hua, Jianmin] Chongqing Univ, Sch Civil Engn, Chongqing 400045, Peoples R China; [Chen, Lin; Hua, Jianmin] Chongqing Univ, Key Lab New Technol Construction Cities Mt Area, Minist Educ, Chongqing 400045, Peoples R China; [Chen, Zhonghao; Zhang, Yubing; Liu, Yunfei; Yap, Pow-Seng] Xian Jiaotong Liverpool Univ, Dept Civil Engn, Suzhou 215123, Peoples R China; [Osman, Ahmed I.; Rooney, David W.] Queens Univ Belfast, Sch Chem &amp; Chem Engn, David Keir Bldg, Stranmillis Rd, Belfast BT9 5AG, North Ireland; [Farghali, Mohamed; Ihara, Ikko] Kobe Univ, Dept Agr Engn &amp; Socio Econ, Kobe 6578501, Japan; [Farghali, Mohamed] Assiut Univ, Fac Vet Med, Dept Anim &amp; Poultry Hyg &amp; Environm Sanitat, Assiut 71526, Egypt; [Al-Fatesh, Ahmed] King Saud Univ, Coll Engn, Chem Engn Dept, POB 800, Riyadh 11421, Saudi Arabia</t>
  </si>
  <si>
    <t>Chongqing University; Chongqing University; Xi'an Jiaotong-Liverpool University; Queens University Belfast; Kobe University; Egyptian Knowledge Bank (EKB); Assiut University; King Saud University</t>
  </si>
  <si>
    <t>Hua, JM (corresponding author), Chongqing Univ, Sch Civil Engn, Chongqing 400045, Peoples R China.;Hua, JM (corresponding author), Chongqing Univ, Key Lab New Technol Construction Cities Mt Area, Minist Educ, Chongqing 400045, Peoples R China.;Yap, PS (corresponding author), Xian Jiaotong Liverpool Univ, Dept Civil Engn, Suzhou 215123, Peoples R China.;Osman, AI (corresponding author), Queens Univ Belfast, Sch Chem &amp; Chem Engn, David Keir Bldg, Stranmillis Rd, Belfast BT9 5AG, North Ireland.;Farghali, M (corresponding author), Kobe Univ, Dept Agr Engn &amp; Socio Econ, Kobe 6578501, Japan.;Farghali, M (corresponding author), Assiut Univ, Fac Vet Med, Dept Anim &amp; Poultry Hyg &amp; Environm Sanitat, Assiut 71526, Egypt.</t>
  </si>
  <si>
    <t>chnlinchen@gmail.com; zhonghaochen98@163.com; zhangyubing2000@163.com; yunfeiliu1230@gmail.com; aosmanahmed01@qub.ac.uk; mohamed.farghali@aun.edu.eg; huajianmin@cqu.edu.cn; PowSeng.Yap@xjtlu.edu.cn</t>
  </si>
  <si>
    <t>Farghali, Mohamed/HKO-0964-2023; Yap, PS/S-6115-2017; Al-fatesh, Ahmed/E-7961-2019; Chen, Lin/AEL-1865-2022; ahmed, ahmed/JZD-7597-2024; Zhang, Yubing/JAC-9437-2023; IHARA, Ikko/AAA-6293-2021; Osman, Ahmed/S-2958-2016; Chen, Zhonghao/GZL-6070-2022</t>
  </si>
  <si>
    <t>Chen, Lin/0000-0003-2070-3013; Osman, Ahmed/0000-0003-2788-7839; Chen, Zhonghao/0000-0002-7056-9222; Farghali, Mohamed/0000-0003-4135-2750</t>
  </si>
  <si>
    <t>Bryden Centre project - European Union's INTERREG VA Programme [VA5048]; Department for the Economy in Northern Ireland; Department of Business, Enterprise and Innovation in the Republic of Ireland</t>
  </si>
  <si>
    <t>Bryden Centre project - European Union's INTERREG VA Programme(Interreg Europe); Department for the Economy in Northern Ireland; Department of Business, Enterprise and Innovation in the Republic of Ireland</t>
  </si>
  <si>
    <t>Dr Ahmed I. Osman and Prof. David W. Rooney wish to acknowledge the support of The Bryden Centre project (Project ID VA5048), which was awarded by The European Union's INTERREG VA Programme, managed by the Special EU Programmes Body (SEUPB), with match funding provided by the Department for the Economy in Northern Ireland and the Department of Business, Enterprise and Innovation in the Republic of Ireland.</t>
  </si>
  <si>
    <t>1610-3653</t>
  </si>
  <si>
    <t>1610-3661</t>
  </si>
  <si>
    <t>ENVIRON CHEM LETT</t>
  </si>
  <si>
    <t>Environ. Chem. Lett.</t>
  </si>
  <si>
    <t>10.1007/s10311-023-01617-y</t>
  </si>
  <si>
    <t>Chemistry, Multidisciplinary; Engineering, Environmental; Environmental Sciences</t>
  </si>
  <si>
    <t>Chemistry; Engineering; Environmental Sciences &amp; Ecology</t>
  </si>
  <si>
    <t>Q3EG9</t>
  </si>
  <si>
    <t>WOS:001005813800001</t>
  </si>
  <si>
    <t>Khan, MW; Destek, MA; Khan, Z</t>
  </si>
  <si>
    <t>Khan, Muhammad Waqas; Destek, Mehmet Akif; Khan, Zeeshan</t>
  </si>
  <si>
    <t>Income Inequality and Artificial Intelligence: Globalization and age dependency for developed countries</t>
  </si>
  <si>
    <t>Artificial intelligence; Income inequality; CSARDL; Group of seven</t>
  </si>
  <si>
    <t>ECONOMIC-GROWTH; FINANCIAL DEVELOPMENT; TECHNOLOGICAL-CHANGE; INNOVATION; DETERMINANTS; CONSUMPTION; CAUSALITY; POVERTY; POLICY; PANELS</t>
  </si>
  <si>
    <t>In the recent times, the role of artificial intelligence in social, economic, and environmental decision-making is important. Artificial intelligence is considered a source of enabling countries to achieve sustainable development goals. The economic consequences of the introduction of artificial intelligence are mostly overlooked and yet to be explore empirically. This work aims to empirically determine the impact of artificial intelligence on income inequality in the pioneers of the field, i.e., the G7 economies. Also, it aims to explore the role of fiscal intervention in mediating the impact of artificial intelligence on income inequality in these economies. The panel data techniques such as the test for cross sectional dependence and the test for slope heterogeneity are used. Furthermore, CIPS is used to determine the level of integration of the variables in the model. Westerlund test for cointegration and granger causality test by Dumitrescu and Hurlin (2012) are also used in the study. Furthermore, CSARDL technique is used to find out the impact of artificial intelligence along with control variables on income inequality. The results show that artificial intelligence reduces income inequality in the G7 both in the short and the long run. The absolute value of the long-term coefficients is larger than those in the short run. Based on the empirical findings of the work, it is recommended that appropriate fiscal interventions are needed in the short run to sustain the income inequality reduction impact of artificial intelligence. However, in the long run such interventions can be counter-productive but the requisite skills to optimally utilize artificial intelligence should be imparted to individuals.</t>
  </si>
  <si>
    <t>[Khan, Muhammad Waqas] Quaid I Azam Univ, Sch Econ, Islamabad, Pakistan; [Destek, Mehmet Akif] Gaziantep Univ, Dept Econ, Gaziantep, Turkiye; [Destek, Mehmet Akif] Azerbaijan State Univ Econ UNEC, Res Methods Applicat Ctr UNEC, AZ-1001 Baku, Azerbaijan; [Destek, Mehmet Akif] Korea Univ, Dept Econ, Seoul 02841, South Korea; [Destek, Mehmet Akif] Baku Eurasian Univ, Econ Res Ctr BAAU ERC, Baku, Azerbaijan; [Khan, Zeeshan] Tsinghua Univ, Sch Publ Policy &amp; Management SPPM, Beijing, Peoples R China; [Destek, Mehmet Akif] Western Caspian Univ, Econ &amp; Business, Baku, Azerbaijan</t>
  </si>
  <si>
    <t>Quaid I Azam University; Gaziantep University; Ministry of Education of Azerbaijan Republic; Azerbaijan State University of Economics (UNEC); Korea University; Baku Eurasian University; Tsinghua University; Ministry of Education of Azerbaijan Republic; Western Caspian University</t>
  </si>
  <si>
    <t>Destek, MA (corresponding author), Gaziantep Univ, Dept Econ, Gaziantep, Turkiye.;Destek, MA (corresponding author), Azerbaijan State Univ Econ UNEC, Res Methods Applicat Ctr UNEC, AZ-1001 Baku, Azerbaijan.;Destek, MA (corresponding author), Korea Univ, Dept Econ, Seoul 02841, South Korea.;Destek, MA (corresponding author), Baku Eurasian Univ, Econ Res Ctr BAAU ERC, Baku, Azerbaijan.;Destek, MA (corresponding author), Western Caspian Univ, Econ &amp; Business, Baku, Azerbaijan.</t>
  </si>
  <si>
    <t>mwaqaskhan95@gmail.com; adestek@gantep.edu.tr; Zee8447@gmail.com</t>
  </si>
  <si>
    <t>Khan, Zeeshan/AAN-9873-2020; Destek, Mehmet Akif/AAG-4936-2020; Khan, Muhammad Waqas/O-6165-2019</t>
  </si>
  <si>
    <t>DESTEK, Mehmet Akif/0000-0002-2514-9405</t>
  </si>
  <si>
    <t>10.1007/s11205-024-03493-7</t>
  </si>
  <si>
    <t>Q8P3I</t>
  </si>
  <si>
    <t>WOS:001387223000001</t>
  </si>
  <si>
    <t>Ghouati, S; El Amri, A; Salah, O</t>
  </si>
  <si>
    <t>Jawab, F; El Farouk, I</t>
  </si>
  <si>
    <t>Ghouati, Sara; El Amri, Adil; Salah, Oulfarsi</t>
  </si>
  <si>
    <t>The impact of Artificial Intelligence on Supply Chain: literature review and conceptual framework</t>
  </si>
  <si>
    <t>2022 14TH INTERNATIONAL COLLOQUIUM OF LOGISTICS AND SUPPLY CHAIN MANAGEMENT (LOGISTIQUA2022)</t>
  </si>
  <si>
    <t>International Conference on Logistics</t>
  </si>
  <si>
    <t>14th International Colloquium of Logistics and Supply Chain Management (LOGISTIQUA)</t>
  </si>
  <si>
    <t>MAY 25-27, 2022</t>
  </si>
  <si>
    <t>El Jadida, MOROCCO</t>
  </si>
  <si>
    <t>IEEE Morocco Sect,IEEE Xplore,CNRST,Univ Chouaib Doukkali,Univ Sidi Mohamed Abdellah,Ecole Natl Commerce Gest,Univ Paris 8, Inst Univ Technologie Montreuil,Assoc Marocaine Logistique,Quartz Lab</t>
  </si>
  <si>
    <t>artificial intelligence; supply chain; industry 4.0</t>
  </si>
  <si>
    <t>MANAGEMENT</t>
  </si>
  <si>
    <t>The activity of the supply chain requires supply, data collection of production processes, availability of materials, scheduling and demand forecasting. In the context of Industry 4.0, which relies on artificial intelligence, the data mentioned above can be retrieved in real time, exploited and analyzed in very short time frames. The objective of this research is to identify the characteristics of supply chain approaches in this fourth industrial revolution. A literature review of publications concerning the supply chain process over the past decade is presented. It proposes an analytical framework based on the following axes: supply chain activities, planning horizon, resources, target users and artificial intelligence resolution approach. The results demonstrate that to cope with disturbances, research proposals have primarily focused on balancing resource use within short-term planning horizons. The study also reveals that automatic and multi-agent learning methods are preferred over other methods (Petri networks, reasoning) as resolution approaches in the context of supply chain activities.</t>
  </si>
  <si>
    <t>[Ghouati, Sara; El Amri, Adil; Salah, Oulfarsi] Chouaib Doukkali Univ Ucd, LERSEM, Natl Sch Business &amp; Management ENCG, El Jadida, Morocco</t>
  </si>
  <si>
    <t>Chouaib Doukkali University of El Jadida</t>
  </si>
  <si>
    <t>Ghouati, S (corresponding author), Chouaib Doukkali Univ Ucd, LERSEM, Natl Sch Business &amp; Management ENCG, El Jadida, Morocco.</t>
  </si>
  <si>
    <t>saraghouati97@gmail.com; elamri.a@ucd.ac.ma; Oulfarsi.salah@yahoo.fr</t>
  </si>
  <si>
    <t>EL AMRI, Dr &amp; Prof. Adil/HGD-5199-2022</t>
  </si>
  <si>
    <t>EL AMRI, Dr &amp; Prof. Adil/0000-0003-1849-8727; oulfarsi, salah/0000-0001-7332-2893</t>
  </si>
  <si>
    <t>2166-7349</t>
  </si>
  <si>
    <t>2166-7373</t>
  </si>
  <si>
    <t>978-1-6654-7418-4</t>
  </si>
  <si>
    <t>I CONF LOGISTICS</t>
  </si>
  <si>
    <t>10.1109/LOGISTIQUA55056.2022.9938119</t>
  </si>
  <si>
    <t>Engineering, Industrial; Operations Research &amp; Management Science</t>
  </si>
  <si>
    <t>BU4IP</t>
  </si>
  <si>
    <t>WOS:000899744300034</t>
  </si>
  <si>
    <t>Alzoubi, YI; Mishra, A</t>
  </si>
  <si>
    <t>Alzoubi, Yehia Ibrahim; Mishra, Alok</t>
  </si>
  <si>
    <t>Green artificial intelligence initiatives: Potentials and challenges</t>
  </si>
  <si>
    <t>Artificial intelligence; Carbon footprint; Cloud; Green AI; Green AI tools; Sustainability</t>
  </si>
  <si>
    <t>Recently, the widespread adoption of artificial intelligence, particularly generative AI technology, has surged across various industries. However, a notable drawback of this technology is its significant energy consumption during model training and operation, which poses challenges to sustainability goals and the environment. Consequently, various initiatives have emerged to promote what is termed green artificial intelligence, aiming to mitigate these environmental impacts. Nevertheless, research discussing these initiatives remains scarce. Hence, this study aims to identify green artificial intelligence initiatives that contribute to environmental friendliness. This paper has comprehensively reviewed the existing literature, professional websites, and expert blogs to identify and analyze available green AI initiatives. This paper has identified 55 such initiatives, broadly categorized into six themes: cloud optimization, model efficiency, carbon footprinting, sustainability-focused AI development, open-source initiatives, and green AI research and community. This study discusses the strengths and limitations of each initiative to offer a comprehensive overview. The findings provide valuable insights, particularly for industries interested in green artificial intelligence and green technology in general. While some tools have been recognized and studied, comprehensive research and analysis are still required to empirically evaluate the majority of other tools due to their early stages of development in this field.</t>
  </si>
  <si>
    <t>[Alzoubi, Yehia Ibrahim] Amer Univ Middle East, Coll Business Adm, Kuwait, Kuwait; [Mishra, Alok] Norwegian Univ Sci &amp; Technol NTNU, Fac Engn, Trondheim, Norway</t>
  </si>
  <si>
    <t>American University of the Middle East; Norwegian University of Science &amp; Technology (NTNU)</t>
  </si>
  <si>
    <t>Mishra, A (corresponding author), Norwegian Univ Sci &amp; Technol NTNU, Fac Engn, Trondheim, Norway.</t>
  </si>
  <si>
    <t>yehia.alzoubi@aum.edu.kw; alok.mishra@ntnu.no</t>
  </si>
  <si>
    <t>Mishra, Alok/AAE-2673-2019; Alzoubi, Yehia/ACQ-8013-2022; Mishra, Alok/D-7937-2012</t>
  </si>
  <si>
    <t>Alzoubi, Yehia/0000-0003-4329-4072; Mishra, Alok/0000-0003-1275-2050</t>
  </si>
  <si>
    <t>AUG 25</t>
  </si>
  <si>
    <t>10.1016/j.jclepro.2024.143090</t>
  </si>
  <si>
    <t>YF7N7</t>
  </si>
  <si>
    <t>WOS:001267137900001</t>
  </si>
  <si>
    <t>Seetharam, K; Thyagaturu, H; Ferreira, GL; Patel, A; Patel, C; Elahi, A; Pachulski, R; Shah, J; Mir, P; Thodimela, A; Pala, M; Thet, Z; Hamirani, Y</t>
  </si>
  <si>
    <t>Seetharam, Karthik; Thyagaturu, Harshith; Ferreira, Gabriel Lora; Patel, Aditya; Patel, Chinmay; Elahi, Asim; Pachulski, Roman; Shah, Jilan; Mir, Parvez; Thodimela, Arunita; Pala, Manya; Thet, Zeyar; Hamirani, Yasmin</t>
  </si>
  <si>
    <t>Broadening Perspectives of Artificial Intelligence in Echocardiography</t>
  </si>
  <si>
    <t>CARDIOLOGY AND THERAPY</t>
  </si>
  <si>
    <t>Artificial intelligence; Machine learning; Echocardiography</t>
  </si>
  <si>
    <t>HEART-FAILURE; STRAIN; ASSOCIATION</t>
  </si>
  <si>
    <t>Echocardiography frequently serves as the first-line treatment of diagnostic imaging for several pathological entities in cardiology. Artificial intelligence (AI) has been growing substantially in information technology and various commercial industries. Machine learning (ML), a branch of AI, has been shown to expand the capabilities and potential of echocardiography. ML algorithms expand the field of echocardiography by automated assessment of the ejection fraction and left ventricular function, integrating novel approaches such as speckle tracking or tissue Doppler echocardiography or vector flow mapping, improved phenotyping, distinguishing between cardiac conditions, and incorporating information from mobile health and genomics. In this review article, we assess the impact of AI and ML in echocardiography. Echocardiography is the most common test in cardiovascular imaging and helps diagnose multiple different diseases. Machine learning, a branch of artificial intelligence (AI), will reduce the workload for medical professionals and help improve clinical workflows. It can rapidly calculate a lot of important cardiac parameters such as the ejection fraction or important metrics during different phases of the cardiac cycle. Machine learning algorithms can include new technology in echocardiography such as speckle tracking, tissue Doppler echocardiography, vector flow mapping, and other approaches in a user-friendly manner. Furthermore, it can help find new subtypes of existing diseases in cardiology. In this review article, we look at the current role of machine learning and AI in the field of echocardiography.</t>
  </si>
  <si>
    <t>[Seetharam, Karthik; Thyagaturu, Harshith] West Virgina Univ, Heart &amp; Vasc Inst, Div Cardiovasc Dis, 1 Med Ctr Dr, Morgantown, WV 26506 USA; [Seetharam, Karthik; Patel, Aditya; Elahi, Asim; Shah, Jilan; Mir, Parvez; Thodimela, Arunita; Pala, Manya; Thet, Zeyar] Wyckoff Hts Med Ctr, Brooklyn, NY USA; [Ferreira, Gabriel Lora] Houston Methodist Ctr, Med Ctr, Houston, TX USA; [Patel, Chinmay] Univ Pittsburg, Med Ctr, Harrisburg, PA USA; [Pachulski, Roman] St Johns Episcopal Hosp South Shore, South Shore, NY USA; [Hamirani, Yasmin] Rutgers State Univ, Robert Woods Johnson Univ Hosp, New Brusnwick, NJ USA</t>
  </si>
  <si>
    <t>Houston Methodist; Rutgers University System; Rutgers University New Brunswick</t>
  </si>
  <si>
    <t>Seetharam, K (corresponding author), West Virgina Univ, Heart &amp; Vasc Inst, Div Cardiovasc Dis, 1 Med Ctr Dr, Morgantown, WV 26506 USA.</t>
  </si>
  <si>
    <t>skarthik87@yahoo.com</t>
  </si>
  <si>
    <t>Thyagaturu, Harshith/HPC-3776-2023</t>
  </si>
  <si>
    <t>Seetharam, Karthik/0000-0001-8006-6445</t>
  </si>
  <si>
    <t>SPRINGER LONDON LTD</t>
  </si>
  <si>
    <t>236 GRAYS INN RD, 6TH FLOOR, LONDON WC1X 8HL, ENGLAND</t>
  </si>
  <si>
    <t>2193-8261</t>
  </si>
  <si>
    <t>2193-6544</t>
  </si>
  <si>
    <t>CARDIOL THER</t>
  </si>
  <si>
    <t>Cardiol. Ther.</t>
  </si>
  <si>
    <t>10.1007/s40119-024-00368-3</t>
  </si>
  <si>
    <t>QS0G9</t>
  </si>
  <si>
    <t>WOS:001214172600001</t>
  </si>
  <si>
    <t>Johnson, KN; Reyes, CL</t>
  </si>
  <si>
    <t>Johnson, Kristin N.; Reyes, Carla L.</t>
  </si>
  <si>
    <t>EXPLORING THE IMPLICATIONS OF ARTIFICIAL INTELLIGENCE</t>
  </si>
  <si>
    <t>JOURNAL OF INTERNATIONAL AND COMPARATIVE LAW</t>
  </si>
  <si>
    <t>artificial intelligence; ethics; values; policy framework; privacy; bias</t>
  </si>
  <si>
    <t>BIAS; INTERNET; LAWYERS; PRIVACY; RISK</t>
  </si>
  <si>
    <t>Emerging technologies promise to play a transformative role in our society, enabling driverless cars, enhanced accuracy and efficiency in disease mapping, greater and less expensive access to certain consumer services, including consumer financial services. Discussions regarding the role of emerging technologies increasingly center on the development and integration of artificial intelligence technologies or AI-an assemblage of technologies that rely on a variety of computational techniques. This Essay offers a modest primer outlining a general understanding of the contours and contributions of AI, as well as introducing the articulated benefits and limits of these technologies. This Essay examines the increasingly pervasive use of artificial intelligence in society through two key areas of ethical and policy concerns: (i) privacy, surveillance and the appropriate boundaries for machine-human interaction, and (ii) bias and discrimination. As we assess the merits of AI, this Essay embraces the robust and lively debate and raises probing questions initiated by scholars, activists, industry participants, and governments regarding the ethical implications of embracing AI. This Essay encourages adopters of AI to carefully consider the impacts of integrating AI on vulnerable and marginalized groups. To accomplish this goal, this Essay advocates for affected stakeholders to engage in a collaborative, interdisciplinary colloquy examining the consequences of incorporating AI technologies. Finally, this Essay serves as an introduction to a Special Issue dedicated to sharing novel thinking and approaches to address underexplored challenges posed by AI. Addressing a range of issues discussed in the debate regarding the promises and perils of AI, the contributors to this volume offer critical insights, frameworks, and tools for evaluating the issues from the perspectives of diverse stakeholders. This Special Issue seeks to shed light on some of the hidden implications of artificial intelligence on the values, institutions, and structures that form the foundation of a just society.</t>
  </si>
  <si>
    <t>[Johnson, Kristin N.] Emory Law Sch, 1301 Clifton Rd NE, Atlanta, GA 30322 USA; [Reyes, Carla L.] SMU Dedman Sch Law, Storey Hall 311B,3315 Daniel Ave, Dallas, TX 75205 USA</t>
  </si>
  <si>
    <t>Johnson, KN (corresponding author), Emory Law Sch, 1301 Clifton Rd NE, Atlanta, GA 30322 USA.</t>
  </si>
  <si>
    <t>Kristin.Johnson@emory.edu; carla.reyes@smu.edu</t>
  </si>
  <si>
    <t>Reyes, Carla/0000-0002-2448-8309; Johnson, Kristin/0000-0002-3879-6265</t>
  </si>
  <si>
    <t>SWEET &amp; MAXWELL</t>
  </si>
  <si>
    <t>TAIKOO SHING</t>
  </si>
  <si>
    <t>16-F CITYPLAZA 3, TAIKOO SHING, 00000, HONG KONG</t>
  </si>
  <si>
    <t>2313-3775</t>
  </si>
  <si>
    <t>J INT COMP LAW</t>
  </si>
  <si>
    <t>J. Int. Comp. Law</t>
  </si>
  <si>
    <t>XU9BW</t>
  </si>
  <si>
    <t>WOS:000734552100001</t>
  </si>
  <si>
    <t>Ramachandran, KK; Mary, AAS; Hawladar, S; Asokk, D; Bhaskar, B; Pitroda, JR</t>
  </si>
  <si>
    <t>Ramachandran, K. K.; Mary, A. Apsara Saleth; Hawladar, Shibani; Asokk, D.; Bhaskar, Bandi; Pitroda, J. R.</t>
  </si>
  <si>
    <t>Machine learning and role of artificial intelligence in optimizing work performance and employee behavior</t>
  </si>
  <si>
    <t>MATERIALS TODAY-PROCEEDINGS</t>
  </si>
  <si>
    <t>International Conference on Advances in Materials Science (ICAMS)</t>
  </si>
  <si>
    <t>SEP 11-12, 2021</t>
  </si>
  <si>
    <t>Artificial intelligence; Machine learning; Productivity; Employee behaviour; Automation</t>
  </si>
  <si>
    <t>In today's business world, firms are using analytics to diving deeper into their data to improve productivity, acquire a competitive edge, and boost their bottom lines. That is why businesses are eager to integrate machine learning (ML) and artificial intelligence (AI) because they want a faster, more accurate result. In addition, machine learning and artificial intelligence improved productivity by reducing repetitive tasks. As a result, nearly every sector in the world intends to use artificial intelligence and ML. Artificial intelligence and ML have various roles in business, ranging from enhancing employee and customer interactions to discovering patterns in massive amounts of data to automating monotonous activities. The goal is to seize the opportunity that artificial intelligence provides in employee success and productivity. Implementing artificial intelligence and machine learning may be a vital tool for any company seeking quantitative help in their decision-making since it can analyze vast quantities of data and spit forth trend directions and actionable suggestions. AI helps employees and businesses to set and achieve better goals results. This paper highlights the impact of using artificial intelligence and ML to enhance employee behaviour and work outcome. This research also provides insights into artificial intelligence, which will usher in a new era in industry. Copyright (C) 2022 Elsevier Ltd. All rights reserved.</t>
  </si>
  <si>
    <t>[Ramachandran, K. K.] Dr GRD Coll Sci, Management, Coimbatore, Tamil Nadu, India; [Mary, A. Apsara Saleth] Madurai Kamaraj Univ, Ctr Tourism &amp; Hotel Management, Madurai, Tamil Nadu, India; [Hawladar, Shibani; Asokk, D.] BS Abdur Rahman Crescent Inst Sci &amp; Technol, Chennai, Tamil Nadu, India; [Bhaskar, Bandi] SR Univ, Sch Comp Sci &amp; Artificial Intelligence, Warangal, Telangana, India; [Pitroda, J. R.] Gujarat Technol Univ, BVM Engn Coll, Civil Engn Dept, Ahmadabad, Gujarat, India</t>
  </si>
  <si>
    <t>Madurai Kamaraj University; B. S. Abdur Rahman Crescent Institute of Science &amp; Technology; Gujarat Technological University</t>
  </si>
  <si>
    <t>Hawladar, S (corresponding author), BS Abdur Rahman Crescent Inst Sci &amp; Technol, Chennai, Tamil Nadu, India.</t>
  </si>
  <si>
    <t>shibani_mgt@crescent.education; asokk@crescent.education; jayesh.pitroda@bvmengineering.ac.in</t>
  </si>
  <si>
    <t>Dhayalan, Asokk/IQS-8382-2023; K K, Ramachandran/AAJ-8657-2021</t>
  </si>
  <si>
    <t>K K, Ramachandran/0000-0003-0589-4448; Pitroda, Prof. (Dr.) J. R./0000-0002-2869-3158</t>
  </si>
  <si>
    <t>2214-7853</t>
  </si>
  <si>
    <t>MATER TODAY-PROC</t>
  </si>
  <si>
    <t>Mater. Today-Proc.</t>
  </si>
  <si>
    <t>10.1016/j.matpr.2021.11.544</t>
  </si>
  <si>
    <t>Materials Science, Multidisciplinary</t>
  </si>
  <si>
    <t>Materials Science</t>
  </si>
  <si>
    <t>2Q9KI</t>
  </si>
  <si>
    <t>WOS:000820734700029</t>
  </si>
  <si>
    <t>Rizvee, MM; Rahman, MH; Chakraborty, P; Shomaji, S</t>
  </si>
  <si>
    <t>Rizvee, Md Mashfiq; Rahman, Md Hafizur; Chakraborty, Prabuddha; Shomaji, Sumaiya</t>
  </si>
  <si>
    <t>Understanding the Innovations Required for a Green &amp; Secure Artificial Intelligence Paradigm</t>
  </si>
  <si>
    <t>2023 IEEE 16TH DALLAS CIRCUITS AND SYSTEMS CONFERENCE, DCAS</t>
  </si>
  <si>
    <t>16th IEEE Dallas Circuits and Systems Conference (DCAS)</t>
  </si>
  <si>
    <t>APR 14-16, 2023</t>
  </si>
  <si>
    <t>Univ N Texas, Denton, TX</t>
  </si>
  <si>
    <t>IEEE, Dallas Sect,IEEE Circuits &amp; Syst Soc, Dallas Chapter,IEEE Solid State Circuits Soc, Dallas Chapter,IEEE Electron Devices Soc, Dallas Chapter,Univ Texas Dallas,Liquid Instruments,Texas Instruments</t>
  </si>
  <si>
    <t>Univ N Texas</t>
  </si>
  <si>
    <t>Artificial Intelligence; Artificial Intelligence Security; Green Artificial Intelligence</t>
  </si>
  <si>
    <t>Artificial Intelligence (AI) is being widely used in diverse domains such as industrial automation, traffic control, precision agriculture, and smart cities for major heavy lifting in terms of data analysis and decision making. However, the AI life-cycle is a major source of greenhouse gas (GHG) emission leading to devastating environmental impact. This is due to expensive neural architecture searches, training of countless number of models per day across the world, in-field AI processing of data in billions of edge devices, and advanced security measures across the AI life-cycle. In this work, we explore the impact of reckless AI computation on the environment for every stage of the AI life-cycle with deeper dives into specific algorithms via case studies. We also propose a systematic knowledge-guided AI system design framework that leverages past design experiences towards limiting GHG emissions during future AI system design.</t>
  </si>
  <si>
    <t>[Rizvee, Md Mashfiq; Chakraborty, Prabuddha] Univ Kansas, Dept Elect Engn &amp; Comp Sci, Lawrence, KS 66045 USA; [Rahman, Md Hafizur; Shomaji, Sumaiya] Univ Maine, Elect &amp; Comp Engn, Orono, ME 04469 USA</t>
  </si>
  <si>
    <t>University of Kansas; University of Maine System; University of Maine Orono</t>
  </si>
  <si>
    <t>Rizvee, MM (corresponding author), Univ Kansas, Dept Elect Engn &amp; Comp Sci, Lawrence, KS 66045 USA.</t>
  </si>
  <si>
    <t>mashfiq.rizvee@ku.edu; md.hafizur.rahman@maine.edu; prabuddha@maine.edu; shomaji@ku.edu</t>
  </si>
  <si>
    <t>Rahman, Md Hafizur/AFM-9964-2022</t>
  </si>
  <si>
    <t>Rahman, Md Hafizur/0000-0002-1981-6582; Rizvee, Mashfiq/0000-0001-7414-7951</t>
  </si>
  <si>
    <t>979-8-3503-9918-9</t>
  </si>
  <si>
    <t>10.1109/DCAS57389.2023.10130257</t>
  </si>
  <si>
    <t>Engineering, Electrical &amp; Electronic</t>
  </si>
  <si>
    <t>BV4BJ</t>
  </si>
  <si>
    <t>WOS:001027182900030</t>
  </si>
  <si>
    <t>Habes, M; Ali, S; Elareshi, M; Tahat, KM; Ziani, A</t>
  </si>
  <si>
    <t>Habes, Mohammed; Ali, Sana; Elareshi, Mokhtar; Tahat, Khalaf M.; Ziani, Abdulkrim</t>
  </si>
  <si>
    <t>Understanding Users' Social TV Content using Artificial Intelligence Approach: A Survey</t>
  </si>
  <si>
    <t>2021 INTERNATIONAL CONFERENCE OF MODERN TRENDS IN INFORMATION AND COMMUNICATION TECHNOLOGY INDUSTRY (MTICTI 2021)</t>
  </si>
  <si>
    <t>International Conference of Modern Trends in Information and Communication Technology Industry</t>
  </si>
  <si>
    <t>DEC 04-06, 2021</t>
  </si>
  <si>
    <t>Sanaa, YEMEN</t>
  </si>
  <si>
    <t>IEEE Yemen Subsect,Al Razi Univ,Yemen Telecom,YEMENSOFT,TeleYemen,Yemen Post,Sabafon</t>
  </si>
  <si>
    <t>Social TV; Artificial Intelligence; YouTube; sociability; Jordan</t>
  </si>
  <si>
    <t>social networking sits with the rapid technological advancement have changed our concept of TV landscape, as a result of the increased use of artificial intelligence in choosing online content for users' interaction such as Social TV content in YouTube. With the conceptual of sociability, this paper analyzes the impact of artificial intelligence in choosing Social TV content for Jordanian YouTubers. It aims to understand how respondents interact and attitudes towards Social TV content and its sociability based on artificial intelligence tool. Methodologically, a cross-sectional design survey was used with a randomly selected of 300 Jordanian participants currently having YouTube accounts and prefer watching Social TV on YouTube. Data were analyzed using SmartPls approach. Results indicated a strong, positive relationship between interaction, elements, and digital content and artificial intelligence in Social TV content selection. However, the relationship between interaction and Social TV content selection, and artificial intelligence and Social TV content selection is strongly mediated by the YouTubers. Thus, respondents' customization of settings enabled artificial intelligence to choose the Social TV content for them.</t>
  </si>
  <si>
    <t>[Habes, Mohammed] Yarmouk Univ, Dept Radio &amp; TV, Irbid, Jordan; [Ali, Sana] Fatimah Jinnah Women Univ Rawalpindi, Islamabad, Pakistan; [Elareshi, Mokhtar] Al Ain Univ, Coll Commun &amp; Media, Al Ain, U Arab Emirates; [Tahat, Khalaf M.] UAE Univ, Media &amp; Creat Ind Dept, Al Ain, U Arab Emirates; [Ziani, Abdulkrim] Umm Al Quwain Univ, Mass Commun Coll, Umm Al Quwain, U Arab Emirates</t>
  </si>
  <si>
    <t>Yarmouk University; United Arab Emirates University</t>
  </si>
  <si>
    <t>Habes, M (corresponding author), Yarmouk Univ, Dept Radio &amp; TV, Irbid, Jordan.</t>
  </si>
  <si>
    <t>mohammed.habes@yu.edu.jo; sana_leo1990@hotmail.com; mokhtar.elareshi@aac.ac.ae; k.tahat@uaeu.ac.ae; drabdul.karim@uaqu.ac.ae</t>
  </si>
  <si>
    <t>Habes, Mohammed/ABL-9248-2022; Tahat, Khalaf/IVV-7752-2023; Elareshi, Mokhtar/M-1206-2019; ziani, Abdulkrim/JCD-7861-2023</t>
  </si>
  <si>
    <t>Tahat, Khalaf/0000-0002-8730-1978; Elareshi, Mokhtar/0000-0001-5706-3828; ziani, Abdulkrim/0000-0002-5831-7217</t>
  </si>
  <si>
    <t>978-1-6654-1444-9</t>
  </si>
  <si>
    <t>10.1109/MTICTI53925.2021.9664762</t>
  </si>
  <si>
    <t>Computer Science, Information Systems; Telecommunications</t>
  </si>
  <si>
    <t>BT4DA</t>
  </si>
  <si>
    <t>WOS:000828142500001</t>
  </si>
  <si>
    <t>Alonso-rodriguez, AM</t>
  </si>
  <si>
    <t>Alonso-rodriguez, Ana Maria</t>
  </si>
  <si>
    <t>TOWARDS AN ETHICAL FRAMEWORK FOR ARTIFICIAL INTELLIGENCE IN EDUCATION</t>
  </si>
  <si>
    <t>TEORIA DE LA EDUCACION</t>
  </si>
  <si>
    <t>education; artificial intelligence; ethics; ethical codes; ethical framework</t>
  </si>
  <si>
    <t>This article reflects on the use of Artificial Intelligence in education from an ethical perspective. It does so from an external perspective, considering its impact on educational contexts as a breeding ground for the ethical and political challenges that society faces. This allows us to measure their scope and depth and propose actions to address them. The objectives of this article focus on the ethical bases of Artificial Intelligence related to educational activity, seeking to identify: a) the opportunities, associated risks and ethical impact on education; and b) the ethical principles that should guide the development, deployment and use of these intelligent systems. To achieve these objectives, a qualitative study was carried out, supported by a literature review based on the following method: (i) academic works on the current uses and potential risks of Artificial Intelligence and (ii) a comparative analysis of different ethical codes, exploring the convergence of principles applicable to Artificial Intelligence Systems in educational contexts. The results obtained, in the first instance, place the identified problems in the ethical tradition and question the proliferation of subdomains within the discipline. The possibility of a unified ethical framework that avoids the overlap of principles for each specific domain is then investigated. The findings confirm the usefulness of a widely recognized and influential framework with principles that adapt well to the ethical challenges of education. It concludes by indicating potential lines of future research: (I) ethical foundation and normative regulation for the development and use of Artificial Intelligence in education in accordance with the selected principles; and (II) definition of a new professional teaching profile and its implications for initial teacher training.</t>
  </si>
  <si>
    <t>[Alonso-rodriguez, Ana Maria] Univ A Coruna, Ctr Res Philosophy Sci &amp; Technol CIFYT, La Coruna, Spain</t>
  </si>
  <si>
    <t>Universidade da Coruna</t>
  </si>
  <si>
    <t>Alonso-rodriguez, AM (corresponding author), Univ A Coruna, Ctr Res Philosophy Sci &amp; Technol CIFYT, La Coruna, Spain.</t>
  </si>
  <si>
    <t>a.alonsor@udc.es</t>
  </si>
  <si>
    <t>EDICIONES UNIV SALAMANCA</t>
  </si>
  <si>
    <t>SALAMANCA</t>
  </si>
  <si>
    <t>Plaza de San Benito, 2, SALAMANCA, SPAIN</t>
  </si>
  <si>
    <t>1130-3743</t>
  </si>
  <si>
    <t>2386-5660</t>
  </si>
  <si>
    <t>TEOR EDUC</t>
  </si>
  <si>
    <t>Teor. Educ.</t>
  </si>
  <si>
    <t>JUL-DEC</t>
  </si>
  <si>
    <t>10.14201/teri.31821</t>
  </si>
  <si>
    <t>WA9P1</t>
  </si>
  <si>
    <t>WOS:001252267700004</t>
  </si>
  <si>
    <t>Lee, CC; Yan, JY; Wang, FH</t>
  </si>
  <si>
    <t>Lee, Chien-Chiang; Yan, Jingyang; Wang, Fuhao</t>
  </si>
  <si>
    <t>Impact of population aging on food security in the context of artificial intelligence: Evidence from China</t>
  </si>
  <si>
    <t>Artificial intelligence; Rural population aging; Food security; Major grain-selling areas; Moderating effect model</t>
  </si>
  <si>
    <t>AGRICULTURAL COMMODITY; PRICE VOLATILITY; WATER-RESOURCES; ECONOMIC-GROWTH; CROP PRODUCTION; TECHNOLOGY; FARMERS; LABOR; AGE</t>
  </si>
  <si>
    <t>As population aging becomes the new demographic norm in China, its workforce structure is changing, and its demographic dividend is about to disappear. Artificial intelligence (AI) has been experiencing rapid progress in the last few years, and it is becoming an important tool to address the impact and challenges of an aging population. Therefore, this research introduces population aging and artificial intelligence into agricultural production, focusing on the effects of population aging on food security and the function played by artificial intelligence in it. From an empirical study conducted based on provincial panel data, the following conclusions arise. First, population aging in rural China has not negatively impacted food security, so there is no need to be overly pessimistic about the inevitable aging of the rural population. Second, AI has a favorable moderating function on the effects of population aging on food security. Third, the moderating effect of AI is heterogeneous. Compared with other provinces, AI can play a strongly positive moderating effect in central and west regions and major grain-selling areas. Based on the above findings, this paper proposes targeted policy recommendations on protecting food security in the context of artificial intelligence and population aging.</t>
  </si>
  <si>
    <t>[Lee, Chien-Chiang; Yan, Jingyang; Wang, Fuhao] Nanchang Univ, Sch Econ &amp; Management, Nanchang, Peoples R China; [Lee, Chien-Chiang] Nanchang Univ, Res Ctr Cent China Econ &amp; Social Dev, Nanchang, Peoples R China; [Lee, Chien-Chiang] Lebanese Amer Univ, Adnan Kassar Sch Business, Beirut, Lebanon; [Lee, Chien-Chiang] Lucian Blaga Univ Sibiu, Fac Econ Sci, Sibiu, Romania; [Wang, Fuhao] Nankai Univ, Coll Econ &amp; Social Dev, Tianjin, Peoples R China; [Lee, Chien-Chiang] Nanchang Univ, Sch Econ &amp; Management, Nanchang, Jiangxi, Peoples R China</t>
  </si>
  <si>
    <t>Nanchang University; Nanchang University; Lebanese American University; Lucian Blaga University of Sibiu; Nankai University; Nanchang University</t>
  </si>
  <si>
    <t>Lee, Chien-Chiang/AAZ-9983-2020; Wang, Fuhao/GXN-4339-2022</t>
  </si>
  <si>
    <t>Yan, Jingyang/0009-0009-7455-0973; , Fuhao Wang/0000-0002-0991-6766</t>
  </si>
  <si>
    <t>Funding This work was supported by the National Social Science Foundation Key Project of China (No. 22AJL004) .</t>
  </si>
  <si>
    <t>10.1016/j.techfore.2023.123062</t>
  </si>
  <si>
    <t>EL1L1</t>
  </si>
  <si>
    <t>WOS:001138988700001</t>
  </si>
  <si>
    <t>Alsaleh, H</t>
  </si>
  <si>
    <t>Alsaleh, Hadeel</t>
  </si>
  <si>
    <t>The impact of artificial intelligence in the diagnosis and management of acoustic neuroma: A systematic review</t>
  </si>
  <si>
    <t>TECHNOLOGY AND HEALTH CARE</t>
  </si>
  <si>
    <t>Artificial intelligence; diagnosis; acoustic neuroma; impact; management</t>
  </si>
  <si>
    <t>VESTIBULAR SCHWANNOMA; RISK-FACTORS; EPIDEMIOLOGY</t>
  </si>
  <si>
    <t>BACKGROUND: Schwann cell sheaths are the source of benign, slowly expanding tumours known as acoustic neuromas (AN). The diagnostic and treatment approaches for AN must be patient-centered, taking into account unique factors and preferences. OBJECTIVE: The purpose of this study is to investigate how machine learning and artificial intelligence (AI) can revolutionise AN management and diagnostic procedures. METHODS: A thorough systematic review that included peer-reviewed material from public databases was carried out. Publications on AN, AI, and deep learning up until December 2023 were included in the review's purview. RESULTS: Based on our analysis, AI models for volume estimation, segmentation, tumour type differentiation, and separation from healthy tissues have been developed successfully. Developments in computational biology imply that AI can be used effectively in a variety of fields, including quality of life evaluations, monitoring, robotic-assisted surgery, feature extraction, radiomics, image analysis, clinical decision support systems, and treatment planning. CONCLUSION: For better AN diagnosis and treatment, a variety of imaging modalities require the development of strong, flexible AI models that can handle heterogeneous imaging data. Subsequent investigations ought to concentrate on reproducing findings in order to standardise AI approaches, which could transform their use in medical environments.</t>
  </si>
  <si>
    <t>[Alsaleh, Hadeel] Princess Nourah Bint Abdulrahman Univ, Coll Hlth &amp; Rehabil Sci, Dept Hlth Commun Sci, Riyadh, Saudi Arabia</t>
  </si>
  <si>
    <t>Princess Nourah bint Abdulrahman University</t>
  </si>
  <si>
    <t>Alsaleh, H (corresponding author), Princess Nourah Bint Abdulrahman Univ, Coll Hlth &amp; Rehabil Sci, Dept Hlth Commun Sci, Riyadh, Saudi Arabia.</t>
  </si>
  <si>
    <t>HFAlsaleh@pnu.edu.sa</t>
  </si>
  <si>
    <t>Princess Nourah bint Abdulrahman University Researchers Supporting Project [PNURS2024R 284]; Princess Nourah bint Abdulrahman University, Riyadh, Saudi Arabia</t>
  </si>
  <si>
    <t>Princess Nourah bint Abdulrahman University Researchers Supporting Project(Princess Nourah bint Abdulrahman University); Princess Nourah bint Abdulrahman University, Riyadh, Saudi Arabia(Princess Nourah bint Abdulrahman University)</t>
  </si>
  <si>
    <t>This work is funded by Princess Nourah bint Abdulrahman University Researchers Supporting Project number (PNURS2024R 284) , Princess Nourah bint Abdulrahman University, Riyadh, Saudi Arabia. With Regards.</t>
  </si>
  <si>
    <t>0928-7329</t>
  </si>
  <si>
    <t>1878-7401</t>
  </si>
  <si>
    <t>TECHNOL HEALTH CARE</t>
  </si>
  <si>
    <t>Technol. Health Care</t>
  </si>
  <si>
    <t>10.3233/THC-232043</t>
  </si>
  <si>
    <t>Health Care Sciences &amp; Services; Engineering, Biomedical</t>
  </si>
  <si>
    <t>Health Care Sciences &amp; Services; Engineering</t>
  </si>
  <si>
    <t>P1F2V</t>
  </si>
  <si>
    <t>WOS:001375449900001</t>
  </si>
  <si>
    <t>Ali, O; Kallach, L</t>
  </si>
  <si>
    <t>Longo, F; Shen, W; Padovano, A</t>
  </si>
  <si>
    <t>Ali, Omar; Kallach, Layal</t>
  </si>
  <si>
    <t>Artificial Intelligence Enabled Human Resources Recruitment Functionalities: A Scoping Review</t>
  </si>
  <si>
    <t>5TH INTERNATIONAL CONFERENCE ON INDUSTRY 4.0 AND SMART MANUFACTURING, ISM 2023</t>
  </si>
  <si>
    <t>5th International Conference on Industry 4.0 and Smart Manufacturing (ISM)</t>
  </si>
  <si>
    <t>NOV 22-24, 2023</t>
  </si>
  <si>
    <t>Artificial intelligence; human resources; benefits; challenges; functionalities</t>
  </si>
  <si>
    <t>INFORMATION-SYSTEMS; SOCIAL MEDIA; MANAGEMENT; ISSUES; BIAS</t>
  </si>
  <si>
    <t>Human resources information systems have enhanced monitoring, documenting, and recording functions for organizations, and consequently have accelerated swift completion of routine processes. This change demonstrates the critical impact of adopting and using advanced technology such as artificial intelligence in the human resources function; in multiple functional gamut's, particularly in recruitment. This manuscript presents a scoping review of academic articles on the impact of adopting and using artificial intelligence in the human resource management function. The current review draft considered a total of 653 academic articles and aggregated review of 35 articles to present a classification framework with three distinct dimensions: artificial intelligence-enabled human resources benefits, challenges, and functionalities. Implications for future research and their directions are identified in the areas of value-added human services for decision-making, security, and privacy for customer and organization data, monitoring features, and creative IT service delivery models. (c) 2023 The Authors. Published by ELSEVIER B.V.</t>
  </si>
  <si>
    <t>[Ali, Omar; Kallach, Layal] Amer Univ Middle East, Coll Business Adm, Egaila 54200, Kuwait</t>
  </si>
  <si>
    <t>American University of the Middle East</t>
  </si>
  <si>
    <t>Ali, O (corresponding author), Amer Univ Middle East, Coll Business Adm, Egaila 54200, Kuwait.</t>
  </si>
  <si>
    <t>Omar.Ali@aum.edu.kw; Layal.Kallach@aum.edu.kw</t>
  </si>
  <si>
    <t>Kallach, layal/0009-0007-4934-505X</t>
  </si>
  <si>
    <t>10.1016/j.procs.2024.02.142</t>
  </si>
  <si>
    <t>BW7UP</t>
  </si>
  <si>
    <t>WOS:001196800603031</t>
  </si>
  <si>
    <t>Chen, C; Hu, W; Wei, XM</t>
  </si>
  <si>
    <t>Chen, Chen; Hu, Wei; Wei, Xiaomin</t>
  </si>
  <si>
    <t>From anxiety to action: exploring the impact of artificial intelligence anxiety and artificial intelligence self-efficacy on motivated learning of undergraduate students</t>
  </si>
  <si>
    <t>INTERACTIVE LEARNING ENVIRONMENTS</t>
  </si>
  <si>
    <t>Artificial intelligence; AI anxiety; AI self-efficacy; motivated learning; undergraduate students; higher education</t>
  </si>
  <si>
    <t>ATTITUDES; LANGUAGE; OUTCOMES; ENGLISH</t>
  </si>
  <si>
    <t>The rapid development of artificial intelligence (AI) technology, while empowering higher education, has also introduced anxiety and stress among university students. This study examines the impact of AI anxiety on motivated learning and the moderating role of AI self-efficacy. Data were collected from 387 valid questionnaires at a university in China, and the hypotheses were analyzed using SPSS 25.0 and PROCESS plug-in. The results indicate that AI anxiety, encompassing the dimensions of learning, AI configuration, job replacement, and sociotechnical blindness, has a positive impact on motivated learning, and AI self-efficacy positively moderates the relationship between AI learning anxiety and motivated learning. Specifically, AI self-efficacy enhances the positive effect of AI learning anxiety on motivated learning. This study contributes to the existing literature and offers insights for the application of AI in higher education practice.</t>
  </si>
  <si>
    <t>[Chen, Chen; Hu, Wei; Wei, Xiaomin] Anhui Normal Univ, Sch Educ Sci, Wuhu, Peoples R China</t>
  </si>
  <si>
    <t>Anhui Normal University</t>
  </si>
  <si>
    <t>Chen, C (corresponding author), Anhui Normal Univ, Sch Educ Sci, Wuhu, Peoples R China.</t>
  </si>
  <si>
    <t>18817751620@163.com</t>
  </si>
  <si>
    <t>National Social Science Foundation Youth Program Research on Process Tracking and Path Optimization for the Cultivation of Field Engineers in Vocational Education [CJA230285]</t>
  </si>
  <si>
    <t>National Social Science Foundation Youth Program Research on Process Tracking and Path Optimization for the Cultivation of Field Engineers in Vocational Education</t>
  </si>
  <si>
    <t>This research was supported by National Social Science Foundation Youth Program  Research on Process Tracking and Path Optimization for the Cultivation of Field Engineers in Vocational Education (No. CJA230285).</t>
  </si>
  <si>
    <t>1049-4820</t>
  </si>
  <si>
    <t>1744-5191</t>
  </si>
  <si>
    <t>INTERACT LEARN ENVIR</t>
  </si>
  <si>
    <t>Interact. Learn. Environ.</t>
  </si>
  <si>
    <t>2024 DEC 13</t>
  </si>
  <si>
    <t>10.1080/10494820.2024.2440877</t>
  </si>
  <si>
    <t>P6J9V</t>
  </si>
  <si>
    <t>WOS:001378960100001</t>
  </si>
  <si>
    <t>Rider, NL; Srinivasan, R; Khoury, P</t>
  </si>
  <si>
    <t>Rider, Nicholas L.; Srinivasan, Renganathan; Khoury, Paneez</t>
  </si>
  <si>
    <t>Artificial intelligence and the hunt for immunological disorders</t>
  </si>
  <si>
    <t>CURRENT OPINION IN ALLERGY AND CLINICAL IMMUNOLOGY</t>
  </si>
  <si>
    <t>artificial intelligence; biomedical informatics; machine learning; primary immunodeficiency</t>
  </si>
  <si>
    <t>SOCIOECONOMIC-STATUS; HEALTH; DEFINITIONS</t>
  </si>
  <si>
    <t>Purpose of review Artificial intelligence has pervasively transformed many industries and is beginning to shape medical practice. New use cases are being identified in subspecialty domains of medicine and, in particular, application of artificial intelligence has found its way to the practice of allergy-immunology. Here, we summarize recent developments, emerging applications and obstacles to realizing full potential. Recent findings Artificial/augmented intelligence and machine learning are being used to reduce dimensional complexity, understand cellular interactions and advance vaccine work in the basic sciences. In genomics, bioinformatic methods are critical for variant calling and classification. For clinical work, artificial intelligence is enabling disease detection, risk profiling and decision support. These approaches are just beginning to have impact upon the field of clinical immunology and much opportunity exists for further advancement. This review highlights use of computational methods for analysis of large datasets across the spectrum of research and clinical care for patients with immunological disorders. Here, we discuss how big data methods are presently being used across the field clinical immunology.</t>
  </si>
  <si>
    <t>[Rider, Nicholas L.] Texas Childrens Hosp, Houston, TX 77030 USA; [Rider, Nicholas L.] Baylor Coll Med, Houston, TX 77030 USA; [Srinivasan, Renganathan] Vancouver Clin, Vancouver, WA USA; [Khoury, Paneez] NIAID, Lab Parasit Dis, NIH, 9000 Rockville Pike, Bethesda, MD 20892 USA</t>
  </si>
  <si>
    <t>Baylor College of Medicine; Baylor College Medical Hospital; Baylor College of Medicine; National Institutes of Health (NIH) - USA; NIH National Institute of Allergy &amp; Infectious Diseases (NIAID)</t>
  </si>
  <si>
    <t>Rider, NL (corresponding author), Texas Childrens Hosp, Houston, TX 77030 USA.;Rider, NL (corresponding author), Baylor Coll Med, Houston, TX 77030 USA.</t>
  </si>
  <si>
    <t>nlrider@bcm.edu</t>
  </si>
  <si>
    <t>Khoury, Paneez/ABH-1951-2020</t>
  </si>
  <si>
    <t>Jeffrey Modell Foundation</t>
  </si>
  <si>
    <t>We wish to thank the Jeffrey Modell Foundation for grant funding (JMF Translational Grant-58293-I).</t>
  </si>
  <si>
    <t>1528-4050</t>
  </si>
  <si>
    <t>1473-6322</t>
  </si>
  <si>
    <t>CURR OPIN ALLERGY CL</t>
  </si>
  <si>
    <t>Curr. Opin. Allergy Clin. Immunol.</t>
  </si>
  <si>
    <t>10.1097/ACI.0000000000000691</t>
  </si>
  <si>
    <t>Allergy; Immunology</t>
  </si>
  <si>
    <t>OP0UX</t>
  </si>
  <si>
    <t>WOS:000587796100004</t>
  </si>
  <si>
    <t>Karchevskyi, M; Losych, S; Germanov, S</t>
  </si>
  <si>
    <t>Karchevskyi, Mykola; Losych, Serhii; Germanov, Serhii</t>
  </si>
  <si>
    <t>SOCIALIZATION OF ARTIFICIAL INTELLIGENCE AND TRANSHUMANISM: LEGAL AND ECONOMIC ASPECTS</t>
  </si>
  <si>
    <t>BALTIC JOURNAL OF ECONOMIC STUDIES</t>
  </si>
  <si>
    <t>law; transhumanism; artificial intelligence; technological neutrality; informational environment; economic impact</t>
  </si>
  <si>
    <t>The article aims to determine the promising directions for the development of legal regulation in connection with the development of technologies of artificial intelligence and transhumanism and the economic impact of this development. Dangerous forecasts of technological development require analysis of prospects of legal regulation in this area. With the help of the task-method-provision methodology, the perspective tasks of legal regulation are formulated in connection with the hypothesis of artificial intelligence and in the context of the technological development of transhumanism. Legal regulation should ensure maximum diversification of technological choices. Technology should not be limited but, on the contrary, should be as diverse as possible. If the law creates conditions/requirements to create as many different technological solutions as possible, this will effectively prevent the development of negative impacts. The significance of the global problem becomes a question of legal safeguards for the effective development of the information environment. Vast amounts of information accumulated by humanity in a lifetime will require new legal mechanisms. Results. A method of assessing the prospects of legal regulation of social relations related to the use of technologies is proposed. It consists of consistent answers to questions concerning 1) the expediency of banning or regulating certain technologies, 2) the method of regulation, and 3) the ways of ensuring the implementation of norms regulating the development of technologies. The article substantiates the following theses: the impossibility of prohibiting the development of technology, the expediency of legal incentives for the efficient use and minimization of the risks of misuse of technology, the necessity to ensure the maximum diversification of technological solutions, the change of the range of legal professions against the background of the convergence of legal and technical sciences; legal guarantees for the efficient development of the economy and the information environment.</t>
  </si>
  <si>
    <t>[Karchevskyi, Mykola] Luhansk State Univ Internal Affairs, Ivano Frankivsk, Ukraine; [Losych, Serhii; Germanov, Serhii] Donetsk State Univ Internal Affairs, Kropyvnytskyi, Ukraine</t>
  </si>
  <si>
    <t>Didorenko Luhansk State University of Internal Affairs; Donetsk State University of Internal Affairs</t>
  </si>
  <si>
    <t>Karchevskyi, M (corresponding author), Luhansk State Univ Internal Affairs, Ivano Frankivsk, Ukraine.</t>
  </si>
  <si>
    <t>comcriminal@gmail.com; lsv300lsv@gmail.com; germanov110489@gmail.com</t>
  </si>
  <si>
    <t>Losych, Serhii/JQI-1773-2023; Karchevskyi, Mykola/HKW-2757-2023</t>
  </si>
  <si>
    <t>Karchevskyi, Mykola/0000-0002-2693-3592</t>
  </si>
  <si>
    <t>BALTIC JOURNAL ECONOMIC STUDIES</t>
  </si>
  <si>
    <t>RIGA</t>
  </si>
  <si>
    <t>VALDEKU IELA 62-156, RIGA, LV-1058, LATVIA</t>
  </si>
  <si>
    <t>2256-0742</t>
  </si>
  <si>
    <t>2256-0963</t>
  </si>
  <si>
    <t>BALT J ECON STUD</t>
  </si>
  <si>
    <t>Balt. J. Econ. Stud.</t>
  </si>
  <si>
    <t>10.30525/2256-0742/2023-9-1-61-70</t>
  </si>
  <si>
    <t>N6JB4</t>
  </si>
  <si>
    <t>WOS:001038040300008</t>
  </si>
  <si>
    <t>Marti-Bonmati, L; Koh, DM; Riklund, K; Bobowicz, M; Roussakis, Y; Vilanova, JC; Fütterer, JJ; Rimola, J; Mallol, P; Ribas, G; Miguel, A; Tsiknakis, M; Lekadir, K; Tsakou, G</t>
  </si>
  <si>
    <t>Marti-Bonmati, Luis; Koh, Dow-Mu; Riklund, Katrine; Bobowicz, Maciej; Roussakis, Yiannis; Vilanova, Joan C.; Futterer, Jurgen J.; Rimola, Jordi; Mallol, Pedro; Ribas, Gloria; Miguel, Ana; Tsiknakis, Manolis; Lekadir, Karim; Tsakou, Gianna</t>
  </si>
  <si>
    <t>Considerations for artificial intelligence clinical impact in oncologic imaging: an AI4HI position paper</t>
  </si>
  <si>
    <t>INSIGHTS INTO IMAGING</t>
  </si>
  <si>
    <t>Artificial intelligence; Oncologic imaging; Prediction models; Clinical validation</t>
  </si>
  <si>
    <t>END-POINTS</t>
  </si>
  <si>
    <t>To achieve clinical impact in daily oncological practice, emerging AI-based cancer imaging research needs to have clearly defined medical focus, AI methods, and outcomes to be estimated. AI-supported cancer imaging should predict major relevant clinical endpoints, aiming to extract associations and draw inferences in a fair, robust, and trustworthy way. AI-assisted solutions as medical devices, developed using multicenter heterogeneous datasets, should be targeted to have an impact on the clinical care pathway. When designing an AI-based research study in oncologic imaging, ensuring clinical impact in AI solutions requires careful consideration of key aspects, including target population selection, sample size definition, standards, and common data elements utilization, balanced dataset splitting, appropriate validation methodology, adequate ground truth, and careful selection of clinical endpoints. Endpoints may be pathology hallmarks, disease behavior, treatment response, or patient prognosis. Ensuring ethical, safety, and privacy considerations are also mandatory before clinical validation is performed. The Artificial Intelligence for Health Imaging (AI4HI) Clinical Working Group has discussed and present in this paper some indicative Machine Learning (ML) enabled decision-support solutions currently under research in the AI4HI projects, as well as the main considerations and requirements that AI solutions should have from a clinical perspective, which can be adopted into clinical practice. If effectively designed, implemented, and validated, cancer imaging AI-supported tools will have the potential to revolutionize the field of precision medicine in oncology.</t>
  </si>
  <si>
    <t>[Marti-Bonmati, Luis; Mallol, Pedro; Ribas, Gloria; Miguel, Ana] La Fe Polytech, Dept Radiol, Valencia, Spain; [Marti-Bonmati, Luis; Mallol, Pedro; Ribas, Gloria; Miguel, Ana] La Fe Polytech, Biomed Imaging Res Grp GIBI230, Valencia, Spain; [Marti-Bonmati, Luis; Mallol, Pedro; Ribas, Gloria; Miguel, Ana] Univ Hosp, Valencia, Spain; [Marti-Bonmati, Luis; Mallol, Pedro; Ribas, Gloria; Miguel, Ana] Hlth Res Inst, Valencia, Spain; [Koh, Dow-Mu] Royal Marsden Hosp, Dept Radiol, London, England; [Koh, Dow-Mu] Inst Canc Res, Div Radiotherapy &amp; Imaging, London, England; [Koh, Dow-Mu] Royal Marsden NHS Trust, Dept Radiol, London, England; [Riklund, Katrine] Umea Univ, Dept Radiat Sci, Diagnost Radiol, S-90185 Umea, Sweden; [Bobowicz, Maciej] Med Univ Gdansk, Dept Radiol 2, 17 Smoluchowskiego Str, PL-80214 Gdansk, Poland; [Roussakis, Yiannis] German Oncol Ctr, Dept Med Phys, CY-4108 Limassol, Cyprus; [Vilanova, Joan C.] Univ Girona, Dept Radiol, Clin Girona, Inst Diagnost Imaging IDI Girona,Fac Med, Girona, Spain; [Futterer, Jurgen J.] Radboud Univ Nijmegen Med Ctr, Dept Radiol &amp; Nucl Med, Nijmegen, Netherlands; [Rimola, Jordi] Univ Barcelona, CIBERehd, Barcelona Clin Liver Canc BCLC Grp, Dept Radiol,Hosp Clin, Barcelona, Spain; [Tsiknakis, Manolis] FORTH ICS Heraklion, Fdn Res &amp; Technol Hellas, Inst Comp Sci, Computat Biomed Lab CBML, Iraklion, Greece; [Lekadir, Karim] Univ Barcelona, Dept Matemat &amp; Informat, Artificial Intelligence Med Lab BCN AIM, Barcelona, Spain; [Tsakou, Gianna] Maggioli SPA, Res &amp; Dev Lab, Athens, Greece</t>
  </si>
  <si>
    <t>Royal Marsden NHS Foundation Trust; University of London; Institute of Cancer Research - UK; Royal Marsden NHS Foundation Trust; Royal Marsden NHS Foundation Trust; Umea University; Fahrenheit Universities; Medical University Gdansk; Universitat de Girona; Radboud University Nijmegen; CIBER - Centro de Investigacion Biomedica en Red; CIBEREHD; University of Barcelona; Hospital Clinic de Barcelona; IDIBAPS; Foundation for Research &amp; Technology - Hellas (FORTH); University of Barcelona</t>
  </si>
  <si>
    <t>Marti-Bonmati, L (corresponding author), La Fe Polytech, Dept Radiol, Valencia, Spain.;Marti-Bonmati, L (corresponding author), La Fe Polytech, Biomed Imaging Res Grp GIBI230, Valencia, Spain.;Marti-Bonmati, L (corresponding author), Univ Hosp, Valencia, Spain.;Marti-Bonmati, L (corresponding author), Hlth Res Inst, Valencia, Spain.</t>
  </si>
  <si>
    <t>luis_marti@iislafe.es</t>
  </si>
  <si>
    <t>Tsiknakis, Manolis/Z-2114-2019; Marti-Bonmati, Luis/AAF-7107-2020; Koh, Dow-Mu/JEP-2554-2023; Bobowicz, Maciej/E-9911-2011; Ribas-Despuig, Gloria/M-6190-2017; Vilanova, Joan C/H-6104-2015</t>
  </si>
  <si>
    <t>Roussakis, Yiannis/0000-0002-9367-4906; Koh, Dow-Mu/0000-0001-7654-8011; Riklund, Katrine/0000-0001-5227-8117; Bobowicz, Maciej/0000-0002-3608-1960; Vilanova, Joan C/0000-0003-2148-6751</t>
  </si>
  <si>
    <t>European Union [952172, 826494, 952159, 952179, 952103]</t>
  </si>
  <si>
    <t>European Union(European Union (EU))</t>
  </si>
  <si>
    <t>The projects cited in this article have received funding from the European Union's Horizon 2020 Research and Innovation programme under the following grant agreement numbers: Chaimeleon (952172), Primage (826494), ProCAncer-I (952159), Incisive (952179), EUCanImage (952103).</t>
  </si>
  <si>
    <t>1869-4101</t>
  </si>
  <si>
    <t>INSIGHTS IMAGING</t>
  </si>
  <si>
    <t>Insights Imaging</t>
  </si>
  <si>
    <t>MAY 10</t>
  </si>
  <si>
    <t>10.1186/s13244-022-01220-9</t>
  </si>
  <si>
    <t>1C5NC</t>
  </si>
  <si>
    <t>WOS:000793164700003</t>
  </si>
  <si>
    <t>Tariq, MU; Poulin, M; Abonamah, AA</t>
  </si>
  <si>
    <t>Tariq, Muhammad Usman; Poulin, Marc; Abonamah, Abdullah A.</t>
  </si>
  <si>
    <t>Achieving Operational Excellence Through Artificial Intelligence: Driving Forces and Barriers</t>
  </si>
  <si>
    <t>operational excellence; artificial intelligence; driving forces; barriers; artificial intelligence operations</t>
  </si>
  <si>
    <t>BIG DATA; AI; MANAGEMENT; FRAMEWORK; CHALLENGES; LEADERSHIP; NETWORK</t>
  </si>
  <si>
    <t>This paper presents an in-depth literature review on the driving forces and barriers for achieving operational excellence through artificial intelligence (AI). Artificial intelligence is a technological concept spanning operational management, philosophy, humanities, statistics, mathematics, computer sciences, and social sciences. AI refers to machines mimicking human behavior in terms of cognitive functions. The evolution of new technological procedures and advancements in producing intelligence for machines creates a positive impact on decisions, operations, strategies, and management incorporated in the production process of goods and services. Businesses develop various methods and solutions to extract meaningful information, such as big data, automatic production capabilities, and systematization for business improvement. The progress in organizational competitiveness is apparent through improvements in firm's decisions, resulting in increased operational efficiencies. Innovation with AI has enabled small businesses to reduce operating expenses and increase revenues. The focused literature review reveals the driving forces for achieving operational excellence through AI are improvement in computing abilities of machines, development of data-based AI, advancements in deep learning, cloud computing, data management, and integration of AI in operations. The barriers are mainly cultural constraints, fear of the unknown, lack of employee skills, and strategic planning for adopting AI. The current paper presents an analysis of articles focused on AI adoption in production and operations. We selected articles published between 2015 and 2020. Our study contributes to the literature reviews on operational excellence, artificial intelligence, driving forces for AI, and AI barriers in achieving operational excellence.</t>
  </si>
  <si>
    <t>[Tariq, Muhammad Usman; Poulin, Marc; Abonamah, Abdullah A.] Abu Dhabi Sch Management, Abu Dhabi, U Arab Emirates</t>
  </si>
  <si>
    <t>; Tariq, Muhammad Usman/G-3636-2015</t>
  </si>
  <si>
    <t>Poulin, Marc/0000-0001-9222-0112; Tariq, Muhammad Usman/0000-0002-7605-3040</t>
  </si>
  <si>
    <t>Abu Dhabi School of Management</t>
  </si>
  <si>
    <t>Abu Dhabi School of Management will fund the open access publication fees for the current research.</t>
  </si>
  <si>
    <t>JUL 8</t>
  </si>
  <si>
    <t>10.3389/fpsyg.2021.686624</t>
  </si>
  <si>
    <t>TM2JH</t>
  </si>
  <si>
    <t>WOS:000675377200001</t>
  </si>
  <si>
    <t>Gilreath, H</t>
  </si>
  <si>
    <t>Gilreath, Hanna</t>
  </si>
  <si>
    <t>Generative artificial intelligence integrations and applications</t>
  </si>
  <si>
    <t>JOURNAL OF PRINT AND MEDIA TECHNOLOGY RESEARCH</t>
  </si>
  <si>
    <t>generative artificial intelligence; graphic communication; education</t>
  </si>
  <si>
    <t>Generative artificial intelligence (AI) systems are changing the landscape of communication in every capacity. This is seen in written, oral, and visual methods of communication. For educational degree programs such as graphic communication programs, like those found at Clemson and Cal Poly, this is a difficult technology advancement to navigate. Previously, these programs have been a home for creative students' hopeful to pursue a career in a science and creative communication field within the printing or digital media industries. New technology integrating into the classroom daily such as Chat GPT, Adobe Firefly, and Midjourney are quickly changing the education landscape. This leaves students and educators left to answer the questions of how to adapt these new technologies into the classroom and if it should be part of a formal education program. The first step in making these informed decisions is to better understand the attitudes, apprehensions, and level of comfort of students in Clemson and Cal Poly degree programs toward generative AI systems. To collect metrics on these attitudes, a five-point Likert Scale survey that was distributed to students enrolled in Clemson and Cal Poly graphic communication programs has been formulated. The data collected provided clarity that students have a high level of ethical apprehension toward generative AI systems despite adopting the technology in their everyday lives. In addition, the data results provided clarity that students, regardless of class standing, have a high level of fear surrounding job security and the impact that generative Artificial Intelligence will have on the communication job market post-graduation.</t>
  </si>
  <si>
    <t>[Gilreath, Hanna] Clemson Univ, 200 Godfrey Hall, Clemson, SC 29634 USA</t>
  </si>
  <si>
    <t>Clemson University</t>
  </si>
  <si>
    <t>Gilreath, H (corresponding author), Clemson Univ, 200 Godfrey Hall, Clemson, SC 29634 USA.</t>
  </si>
  <si>
    <t>hgibson@clemson.edu</t>
  </si>
  <si>
    <t>INT ASSOC RESEARCH ORGANIZATIONS INFORM, MEDIA &amp; GRAPHIC ARTS IND</t>
  </si>
  <si>
    <t>DARMSTADT</t>
  </si>
  <si>
    <t>INT ASSOC RESEARCH ORGANIZATIONS INFORM, MEDIA &amp; GRAPHIC ARTS IND, DARMSTADT, 00000, GERMANY</t>
  </si>
  <si>
    <t>2223-8905</t>
  </si>
  <si>
    <t>2414-6250</t>
  </si>
  <si>
    <t>J PRINT MEDIA TECHNO</t>
  </si>
  <si>
    <t>J. Print Media Technol. Res.</t>
  </si>
  <si>
    <t>10.14622/JPMTR-2401</t>
  </si>
  <si>
    <t>Imaging Science &amp; Photographic Technology</t>
  </si>
  <si>
    <t>US6M6</t>
  </si>
  <si>
    <t>WOS:001250086400003</t>
  </si>
  <si>
    <t>Bogucka, E; Constantinides, M; Scepanovic, S; Quercia, D</t>
  </si>
  <si>
    <t>Bogucka, Edyta; Constantinides, Marios; Scepanovic, Sanja; Quercia, Daniele</t>
  </si>
  <si>
    <t>AI Design: A Responsible Artificial Intelligence Framework for Prefilling Impact Assessment Reports</t>
  </si>
  <si>
    <t>IEEE INTERNET COMPUTING</t>
  </si>
  <si>
    <t>Artificial intelligence; Stakeholders; Prevention and mitigation; Internet; Prototypes; Companies; Risk mitigation</t>
  </si>
  <si>
    <t>Impact assessment reports for high-risk artificial intelligence (AI) systems will be legally required but challenging to complete, especially for smaller companies. That is because the current process is complex, costly, and relies on guidebooks with limited assistance. We propose AI Design, a semiautomatic framework for prefilling these reports. It consists of two components: 1) StakeLinker, an interactive tool combining various stakeholders' perspectives, and 2) FillGen, a large model-based tool that processes stakeholders' perspectives and produces a report that is reviewed by regulatory experts within a company. We conducted two user studies: the first with 13 AI practitioners who confirmed StakeLinker's effectiveness in gathering comprehensive input for impact assessment; the second with eight additional practitioners who successfully evaluated a report for a crime analysis system prefilled by FillGen. To show its generalizability, we also made the reports for two other AI systems publicly available.</t>
  </si>
  <si>
    <t>[Bogucka, Edyta; Constantinides, Marios; Scepanovic, Sanja; Quercia, Daniele] Nokia Bell Labs, Cambridge CB3 0FA, England</t>
  </si>
  <si>
    <t>Nokia Corporation; Nokia United Kingdom</t>
  </si>
  <si>
    <t>Bogucka, E (corresponding author), Nokia Bell Labs, Cambridge CB3 0FA, England.</t>
  </si>
  <si>
    <t>edyta.bogucka@nokia-bell-labs.com; marios.constantinides@nokia-bell-labs.com; sanja.scepanovic@nokia-bell-labs.com; quercia@cantab.net</t>
  </si>
  <si>
    <t>Scepanovic, Sanja/AAB-1247-2021</t>
  </si>
  <si>
    <t>Constantinides, Marios/0000-0003-1454-0641; scepanovic, sanja/0000-0002-1534-8128; Quercia, Daniele/0000-0001-9461-5804</t>
  </si>
  <si>
    <t>1089-7801</t>
  </si>
  <si>
    <t>1941-0131</t>
  </si>
  <si>
    <t>IEEE INTERNET COMPUT</t>
  </si>
  <si>
    <t>IEEE Internet Comput.</t>
  </si>
  <si>
    <t>10.1109/MIC.2024.3451351</t>
  </si>
  <si>
    <t>Computer Science, Software Engineering</t>
  </si>
  <si>
    <t>O8U9E</t>
  </si>
  <si>
    <t>WOS:001373822100002</t>
  </si>
  <si>
    <t>Shiyyab, FS; Alzoubi, AB; Obidat, QM; Alshurafat, H</t>
  </si>
  <si>
    <t>Shiyyab, Fadi Shehab; Alzoubi, Abdallah Bader; Obidat, Qais Mohammad; Alshurafat, Hashem</t>
  </si>
  <si>
    <t>The Impact of Artificial Intelligence Disclosure on Financial Performance</t>
  </si>
  <si>
    <t>INTERNATIONAL JOURNAL OF FINANCIAL STUDIES</t>
  </si>
  <si>
    <t>artificial intelligence; voluntary disclosure; content analysis; financial performance; banking sector; Jordanian banks</t>
  </si>
  <si>
    <t>CORPORATE GOVERNANCE PRACTICES; NETWORK SIZE; OWNERSHIP; FIRM; TRANSFORMATION; FRAMEWORK; BEHAVIOR; COST</t>
  </si>
  <si>
    <t>This study determines to what extent Jordanian banks refer to and use artificial intelligence (AI) technologies in their operation process and examines the impact of AI-related terms disclosure on financial performance. Content analysis is used to analyze the spread of AI and related information in the annual report textual data. Based on content analysis and regression analysis of data from 115 annual reports for 15 Jordanian banks listed in the Amman Stock Exchange for the period 2014 to 2021, the study reveals a consistent increase in the mention of AI-related terms disclosure since 2014. However, the level of AI-related disclosure remains weak for some banks, suggesting that Jordanian banks are still in the early stages of adopting and implementing AI technologies. The results indicate that AI-related keywords disclosure has an influence on banks' financial performance. AI has a positive effect on accounting performance in terms of ROA and ROE and a negative impact on total expenses, which supports the dominant view that AI improves revenue and reduces cost and is also consistent with past literature findings. This study contributes to the growing body of AI literature, specifically the literature on AI voluntary disclosure, in several aspects. First, it provides an objective measure of the uses of AI by formulating an AI disclosure index that captures the status of AI adoption in practice. Second, it provides insights into the relationship between AI disclosure and financial performance. Third, it supports policymakers', international authorities', and supervisory organizations' efforts to address AI disclosure issues and highlights the need for disclosure guidance requirements. Finally, it provides a contribution to banking sector practitioners who are transforming their operations using AI mechanisms and supports the need for more AI disclosure and informed decision making in a manner that aligns with the objectives of financial institutions.</t>
  </si>
  <si>
    <t>[Shiyyab, Fadi Shehab; Alzoubi, Abdallah Bader; Obidat, Qais Mohammad; Alshurafat, Hashem] Hashemite Univ, Business Sch, Dept Accounting, POB 330127, Zarqa 13133, Jordan</t>
  </si>
  <si>
    <t>Hashemite University</t>
  </si>
  <si>
    <t>Alshurafat, H (corresponding author), Hashemite Univ, Business Sch, Dept Accounting, POB 330127, Zarqa 13133, Jordan.</t>
  </si>
  <si>
    <t>fadi_shiyyab@hu.edu.jo; abdallahb@hu.edu.jo; qais.mf.91@gmail.com; hashema@hu.edu.jo</t>
  </si>
  <si>
    <t>Alshurafat, Hashem/AAU-9800-2020; Shiyyab, Fadi/KTI-2252-2024</t>
  </si>
  <si>
    <t>Alshurafat, Hashem/0000-0002-9514-3826; Shiyyab, Fadi/0000-0001-6303-1312</t>
  </si>
  <si>
    <t>2227-7072</t>
  </si>
  <si>
    <t>INT J FINANC STUD</t>
  </si>
  <si>
    <t>Int. J. Financ. Stud.</t>
  </si>
  <si>
    <t>10.3390/ijfs11030115</t>
  </si>
  <si>
    <t>FJ0M0</t>
  </si>
  <si>
    <t>WOS:001145275200001</t>
  </si>
  <si>
    <t>Lawal, O; Shajihan, SAV; Mechitov, K; Spencer , BF Jr</t>
  </si>
  <si>
    <t>Lawal, Omobolaji; Shajihan, Shaik Althaf Veluthedath; Mechitov, Kirill; Spencer Jr, Billie F.</t>
  </si>
  <si>
    <t>Edge Integration of Artificial Intelligence into Wireless Smart Sensor Platforms for Railroad Bridge Impact Detection</t>
  </si>
  <si>
    <t>SENSORS</t>
  </si>
  <si>
    <t>impact detection; railroad bridge; structural health monitoring; edge implementation; artificial intelligence; machine learning</t>
  </si>
  <si>
    <t>SYSTEM</t>
  </si>
  <si>
    <t>Of the 100,000 railroad bridges in the United States, 50% are over 100 years old. Many of these bridges do not meet the minimum vertical clearance standards, making them susceptible to impact from over-height vehicles. The impact can cause structural damage and unwanted disruption to railroad bridge services; rapid notification of the railroad authorities is crucial to ensure that the bridges are safe for continued use and to affect timely repairs. Therefore, researchers have developed approaches to identify these impacts on railroad bridges. Some recent approaches use machine learning to more effectively identify impacts from the sensor data. Typically, the collected sensor data are transmitted to a central location for processing. However, the challenge with this centralized approach is that the transfer of data to a central location can take considerable time, which is undesirable for time-sensitive events, like impact detection, that require a rapid assessment and response to potential damage. To address the challenges posed by the centralized approach, this study develops a framework for edge implementation of machine-learning predictions on wireless smart sensors. Wireless sensors are used because of their ease of installation and lower costs compared to their wired counterparts. The framework is implemented on the Xnode wireless smart sensor platform, thus bringing artificial intelligence models directly to the sensor nodes and eliminating the need to transfer data to a central location for processing. This framework is demonstrated using data obtained from events on a railroad bridge near Chicago; results illustrate the efficacy of the proposed edge computing framework for such time-sensitive structural health monitoring applications.</t>
  </si>
  <si>
    <t>[Lawal, Omobolaji; Shajihan, Shaik Althaf Veluthedath; Mechitov, Kirill; Spencer Jr, Billie F.] Univ Illinois, Dept Civil &amp; Environm Engn, 205 N Matthews Ave, Urbana, IL 61801 USA</t>
  </si>
  <si>
    <t>University of Illinois System; University of Illinois Urbana-Champaign</t>
  </si>
  <si>
    <t>Spencer , BF Jr (corresponding author), Univ Illinois, Dept Civil &amp; Environm Engn, 205 N Matthews Ave, Urbana, IL 61801 USA.</t>
  </si>
  <si>
    <t>oglawal2@illinois.edu; sav4@illinois.edu; mechitov@illinois.edu; bfs@illinois.edu</t>
  </si>
  <si>
    <t>1424-8220</t>
  </si>
  <si>
    <t>SENSORS-BASEL</t>
  </si>
  <si>
    <t>Sensors</t>
  </si>
  <si>
    <t>10.3390/s24175633</t>
  </si>
  <si>
    <t>Chemistry, Analytical; Engineering, Electrical &amp; Electronic; Instruments &amp; Instrumentation</t>
  </si>
  <si>
    <t>Chemistry; Engineering; Instruments &amp; Instrumentation</t>
  </si>
  <si>
    <t>F7R8E</t>
  </si>
  <si>
    <t>Green Published, gold, Green Submitted</t>
  </si>
  <si>
    <t>WOS:001311754200001</t>
  </si>
  <si>
    <t>Covarrubias, JZL; Enríquez, OAM; Guerrero, MG</t>
  </si>
  <si>
    <t>Covarrubias, Jersain Zadamig Llamas; Enriquez, Olivia Andrea Mendoza; Guerrero, Mario Graff</t>
  </si>
  <si>
    <t>REGULATORY APPROACHES TO ARTIFICIAL INTELLIGENCE (AI)</t>
  </si>
  <si>
    <t>REVISTA CHILENA DE DERECHO</t>
  </si>
  <si>
    <t>Artificial intelligence; regulatory models; algorithmic principles; regulation</t>
  </si>
  <si>
    <t>Artificial intelligence (AI) represents a complex phenomenon whose dimen-sions are difficult to understand in the legal field. The main thesis developed in this article is to know the regulatory modalities to create a solid normative block of multilevel regulation, where diverse regulatory instruments are combined. The general objective is to create a taxo-nomic proposal of the types of rules and regulations in binding and non-binding standards, and the particular objective is to analyze new alternative mechanisms to traditional regulation such as certification, audits, transparency, regulatory test environments, insurance, and algo-rithmic impact assessments, which will help make better decisions on ways to regulate AI.</t>
  </si>
  <si>
    <t>[Covarrubias, Jersain Zadamig Llamas] Univ Guadalajara UdeG, Ave Juarez 976, Guadalajara, Jalisco, Mexico; [Enriquez, Olivia Andrea Mendoza] Ctr Invest &amp; Docencia Econ CIDE, Div Estudios Jurid, Carretera Mexico Toluca 3655, Mexico City, Mexico; [Guerrero, Mario Graff] Ctr Invest Innovac Tecnol Informac &amp; Comunicac, Mexico Comisionado INFO TEC, Circuito Tecnopolo Sur 112, Aguascalientes, Mexico</t>
  </si>
  <si>
    <t>Covarrubias, JZL (corresponding author), Univ Guadalajara UdeG, Ave Juarez 976, Guadalajara, Jalisco, Mexico.</t>
  </si>
  <si>
    <t>jersain.llamas@academicos.udg.mx; andrea.mendoza@cide.edu; mario.graff@infotec.mx</t>
  </si>
  <si>
    <t>PONTIFICA UNIV CATOLICA DE CHILE FACULTAD DE DERECHO</t>
  </si>
  <si>
    <t>SANTIAGO 1</t>
  </si>
  <si>
    <t>AV LIBERATADOR BENARDO O HIGGINS 340, SANTIAGO, CHILE, CASILLA 114-D, SANTIAGO 1, 00000, CHILE</t>
  </si>
  <si>
    <t>0718-3437</t>
  </si>
  <si>
    <t>REV CHIL DERECH-PUCC</t>
  </si>
  <si>
    <t>Rev. Chil. Derecho</t>
  </si>
  <si>
    <t>10.7764/R.493.2</t>
  </si>
  <si>
    <t>G6CI1</t>
  </si>
  <si>
    <t>Green Submitted, hybrid</t>
  </si>
  <si>
    <t>WOS:000990009700003</t>
  </si>
  <si>
    <t>De Felice, F; Petrillo, A; De Luca, C; Baffo, I</t>
  </si>
  <si>
    <t>De Felice, Fabio; Petrillo, Antonella; De Luca, Cristina; Baffo, Ilaria</t>
  </si>
  <si>
    <t>Artificial Intelligence or Augmented Intelligence? Impact on our lives, rights and ethics</t>
  </si>
  <si>
    <t>Artificial Intelligence; economic; social; ethics</t>
  </si>
  <si>
    <t>Artificial Intelligence (AI) is a highly topical issue that opens up opportunities still largely unexplored, but also many economic, ethical and social issues. Questions about AI are many. What does AI include? What are the technologies that support it? What are the applications that are already possible today future? These are the questions we seek to address in the present paper by exploring the main academic sources and reference. Thus, through this research we would like to guide the reader to understand the phenomenon, with an indication of its areas applicability, future developments and questions in the economic, social and ethical sphere that it raises. The manuscript provides a global view of the issue from an international point of view. (C) 2022 The Authors. Published by Elsevier B.V.</t>
  </si>
  <si>
    <t>[De Felice, Fabio] Univ Cassino &amp; Southern Lazio, Via G Di Biasio 43, I-03043 Cassino, Italy; [Petrillo, Antonella; De Luca, Cristina] Univ Napoli Parthenope, Isola C4 Ctr Direz, I-80143 Naples, Italy; [Petrillo, Antonella; De Luca, Cristina] Univ Tuscia Viterbo, Viterbo, Italy</t>
  </si>
  <si>
    <t>University of Cassino; Parthenope University Naples; Tuscia University</t>
  </si>
  <si>
    <t>Petrillo, A (corresponding author), Univ Napoli Parthenope, Isola C4 Ctr Direz, I-80143 Naples, Italy.</t>
  </si>
  <si>
    <t>antonella.petrillo@uniparthenope.it</t>
  </si>
  <si>
    <t>10.1016/j.procs.2022.01.385</t>
  </si>
  <si>
    <t>WOS:000777601300188</t>
  </si>
  <si>
    <t>Ardichvili, A</t>
  </si>
  <si>
    <t>Ardichvili, Alexandre</t>
  </si>
  <si>
    <t>The Impact of Artificial Intelligence on Expertise Development: Implications for HRD</t>
  </si>
  <si>
    <t>ADVANCES IN DEVELOPING HUMAN RESOURCES</t>
  </si>
  <si>
    <t>artificial Intelligence; automation; human-machine interaction; HRD; expertise; machine learning; deep learning</t>
  </si>
  <si>
    <t>DELIBERATE PRACTICE; KNOWLEDGE; EXPLORATION; FUTURE; NOVICE; WORK; JOBS</t>
  </si>
  <si>
    <t>Problem. The implementation of artificial intelligence (AI) is assumed to lead to increased productivity of knowledge workers. However, AI could also have negative effects on the development of professional expertise. Solution. A review of the literature on expertise development is provided, followed by examples of AI implementation in a knowledge-intensive profession, accounting. The analysis of these examples suggests that automation can result in the loss of expertise due to reduced opportunities for learning from deliberate practice and experienced colleagues, and from working on progressively more complex tasks. Implications for human resource development (HRD) include creating alternative individual development opportunities and promoting organizational cultures conducive to expertise development in human-machine interaction modes. Stakeholders. The results of this study will be of interest to scholars of HRD, accounting education, and human-machine interaction. Practical implications will be of relevance to HRD professionals and managers responsible for the implementation of artificial intelligence solutions.</t>
  </si>
  <si>
    <t>[Ardichvili, Alexandre] Univ Minnesota, HRD, Minneapolis, MN 55455 USA; [Ardichvili, Alexandre] Univ Minnesota, Leadership &amp; Adult Career Dev, Minneapolis, MN 55455 USA</t>
  </si>
  <si>
    <t>University of Minnesota System; University of Minnesota Twin Cities; University of Minnesota System; University of Minnesota Twin Cities</t>
  </si>
  <si>
    <t>Ardichvili, A (corresponding author), Univ Minnesota, 178 Pleasant St SE,Burton Hall 254, Minneapolis, MN 55455 USA.</t>
  </si>
  <si>
    <t>Ardic001@UMN.EDU</t>
  </si>
  <si>
    <t>Ardichvili, Alexandre/0000-0002-5847-3922</t>
  </si>
  <si>
    <t>1523-4223</t>
  </si>
  <si>
    <t>1552-3055</t>
  </si>
  <si>
    <t>ADV DEV HUM RESOUR</t>
  </si>
  <si>
    <t>Adv. Dev. Hum. Resour.</t>
  </si>
  <si>
    <t>10.1177/15234223221077304</t>
  </si>
  <si>
    <t>Industrial Relations &amp; Labor</t>
  </si>
  <si>
    <t>0J1ME</t>
  </si>
  <si>
    <t>WOS:000779870700002</t>
  </si>
  <si>
    <t>Khan, M; Banerjee, S; Muskawad, S; Maity, R; Chowdhury, SR; Ejaz, R; Kuuzie, E; Satnarine, T</t>
  </si>
  <si>
    <t>Khan, Maham; Banerjee, Sandipta; Muskawad, Sakshi; Maity, Rick; Chowdhury, Shubhayu Roy; Ejaz, Rida; Kuuzie, Ekins; Satnarine, Travis</t>
  </si>
  <si>
    <t>The Impact of Artificial Intelligence on Allergy Diagnosis and Treatment</t>
  </si>
  <si>
    <t>CURRENT ALLERGY AND ASTHMA REPORTS</t>
  </si>
  <si>
    <t>Artificial Intelligence; Allergy; Healthcare; Disease; Diagnosis</t>
  </si>
  <si>
    <t>ASTHMA ASCERTAINMENT; ADVERSE EVENTS; NEURAL-NETWORK; CLASSIFICATION; IDENTIFICATION; ANAPHYLAXIS; VALIDATION</t>
  </si>
  <si>
    <t>Purpose of ReviewArtificial intelligence (AI), be it neuronal networks, machine learning or deep learning, has numerous beneficial effects on healthcare systems; however, its potential applications and diagnostic capabilities for immunologic diseases have yet to be explored. Understanding AI systems can help healthcare workers better assimilate artificial intelligence into their practice and unravel its potential in diagnostics, clinical research, and disease management.Recent FindingsWe reviewed recent advancements in AI systems and their integration in healthcare systems, along with their potential benefits in the diagnosis and management of diseases. We explored machine learning as employed in allergy diagnosis and its learning patterns from patient datasets, as well as the possible advantages of using AI in the field of research related to allergic reactions and even remote monitoring. Considering the ethical challenges and privacy concerns raised by clinicians and patients with regard to integrating AI in healthcare, we explored the new guidelines adapted by regulatory bodies. Despite these challenges, AI appears to have been successfully incorporated into various healthcare systems and is providing patient-centered solutions while simultaneously assisting healthcare workers.SummaryArtificial intelligence offers new hope in the field of immunologic disease diagnosis, monitoring, and management and thus has the potential to revolutionize healthcare systems.</t>
  </si>
  <si>
    <t>[Khan, Maham] Fatima Jinnah Med Univ, Lahore, Pakistan; [Banerjee, Sandipta] Kolkata Med Coll &amp; Hosp, Kolkata, West Bengal, India; [Muskawad, Sakshi] Anna Med Coll, Montagne Blanche, Mauritius; [Maity, Rick] Inst Post Grad Med Educ &amp; Res, Kolkata, West Bengal, India; [Chowdhury, Shubhayu Roy] Bharati Vidyapeeth Med Coll, Pune, India; [Ejaz, Rida] Shifa Coll Med, Islamabad, Pakistan; [Kuuzie, Ekins] Ankaful Psychiat Hosp, Cape Coast, Ghana; [Satnarine, Travis] Univ Miami, Miller Sch Med, Miami, FL USA</t>
  </si>
  <si>
    <t>Institute of Post Graduate Medical Education &amp; Research (IPGMER), Kolkata; Bharati Vidyapeeth Deemed University; Shifa College of Medicine; University of Miami</t>
  </si>
  <si>
    <t>Khan, M (corresponding author), Fatima Jinnah Med Univ, Lahore, Pakistan.</t>
  </si>
  <si>
    <t>mahamur12@gmail.com; totaibanerjee@gmail.com; sakshi.muskawad@gmail.com; rickmaity98@gmail.com; shubhayurc98@gmail.com; ridaejaz92@gmail.com; kuuzieekins@gmail.com; satnarine.research@gmail.com</t>
  </si>
  <si>
    <t>Satnarine, Travis/AID-2897-2022; Khan, Maham/KVZ-0428-2024; Maity, Rick/KHT-6760-2024</t>
  </si>
  <si>
    <t>Roy Chowdhury, Shubhayu/0009-0005-0338-0461; Maity, Rick/0009-0003-5316-2329; Banerjee, Sandipta/0000-0001-7024-1596</t>
  </si>
  <si>
    <t>CURRENT MEDICINE GROUP</t>
  </si>
  <si>
    <t>400 MARKET STREET, STE 700, PHILADELPHIA, PA 19106 USA</t>
  </si>
  <si>
    <t>1529-7322</t>
  </si>
  <si>
    <t>1534-6315</t>
  </si>
  <si>
    <t>CURR ALLERGY ASTHM R</t>
  </si>
  <si>
    <t>Curr. Allergy Asthma Rep.</t>
  </si>
  <si>
    <t>10.1007/s11882-024-01152-y</t>
  </si>
  <si>
    <t>YK4J3</t>
  </si>
  <si>
    <t>WOS:001260428500001</t>
  </si>
  <si>
    <t>Barreiro-Ares, A; Morales-Santiago, A; Sendra-Portero, F; Souto-Bayarri, M</t>
  </si>
  <si>
    <t>Barreiro-Ares, Andres; Morales-Santiago, Annia; Sendra-Portero, Francisco; Souto-Bayarri, Miguel</t>
  </si>
  <si>
    <t>Impact of the Rise of Artificial Intelligence in Radiology: What Do Students Think?</t>
  </si>
  <si>
    <t>medical students; radiology; artificial intelligence</t>
  </si>
  <si>
    <t>COVID-19</t>
  </si>
  <si>
    <t>The rise of artificial intelligence (AI) in medicine, and particularly in radiology, is becoming increasingly prominent. Its impact will transform the way the specialty is practiced and the current and future education model. The aim of this study is to analyze the perception that undergraduate medical students have about the current situation of AI in medicine, especially in radiology. A survey with 17 items was distributed to medical students between 3 January to 31 March 2022. Two hundred and eighty-one students correctly responded the questionnaire; 79.3% of them claimed that they knew what AI is. However, their objective knowledge about AI was low but acceptable. Only 24.9% would choose radiology as a specialty, and only 40% of them as one of their first three options. The applications of this technology were valued positively by most students, who give it an important Support Role, without fear that the radiologist will be replaced by AI (79.7%). The majority (95.7%) agreed with the need to implement well-established ethical principles in AI, and 80% valued academic training in AI positively. Surveyed medical students have a basic understanding of AI and perceive it as a useful tool that will transform radiology.</t>
  </si>
  <si>
    <t>[Barreiro-Ares, Andres; Morales-Santiago, Annia; Souto-Bayarri, Miguel] Univ Santiago Compostela, Sch Med, Dept Radiol, CHUS IDIS,Inst Invest Sanitaria Santiago, Santiago De Compostela 15782, Spain; [Sendra-Portero, Francisco] Univ Malaga, Sch Med, Dept Radiol &amp; Phys Med, Malaga 29010, Spain</t>
  </si>
  <si>
    <t>Universidade de Santiago de Compostela; Universidad de Malaga</t>
  </si>
  <si>
    <t>Barreiro-Ares, A (corresponding author), Univ Santiago Compostela, Sch Med, Dept Radiol, CHUS IDIS,Inst Invest Sanitaria Santiago, Santiago De Compostela 15782, Spain.;Sendra-Portero, F (corresponding author), Univ Malaga, Sch Med, Dept Radiol &amp; Phys Med, Malaga 29010, Spain.</t>
  </si>
  <si>
    <t>abarreiroares@gmail.com; sendra@uma.es</t>
  </si>
  <si>
    <t>10.3390/ijerph20021589</t>
  </si>
  <si>
    <t>7Z1XV</t>
  </si>
  <si>
    <t>WOS:000915358700001</t>
  </si>
  <si>
    <t>Ghotbi, N; Ho, MT</t>
  </si>
  <si>
    <t>Ghotbi, Nader; Ho, Manh Tung</t>
  </si>
  <si>
    <t>Moral Awareness of College Students Regarding Artificial Intelligence</t>
  </si>
  <si>
    <t>Artificial Intelligence (AI); Emotional AI (EAI); Ethics of technology; Japan; Moral awareness; Medical education</t>
  </si>
  <si>
    <t>To evaluate the moral awareness of college students regarding artificial intelligence (AI) systems, we have examined 467 surveys collected from 152 Japanese and 315 non-Japanese students in an international university in Japan. The students were asked to choose a most significant moral problem of AI applications in the future from a list of ten ethical issues and to write an essay about it. The results show that most of the students (n = 269, 58%) considered unemployment to be the major ethical issue related to AI. The second largest group of students (n = 54, 12%) was concerned with ethical issues related to emotional AI, including the impact of AI on human behavior and emotion and robots' rights and emotions. A relatively small number of students referred to the risk of social control by AI (6%), AI discrimination (6%), increasing inequality (5%), loss of privacy (4%), AI mistakes (3%), malicious AI (3%), and AI security breaches (3%). Calculation of the z score for two population proportions shows that Japanese students were much less concerned about AI control of society (- 3.1276, p &lt; 0.01) than non-Japanese students, but more concerned about discrimination (2.2757, p &lt; 0.05). Female students were less concerned about unemployment (- 2.6108, p &lt; 0.01) than males, but more concerned about discrimination (2.4333, p &lt; 0.05). The study concludes that the moral awareness of college students regarding AI technologies is quite limited and recommends including the ethics of AI in the curriculum.</t>
  </si>
  <si>
    <t>[Ghotbi, Nader; Ho, Manh Tung] Ritsumeikan Asia Pacific Univ, Beppu, Oita, Japan; [Ho, Manh Tung] Phenikaa Univ, Ctr Interdisciplinary Social Res, Hanoi, Vietnam</t>
  </si>
  <si>
    <t>Ritsumeikan Asia Pacific University</t>
  </si>
  <si>
    <t>Ghotbi, N (corresponding author), Ritsumeikan Asia Pacific Univ, Beppu, Oita, Japan.</t>
  </si>
  <si>
    <t>nader@apu.ac.jp; tung.homanh@phenikaa-uni.edu.vn</t>
  </si>
  <si>
    <t>Tung, Ho/J-4581-2019</t>
  </si>
  <si>
    <t>Ho, Tung/0000-0002-4432-9081</t>
  </si>
  <si>
    <t>JST-UKRI Joint Call on Artificial Intelligence and Society (2019)</t>
  </si>
  <si>
    <t>JST-UKRI Joint Call on Artificial Intelligence and Society (2019)(UK Research &amp; Innovation (UKRI))</t>
  </si>
  <si>
    <t>This study received support from Emotional AI in Cities: Cross Cultural Lessons from UK and Japan on Designing for an Ethical Life funded by JST-UKRI Joint Call on Artificial Intelligence and Society (2019).</t>
  </si>
  <si>
    <t>10.1007/s41649-021-00182-2</t>
  </si>
  <si>
    <t>WA1PW</t>
  </si>
  <si>
    <t>WOS:000692679400001</t>
  </si>
  <si>
    <t>Hopkins, JJ; Keane, PA; Balaskas, K</t>
  </si>
  <si>
    <t>Jill Hopkins, J.; Keane, Pearse A.; Balaskas, Konstantinos</t>
  </si>
  <si>
    <t>Delivering personalized medicine in retinal care: from artificial intelligence algorithms to clinical application</t>
  </si>
  <si>
    <t>artificial intelligence; deep learning; personalized health care</t>
  </si>
  <si>
    <t>DIABETIC-RETINOPATHY; COST-EFFECTIVENESS; CLASSIFICATION; PROFESSIONALS; PERFORMANCE; VALIDATION; SYSTEM</t>
  </si>
  <si>
    <t>Purpose of review To review the current status of artificial intelligence systems in ophthalmology and highlight the steps required for clinical translation of artificial intelligence into personalized health care (PHC) in retinal disease. Recent findings Artificial intelligence systems for ophthalmological application have made rapid advances, but are yet to attain a state of technical maturity that allows their adoption into real-world settings. There remains an 'artificial intelligence chasm' in the spheres of validation, regulation, safe implementation, and demonstration of clinical impact that needs to be bridged before the full potential of artificial intelligence to deliver PHC can be realized. Summary Ophthalmology is currently in a stage between the demonstration of the potential of artificial intelligence and widespread deployment. Next stages include aggregating and curating datasets, training and validating artificial intelligence systems, establishing the regulatory framework, implementation and adoption with ongoing evaluation and model adjustment, and finally, meaningful human-artificial intelligence interaction with clinically validated tools that have demonstrated measurable impact on patient and healthcare system outcomes. Ophthalmologists should leverage the ability of artificial intelligence systems to glean insights from large volumes of multivariate data, and to interpret artificial intelligence recommendations in a clinical context. In doing so, the field will be well positioned to lead the transformation of health care in a personalized direction. Video abstract .</t>
  </si>
  <si>
    <t>[Jill Hopkins, J.] Genentech Inc, Ophthalmol Personalized Healthcare, San Francisco, CA 94080 USA; [Keane, Pearse A.; Balaskas, Konstantinos] Moorfields Eye Hosp NHS Fdn Trust, London, England; [Keane, Pearse A.] UCL, CInstitute Ophthalmol, London, England</t>
  </si>
  <si>
    <t>Roche Holding; Genentech; Roche Holding USA; University of London; University College London; Moorfields Eye Hospital NHS Foundation Trust; University of London; University College London</t>
  </si>
  <si>
    <t>Hopkins, JJ (corresponding author), Genentech Inc, 1 DNA Way,MS407b, San Francisco, CA 94080 USA.</t>
  </si>
  <si>
    <t>hopkins.jill@gene.com</t>
  </si>
  <si>
    <t>Balaskas, Konstantinos/ABD-5979-2020; Keane, Pearse/AAE-5709-2019</t>
  </si>
  <si>
    <t>Keane, Pearse/0000-0002-9239-745X</t>
  </si>
  <si>
    <t>Genentech, Inc.; FLF [MR/T019050/1] Funding Source: UKRI; ISCF [MC_PC_19005] Funding Source: UKRI</t>
  </si>
  <si>
    <t>Genentech, Inc.(Roche HoldingGenentech); FLF(UK Research &amp; Innovation (UKRI)); ISCF(UK Research &amp; Innovation (UKRI))</t>
  </si>
  <si>
    <t>Funding was provided by Genentech, Inc. for the study and third-party writing assistance, which was provided by Dinakar Sambandan, PhD, of Envision Pharma Group.</t>
  </si>
  <si>
    <t>10.1097/ICU.0000000000000677</t>
  </si>
  <si>
    <t>WOS:000570190900005</t>
  </si>
  <si>
    <t>Tang, XQ; Yan, XP; Chang, JB; Zhao, MH</t>
  </si>
  <si>
    <t>Tang, Xiaoqing; Yan, Xiupeng; Chang, Junbiao; Zhao, Minghui</t>
  </si>
  <si>
    <t>Research and Application of Artificial Intelligence and Big Data in Infectious Disease Prevention and Control</t>
  </si>
  <si>
    <t>infectious disease; artificial intelligence; big data; prevention and control; warning system</t>
  </si>
  <si>
    <t>With the continuous spread and globalization of infectious diseases, infectious disease prevention and control has become an important task for both countries and the world. Traditional infectious disease monitoring methods often rely on manual collection and analysis of data, which is inefficient and easily limited by human errors. However, the development of artificial intelligence and big data technology has provided new opportunities for infectious disease prevention and control. This article introduces the application of artificial intelligence in infectious disease monitoring. By using artificial intelligence algorithms and models, real-time monitoring and analysis of infectious disease data can be carried out, predicting the spread trend and risk of infectious diseases. This helps to detect and report infectious disease outbreaks, thus taking corresponding prevention and control measures and reducing the spread and impact of the epidemic. At the same time, this article explores the application of big data in infectious disease prevention and control. By using big data technology, in-depth mining and analysis of patient case data, virus gene sequences, transmission chain information, and other data can be carried out to discover the characteristics and patterns of infectious diseases, and be used to build an infectious disease warning system to predict and prevent the occurrence of infectious diseases in advance. Finally, this article discusses the application cases of artificial intelligence and big data in infectious disease prevention and control. By combining artificial intelligence and big data technology, the entire process of monitoring and management of infectious diseases can be achieved.</t>
  </si>
  <si>
    <t>[Tang, Xiaoqing; Yan, Xiupeng] Henan Mengyun Intelligent Technol Co Ltd, Hebi, Peoples R China; [Chang, Junbiao] Zhengzhou Univ, Coll Chem, Zhengzhou, Peoples R China; [Zhao, Minghui] China Coal Technol &amp; Engn Grp Shanghai Co Ltd, Shanghai, Peoples R China</t>
  </si>
  <si>
    <t>Zhengzhou University</t>
  </si>
  <si>
    <t>Zhao, MH (corresponding author), China Coal Technol &amp; Engn Grp Shanghai Co Ltd, Shanghai, Peoples R China.</t>
  </si>
  <si>
    <t>xiaoqingtang@126.com; yiliangcheng@foxmail.com; Changjunbiao@zzun.edu.cn; 15900737279@126.com</t>
  </si>
  <si>
    <t>Tang, Xiao-Qing/J-9907-2012</t>
  </si>
  <si>
    <t>10.1109/ICAIBD62003.2024.10604633</t>
  </si>
  <si>
    <t>WOS:001291266000017</t>
  </si>
  <si>
    <t>Tian, LH; Li, X; Lee, CW; Spulbar, C</t>
  </si>
  <si>
    <t>Tian, Lihui; Li, Xin; Lee, Cheng-Wen; Spulbar, Cristi</t>
  </si>
  <si>
    <t>Investigating the asymmetric impact of artificial intelligence on renewable energy under climate policy uncertainty</t>
  </si>
  <si>
    <t>ENERGY ECONOMICS</t>
  </si>
  <si>
    <t>Artificial intelligence; Climate policy uncertainty; Energy transition</t>
  </si>
  <si>
    <t>CONSUMPTION; CHINA</t>
  </si>
  <si>
    <t>The focus on sustainable development and the transition to renewable energy sources has intensified due to the risks associated with climate change. This study provides new insights into the impact of artificial intelligence (AI) and climate policy uncertainty (CPU) on the development of renewable energy (RE) in China. Utilizing a nonlinear autoregressive distributed lag (NARDL) framework, the asymmetric relationship between these variables from January 2013 to April 2023 is revealed. The empirical results indicate a significant positive asymmetric effect of AI on RE development, with downturns in AI having a more pronounced influence compared to upswings. Additionally, CPU has a positive effect on RE development, also exhibiting an asymmetric pattern where declines in CPU have a more substantial impact than upturns. These findings highlight the critical roles of AI and CPU in renewable energy development and add new dimensions to existing research. Policymakers should consider these asymmetric dynamics when formulating strategies to facilitate the energy transition through climate policymaking and the advancement of AI-driven technologies.</t>
  </si>
  <si>
    <t>[Tian, Lihui; Li, Xin] Nankai Univ, Inst Finance &amp; Dev, Tianjin, Peoples R China; [Lee, Cheng-Wen] Chung Yuan Christian Univ, Coll Business, Dept Int Business, Taoyuan, Taiwan; [Spulbar, Cristi] Univ Craiova, Fac Econ &amp; Business Adm, Craiova, Romania</t>
  </si>
  <si>
    <t>Nankai University; Chung Yuan Christian University; University of Craiova</t>
  </si>
  <si>
    <t>Li, X (corresponding author), Nankai Univ, Inst Finance &amp; Dev, Tianjin, Peoples R China.</t>
  </si>
  <si>
    <t>LTian@nankai.edu.cn; xinli-hsin@outlook.com; chengwen@cycu.edu.tw</t>
  </si>
  <si>
    <t>Spulbar, Cristi/AAL-1451-2020</t>
  </si>
  <si>
    <t>Spulbar, Cristi/0000-0002-3909-9496</t>
  </si>
  <si>
    <t>0140-9883</t>
  </si>
  <si>
    <t>1873-6181</t>
  </si>
  <si>
    <t>ENERG ECON</t>
  </si>
  <si>
    <t>Energy Econ.</t>
  </si>
  <si>
    <t>10.1016/j.eneco.2024.107809</t>
  </si>
  <si>
    <t>C3Y1S</t>
  </si>
  <si>
    <t>WOS:001288742000001</t>
  </si>
  <si>
    <t>Havrda, M; Klocek, A</t>
  </si>
  <si>
    <t>Havrda, Marek; Klocek, Adam</t>
  </si>
  <si>
    <t>Well-being impact assessment of artificial intelligence-A search for causality and proposal for an open platform for well-being impact assessment of AI systems</t>
  </si>
  <si>
    <t>EVALUATION AND PROGRAM PLANNING</t>
  </si>
  <si>
    <t>Artificial intelligence; Well-being; Impact assessment; Causality; Open science; Complexity</t>
  </si>
  <si>
    <t>IDENTIFICATION; VALIDATION; MECHANISMS</t>
  </si>
  <si>
    <t>In recent years, the well-being impact assessment approach has been applied in the area of Artificial Intelligence (AI). Existing well-being frameworks and tools provide a relevant starting point. Taking into account its multidimensional nature, well-being assessment is well suited to assess both the expected positive effects of the technology as well as unintended negative consequences. To-date the establishment of causal links mostly stems from intuitive causal models. Such approaches neglect the fact that to prove causal links between the operation of an AI system and observed effects is difficult due to the immense complexity of the socio-technical context. This article aims at providing a framework for ascertaining the attribution of effects of observed impact of AI on well-being. An elaborated approach to impact assessment potentially enabling causal inferences is demonstrated. Furthermore, a new Open Platform for Well-Being Impact Assessment of AI systems (OPIA) is introduced, which is based on a distributed community to build reproducible evidence through effective identification, refinement, iterative testing, and cross-validation of expected causal structures.</t>
  </si>
  <si>
    <t>[Havrda, Marek] GoodAI, Prague, Czech Republic; [Klocek, Adam] SCHOLA EMPIR ZS, Blanicka 25, Prague, Czech Republic; [Klocek, Adam] Czech Acad Sci, Inst Psychol, Hybernska 1000-8, Prague 11000, Czech Republic; [Havrda, Marek] GoodAI, Petynce 213-23b, Prague 16900, Czech Republic</t>
  </si>
  <si>
    <t>Czech Academy of Sciences; Institute of Psychology of the Czech Academy of Sciences</t>
  </si>
  <si>
    <t>Havrda, M (corresponding author), GoodAI, Petynce 213-23b, Prague 16900, Czech Republic.</t>
  </si>
  <si>
    <t>marekhavrda1@gmail.com</t>
  </si>
  <si>
    <t>Klocek, Adam/AAM-8030-2021</t>
  </si>
  <si>
    <t>0149-7189</t>
  </si>
  <si>
    <t>1873-7870</t>
  </si>
  <si>
    <t>EVAL PROGRAM PLANN</t>
  </si>
  <si>
    <t>Eval. Program Plan.</t>
  </si>
  <si>
    <t>10.1016/j.evalprogplan.2023.102294</t>
  </si>
  <si>
    <t>MAY 2023</t>
  </si>
  <si>
    <t>I3BG0</t>
  </si>
  <si>
    <t>WOS:001001561000001</t>
  </si>
  <si>
    <t>Zhu, WW; Wang, X; Gao, W</t>
  </si>
  <si>
    <t>Zhu, Wenwu; Wang, Xin; Gao, Wen</t>
  </si>
  <si>
    <t>Multimedia Intelligence: When Multimedia Meets Artificial Intelligence</t>
  </si>
  <si>
    <t>IEEE TRANSACTIONS ON MULTIMEDIA</t>
  </si>
  <si>
    <t>Streaming media; Machine learning; Hidden Markov models; Cognition; Videos; Data models; Multimedia artificial intelligence; reasoning in multimedia</t>
  </si>
  <si>
    <t>RECOGNITION; VIDEO</t>
  </si>
  <si>
    <t>Owing to the rich emerging multimedia applications and services in the past decade, super large amount of multimedia data has been produced for the purpose of advanced research in multimedia. Furthermore, multimedia research has made great progress on image/video content analysis, multimedia search and recommendation, multimedia streaming, multimedia content delivery etc. At the same time, Artificial Intelligence (AI) has undergone a new wave of development since being officially regarded as an academic discipline in 1950s, which should give credits to the extreme success of deep learning. Thus, one question naturally arises: What happens when multimedia meets Artificial Intelligence? To answer this question, we introduce the concept of Multimedia Intelligence through investigating the mutual-influence between multimedia and Artificial Intelligence. We explore the mutual influences between multimedia and Artificial Intelligence from two aspects: i) multimedia drives Artificial Intelligence to experience a paradigm shift towards more explainability and ii) Artificial Intelligence in turn injects new ways of thinking for multimedia research. As such, these two aspects form a loop in which multimedia and Artificial Intelligence interactively enhance each other. In this paper, we discuss what and how efforts have been done in literature and share our insights on research directions that deserve further study to produce potentially profound impact on multimedia intelligence.</t>
  </si>
  <si>
    <t>[Zhu, Wenwu; Wang, Xin] Tsinghua Univ, Dept Comp Sci &amp; Technol, Beijing 100084, Peoples R China; [Gao, Wen] Peking Univ, Sch Elect Engn &amp; Comp Sci, Beijing 100871, Peoples R China</t>
  </si>
  <si>
    <t>Tsinghua University; Peking University</t>
  </si>
  <si>
    <t>Wang, X (corresponding author), Tsinghua Univ, Dept Comp Sci &amp; Technol, Beijing 100084, Peoples R China.;Gao, W (corresponding author), Peking Univ, Sch Elect Engn &amp; Comp Sci, Beijing 100871, Peoples R China.</t>
  </si>
  <si>
    <t>wwzhu@tsinghua.edu.cn; xin_wang@tsinghua.edu.cn; wgao@pku.edu.cn</t>
  </si>
  <si>
    <t>Wang, Xin/0000-0002-0351-2939</t>
  </si>
  <si>
    <t>National Natural Science Foundation of China [U1611461]</t>
  </si>
  <si>
    <t>National Natural Science Foundation of China(National Natural Science Foundation of China (NSFC))</t>
  </si>
  <si>
    <t>This work is supported by the National Natural Science Foundation of China Major Project No. U1611461. This is an invited paper in the special issue of Multimedia Computing with Interpretable Machine Learning.</t>
  </si>
  <si>
    <t>1520-9210</t>
  </si>
  <si>
    <t>1941-0077</t>
  </si>
  <si>
    <t>IEEE T MULTIMEDIA</t>
  </si>
  <si>
    <t>IEEE Trans. Multimedia</t>
  </si>
  <si>
    <t>10.1109/TMM.2020.2969791</t>
  </si>
  <si>
    <t>MG4GJ</t>
  </si>
  <si>
    <t>WOS:000545990500014</t>
  </si>
  <si>
    <t>Peng, Y; Liu, EB; Peng, SB; Chen, QK; Li, DJ; Lian, DP</t>
  </si>
  <si>
    <t>Peng, Yong; Liu, Enbin; Peng, Shanbi; Chen, Qikun; Li, Dangjian; Lian, Dianpeng</t>
  </si>
  <si>
    <t>Using artificial intelligence technology to fight COVID-19: a review</t>
  </si>
  <si>
    <t>Artificial intelligence; COVID-19; Epidemic prevention and control; Internet of Things; Cloud computing; Blockchain</t>
  </si>
  <si>
    <t>HEALTH-CARE; AI; PREDICTION; CT; CLASSIFICATION; CHALLENGES; BLOCKCHAIN; PNEUMONIA; FRAMEWORK; SYSTEM</t>
  </si>
  <si>
    <t>In late December 2019, a new type of coronavirus was discovered, which was later named severe acute respiratory syndrome coronavirus 2(SARS-CoV-2). Since its discovery, the virus has spread globally, with 2,975,875 deaths as of 15 April 2021, and has had a huge impact on our health systems and economy. How to suppress the continued spread of new coronary pneumonia is the main task of many scientists and researchers. The introduction of artificial intelligence technology has provided a huge contribution to the suppression of the new coronavirus. This article discusses the main application of artificial intelligence technology in the suppression of coronavirus from three major aspects of identification, prediction, and development through a large amount of literature research, and puts forward the current main challenges and possible development directions. The results show that it is an effective measure to combine artificial intelligence technology with a variety of new technologies to predict and identify COVID-19 patients.</t>
  </si>
  <si>
    <t>[Peng, Yong; Liu, Enbin; Li, Dangjian; Lian, Dianpeng] Southwest Petr Univ, Petr Engn Sch, Chengdu 610500, Peoples R China; [Peng, Shanbi] Southwest Petr Univ, Sch Civil Engn &amp; Geomat, Chengdu 610500, Peoples R China; [Chen, Qikun] Cardiff Univ, Sch Engn, Cardiff CF24 3AA, Wales</t>
  </si>
  <si>
    <t>Southwest Petroleum University; Southwest Petroleum University; Cardiff University</t>
  </si>
  <si>
    <t>Liu, EB (corresponding author), Southwest Petr Univ, Petr Engn Sch, Chengdu 610500, Peoples R China.</t>
  </si>
  <si>
    <t>Sunriselebpsb@163.com</t>
  </si>
  <si>
    <t>liu, enbin/I-2657-2013; Li, DangJian/JVM-8588-2024</t>
  </si>
  <si>
    <t>liu, enbin/0000-0002-8624-836X</t>
  </si>
  <si>
    <t>Sichuan Applied Basic Research Project [2019YJ0352]</t>
  </si>
  <si>
    <t>Sichuan Applied Basic Research Project</t>
  </si>
  <si>
    <t>This work was supported by the Sichuan Applied Basic Research Project (2019YJ0352).</t>
  </si>
  <si>
    <t>10.1007/s10462-021-10106-z</t>
  </si>
  <si>
    <t>JAN 2022</t>
  </si>
  <si>
    <t>2W8KB</t>
  </si>
  <si>
    <t>Bronze, Green Published</t>
  </si>
  <si>
    <t>WOS:000737095700001</t>
  </si>
  <si>
    <t>Cortés, U; Sànchez-Marrè, M; Ceccaroni, L; Roda, IR; Poch, M</t>
  </si>
  <si>
    <t>Artificial intelligence and environmental decision support systems</t>
  </si>
  <si>
    <t>APPLIED INTELLIGENCE</t>
  </si>
  <si>
    <t>environmental decision support systems; artificial intelligence; problem solving</t>
  </si>
  <si>
    <t>WASTE-WATER TREATMENT; TREATMENT PLANTS; EXPERT-SYSTEM; GENETIC ALGORITHMS; NEURAL-NETWORK; MANAGEMENT; MODELS; DESIGN; DIAGNOSIS; SOFTWARE</t>
  </si>
  <si>
    <t>An effective protection of our environment is largely dependent on the quality of the available information used to make an appropriate decision. Problems arise when the quantities of available information are huge and nonuniform (i.e., coming from many different disciplines or sources) and their quality could not be stated in advance. Another associated issue is the dynamical nature of the problem. Computers are central in contemporary environmental protection in tasks such as monitoring, data analysis, communication, information storage and retrieval, so it has been natural to try to integrate and enhance all these tasks with Artificial Intelligence knowledge-based techniques. This paper presents an overview of the impact of Artificial Intelligence techniques on the definition and development of Environmental Decision Support Systems (EDSS) during the last fifteen years. The review highlights the desirable features that an EDSS must show. The paper concludes with a selection of successful applications to a wide range of environmental problems.</t>
  </si>
  <si>
    <t>Tech Univ Catalonia, Software Dept, E-08034 Barcelona, Catalonia, Spain; Univ Girona, Chem &amp; Environm Engn Lab, E-17071 Girona, Catalonia, Spain</t>
  </si>
  <si>
    <t>Universitat Politecnica de Catalunya; Universitat de Girona</t>
  </si>
  <si>
    <t>Tech Univ Catalonia, Software Dept, Jordi Girona 1-3, E-08034 Barcelona, Catalonia, Spain.</t>
  </si>
  <si>
    <t>ia@lsi.upc.es; miquel@lsi.upc.es; luigic@lsi.upc.es; irroda@lequia1.udg.es; mpoch@lequia1.udg.es</t>
  </si>
  <si>
    <t>Sànchez-Marrè, Miquel/AAF-6188-2020; Cortés, Ulises/B-7284-2009; Rodriguez-Roda, Ignasi/D-4817-2015</t>
  </si>
  <si>
    <t>Sanchez-Marre, Miquel/0000-0001-9848-5779; Cortes, Ulises/0000-0003-0192-3096; Ceccaroni, Luigi/0000-0002-3116-0811; Rodriguez-Roda, Ignasi/0000-0002-8989-9061; Newman, Gregory/0000-0003-0503-5782; Poch, Manel/0000-0002-2593-9298</t>
  </si>
  <si>
    <t>0924-669X</t>
  </si>
  <si>
    <t>1573-7497</t>
  </si>
  <si>
    <t>APPL INTELL</t>
  </si>
  <si>
    <t>Appl. Intell.</t>
  </si>
  <si>
    <t>10.1023/A:1008331413864</t>
  </si>
  <si>
    <t>325YR</t>
  </si>
  <si>
    <t>WOS:000087705300006</t>
  </si>
  <si>
    <t>Adwer, L; Whiting, E</t>
  </si>
  <si>
    <t>Adwer, Lina; Whiting, Erik</t>
  </si>
  <si>
    <t>Exploring Artificial Intelligence Solutions and Challenges in Healthcare Administration</t>
  </si>
  <si>
    <t>2024 IEEE 12TH INTERNATIONAL CONFERENCE ON HEALTHCARE INFORMATICS, ICHI 2024</t>
  </si>
  <si>
    <t>IEEE International Conference on Healthcare Informatics</t>
  </si>
  <si>
    <t>12th IEEE International Conference on Healthcare Informatics (IEEE-ICHI)</t>
  </si>
  <si>
    <t>JUN 03-06, 2024</t>
  </si>
  <si>
    <t>Orlando, FL</t>
  </si>
  <si>
    <t>IEEE,IEEE Comp Soc Tech Community Intelligent Informat,Univ Minnesota, Div Computat Hlth Sci,Weill Cornell Med Inst Artificial Intelligence &amp; Digital Hlth,Univ Florida Hlth,Yale Univ, Sch Med,Springer,Florida State Univ, Coll Commun &amp; Informat</t>
  </si>
  <si>
    <t>artificial intelligence; machine learning; healthcare informatics</t>
  </si>
  <si>
    <t>Artificial intelligence (AI) tools have profoundly transformed the landscape of healthcare, producing substantial innovations and improvements in a wide range of applications. An area of healthcare in which AI is particularly poised to have a significant impact is in healthcare administration. There is a broad range of AI solutions being integrated into administrative processes, all of which appear promising for developing new time and cost saving solutions; however, widespread adoption faces persistent challenges. This paper looks into the existing body of research in AI applications for healthcare administration, identifies current challenges and obstacles to large scale implementation, and proposes directions for future work. By examining past work and addressing existing obstacles, we aim to contribute to the ongoing discourse on optimizing AI's impact on healthcare management.</t>
  </si>
  <si>
    <t>[Adwer, Lina] Univ Nebraska Med Ctr, Coll Med, Omaha, NE 68198 USA; [Whiting, Erik] Univ Nebraska Lincoln, Sch Comp, Lincoln, NE USA</t>
  </si>
  <si>
    <t>University of Nebraska System; University of Nebraska Medical Center; University of Nebraska System; University of Nebraska Lincoln</t>
  </si>
  <si>
    <t>Adwer, L (corresponding author), Univ Nebraska Med Ctr, Coll Med, Omaha, NE 68198 USA.</t>
  </si>
  <si>
    <t>ladwer@unmc.edu; ewhiting4@huskers.unl.edu</t>
  </si>
  <si>
    <t>Whiting, Erik/LMN-5562-2024</t>
  </si>
  <si>
    <t>Adwer, Lina/0009-0002-4617-3428</t>
  </si>
  <si>
    <t>2575-2634</t>
  </si>
  <si>
    <t>2575-2626</t>
  </si>
  <si>
    <t>979-8-3503-8374-4; 979-8-3503-8373-7</t>
  </si>
  <si>
    <t>IEEE INT CONF HEALT</t>
  </si>
  <si>
    <t>10.1109/ICHI61247.2024.00077</t>
  </si>
  <si>
    <t>Computer Science, Artificial Intelligence; Computer Science, Information Systems; Medical Informatics</t>
  </si>
  <si>
    <t>Computer Science; Medical Informatics</t>
  </si>
  <si>
    <t>BX5XI</t>
  </si>
  <si>
    <t>WOS:001304501700069</t>
  </si>
  <si>
    <t>Norton, LW; Howell, AW; DiGirolamo, JA; Hayes, TL</t>
  </si>
  <si>
    <t>Norton, Larry W.; Howell, Ann W.; DiGirolamo, Joel A.; Hayes, Theodore L.</t>
  </si>
  <si>
    <t>Using Artificial Intelligence in Consulting Psychology</t>
  </si>
  <si>
    <t>CONSULTING PSYCHOLOGY JOURNAL-PRACTICE AND RESEARCH</t>
  </si>
  <si>
    <t>artificial intelligence; applied psychology; consulting; ethics; machine learning</t>
  </si>
  <si>
    <t>AI; PREDICTION; MANAGEMENT</t>
  </si>
  <si>
    <t>The presence of artificial intelligence (AI) and machine learning in consulting psychology is accelerating. Although consulting psychologists are beginning to understand that AI's disruptive potential is significant, many still have a limited knowledge of its concepts, uses, and challenges. However, practitioners will increasingly encounter AI in many domains where they work and possibly compete with it. We present an overview of AI technology and discuss its growing use in the practice domains of consulting psychology. The fundamental elements of the so-called AI black box are discussed, including the basics of how AI algorithms are designed to function and learn. Given this understanding, we next discuss how AI is emerging as a technology impacting organizations, teams, and individuals specific to applications relevant to consulting practice. Within this context, we consider the roles that consulting psychologists can play in helping organizations implement effective, responsible, and ethical AI. The article concludes with a discussion of suggestions for AI's responsible and ethical use in consulting psychology. This article discusses the fundamentals of artificial intelligence (AI) and machinelearning, its emerging applications in consulting psychology, and suggestions for theresponsible use of AI in the workplace, including the role psychologists can play inhelping organizations implement AI applications. These topics are relevant topractitioners working with organizations, teams, and individuals.</t>
  </si>
  <si>
    <t>[Norton, Larry W.] GeNovo Consulting LLC, 2613 Napier Lane, Flower Mound, TX 75022 USA; [Norton, Larry W.] Univ Texas Dallas, Naveen Jindal Sch Management, Dallas, TX USA; [Howell, Ann W.] Howell Leadership Sci LLC, Houston, TX USA; [DiGirolamo, Joel A.] Int Coaching Federat, Lexington, KY USA</t>
  </si>
  <si>
    <t>University of Texas System; University of Texas Dallas</t>
  </si>
  <si>
    <t>Norton, LW (corresponding author), GeNovo Consulting LLC, 2613 Napier Lane, Flower Mound, TX 75022 USA.</t>
  </si>
  <si>
    <t>Larry.norton@genovoconsulting.com</t>
  </si>
  <si>
    <t>DiGirolamo, Joel/JPY-3221-2023</t>
  </si>
  <si>
    <t>Norton, Larry/0000-0002-1755-6449; , Theodore/0000-0002-0576-4283</t>
  </si>
  <si>
    <t>AMER PSYCHOLOGICAL ASSOC</t>
  </si>
  <si>
    <t>WASHINGTON</t>
  </si>
  <si>
    <t>750 FIRST ST NE, WASHINGTON, DC 20002-4242 USA</t>
  </si>
  <si>
    <t>1065-9293</t>
  </si>
  <si>
    <t>1939-0149</t>
  </si>
  <si>
    <t>CONSULT PSYCH J</t>
  </si>
  <si>
    <t>Consult. Psychol. J.- Pract. Res.</t>
  </si>
  <si>
    <t>10.1037/cpb0000274</t>
  </si>
  <si>
    <t>Psychology, Applied</t>
  </si>
  <si>
    <t>I1K5H</t>
  </si>
  <si>
    <t>WOS:001327916000004</t>
  </si>
  <si>
    <t>Smith, M; Jeffery, RCH</t>
  </si>
  <si>
    <t>Smith, Marcus; Jeffery, Rachael C. Heath</t>
  </si>
  <si>
    <t>Addressing the challenges of artificial intelligence in medicine</t>
  </si>
  <si>
    <t>INTERNAL MEDICINE JOURNAL</t>
  </si>
  <si>
    <t>artificial intelligence; medical technology; medicine; law; regulation</t>
  </si>
  <si>
    <t>DIABETIC-RETINOPATHY; CANCER; VALIDATION; SYSTEM</t>
  </si>
  <si>
    <t>The application of artificial intelligence in medicine, particularly in relation to screening and diagnosis of disease through imaging analysis, will have a profound impact over the next decade. This communication discusses regulatory challenges that should be considered by physicians and how potential issues may be mitigated using a collaborative approach, drawing on the combined expertise of relevant stakeholders.</t>
  </si>
  <si>
    <t>[Smith, Marcus] Charles Sturt Univ, 10-12 Brisbane Ave, Barton, ACT 2600, Australia; [Smith, Marcus] Univ Canberra, Canberra, ACT, Australia; [Jeffery, Rachael C. Heath] Lions Eye Inst Perth, Nedlands, WA, Australia</t>
  </si>
  <si>
    <t>Charles Sturt University; University of Canberra; Lions Eye Institute</t>
  </si>
  <si>
    <t>Smith, M (corresponding author), Charles Sturt Univ, 10-12 Brisbane Ave, Barton, ACT 2600, Australia.</t>
  </si>
  <si>
    <t>marcussmith@csu.edu.au</t>
  </si>
  <si>
    <t>1444-0903</t>
  </si>
  <si>
    <t>1445-5994</t>
  </si>
  <si>
    <t>INTERN MED J</t>
  </si>
  <si>
    <t>Intern. Med. J.</t>
  </si>
  <si>
    <t>10.1111/imj.15017</t>
  </si>
  <si>
    <t>OM9PX</t>
  </si>
  <si>
    <t>WOS:000586348000017</t>
  </si>
  <si>
    <t>Moodaley, W; Telukdarie, A</t>
  </si>
  <si>
    <t>Moodaley, Wayne; Telukdarie, Arnesh</t>
  </si>
  <si>
    <t>Greenwashing, Sustainability Reporting, and Artificial Intelligence: A Systematic Literature Review</t>
  </si>
  <si>
    <t>greenwashing; sustainability reporting; artificial intelligence; machine learning; sustainability</t>
  </si>
  <si>
    <t>BIBLIOMETRIC ANALYSIS; DRIVERS</t>
  </si>
  <si>
    <t>The rise of stakeholder interest globally in sustainable business practices has resulted in a rise in demands from stakeholders that companies report on the environmental and social impacts of their business activities. In certain cases, however, companies have resorted to the practice of providing inaccurate disclosures regarding sustainability as part of their corporate communications and sustainability reporting-commonly referred to as greenwashing. Concurrently, technological improvements in artificial intelligence have presented the means to rapidly and accurately analyze large volumes of text-based information, such as that contained in sustainability reports. Despite the possible impacts of artificial intelligence and machine learning on the fields of greenwashing and sustainability reporting, no literature to date has comprehensively and holistically addressed the interrelationship between these three important topics. This paper contributes to the body of knowledge by using bibliometric and thematic analyses to systematically analyze the interrelationship between those fields. The analysis is also used to conjecture a conceptual and thematic framework for the use of artificial intelligence with machine learning in relation to greenwashing and company sustainability reporting. This paper finds that the use of artificial intelligence in relation to greenwashing, and greenwashing within sustainability reporting, is an underexplored research field.</t>
  </si>
  <si>
    <t>[Moodaley, Wayne; Telukdarie, Arnesh] Univ Johannesburg, Johannesburg Business Sch, ZA-2092 Johannesburg, South Africa</t>
  </si>
  <si>
    <t>University of Johannesburg</t>
  </si>
  <si>
    <t>Moodaley, W (corresponding author), Univ Johannesburg, Johannesburg Business Sch, ZA-2092 Johannesburg, South Africa.</t>
  </si>
  <si>
    <t>wayne.moodaley@jbs.ac.za</t>
  </si>
  <si>
    <t>Moodaley, Wayne/0000-0002-9653-6090; Telukdarie, A/0000-0003-0057-3493</t>
  </si>
  <si>
    <t>10.3390/su15021481</t>
  </si>
  <si>
    <t>8A6YC</t>
  </si>
  <si>
    <t>WOS:000916381600001</t>
  </si>
  <si>
    <t>Klare, M; Verlande, L; Greiner, M; Lechner, U</t>
  </si>
  <si>
    <t>Papadaki, M; DaCunha, PR; Themistocleous, M; Christodoulou, K</t>
  </si>
  <si>
    <t>Klare, Martha; Verlande, Lisa; Greiner, Maximilian; Lechner, Ulrike</t>
  </si>
  <si>
    <t>How Blockchain and Artificial Intelligence influence Digital Sovereignty</t>
  </si>
  <si>
    <t>INFORMATION SYSTEMS, EMCIS 2022</t>
  </si>
  <si>
    <t>19th European, Mediterranean, and Middle Eastern Conference (EMCIS)</t>
  </si>
  <si>
    <t>DEC 21-22, 2022</t>
  </si>
  <si>
    <t>Digital Transformation; Digital Sovereignty; Blockchain; Artificial Intelligence</t>
  </si>
  <si>
    <t>Digital Sovereignty is an ascending field that is viewed from a society, politics and enterprise perspective. When considering the situation from an economic standpoint, it is still unclear how to understand the issue of what businesses can do to strengthen their Digital Sovereignty. Artificial Intelligence and Blockchain are disruptive technologies that have significant impact on Digital Transformation. This article studies the relationship between Digital Sovereignty and novel technologies, such as Artificial Intelligence and Blockchain. A quantitative survey with 163 respondents is the empirical basis of the analysis. We propose seven measures to strengthen Digital Sovereignty: preserve Data Sovereignty, address concerns and create awareness, define responsibilities, co-create transformation, expand expertise, promote freedom of choice and measurement criteria. The proposed measures support formulating a Digital Sovereignty strategy to ensure the vision, goals and requirements for balancing heteronomy and autarky in a self-determined manner.</t>
  </si>
  <si>
    <t>[Klare, Martha; Verlande, Lisa; Greiner, Maximilian; Lechner, Ulrike] Univ Bundeswehr Munchen, D-85579 Neubiberg, Germany</t>
  </si>
  <si>
    <t>Bundeswehr University Munich</t>
  </si>
  <si>
    <t>Klare, M (corresponding author), Univ Bundeswehr Munchen, D-85579 Neubiberg, Germany.</t>
  </si>
  <si>
    <t>martha.klare@unibw.de; lisa.verlande@unibw.de; maximilian.greiner@unibw.de; ulrike.lechner@unibw.de</t>
  </si>
  <si>
    <t>Lechner, Ulrike/0000-0002-4286-3184; Klare, Martha/0000-0001-6098-7917; Greiner, Maximilian/0000-0003-3830-7000</t>
  </si>
  <si>
    <t>Bayern Innovativ [DIK 0241_2104_0080]</t>
  </si>
  <si>
    <t>Bayern Innovativ</t>
  </si>
  <si>
    <t>The Project LIONS is funded by dtec.bw -Digitalization and Technology Research Center of the Bundeswehr which we gratefully acknowledge. We would also like to thank Bayern Innovativ for funding the project Federated Learning Enhancing IT Security (FLEIS) (DIK 0241_2104_0080). We thank our partners and fellow researchers and all study participants.</t>
  </si>
  <si>
    <t>978-3-031-30693-8; 978-3-031-30694-5</t>
  </si>
  <si>
    <t>10.1007/978-3-031-30694-5_1</t>
  </si>
  <si>
    <t>BX6FB</t>
  </si>
  <si>
    <t>WOS:001308340700001</t>
  </si>
  <si>
    <t>Paek, S; Kim, N</t>
  </si>
  <si>
    <t>Paek, Seungsu; Kim, Namhyoung</t>
  </si>
  <si>
    <t>Analysis of Worldwide Research Trends on the Impact of Artificial Intelligence in Education</t>
  </si>
  <si>
    <t>artificial intelligence; artificial intelligence in education (AIED); deep learning; machine learning; research trends; topic modeling; Latent Dirichlet Allocation (LDA); network analysis</t>
  </si>
  <si>
    <t>IDENTIFYING CORE TOPICS; MACHINE TRANSLATION; STUDENTS; TECHNOLOGY; PREDICTION; EVOLUTION; DROPOUT; FIELD; WEB</t>
  </si>
  <si>
    <t>In today's world, artificial intelligence (AI) and human intelligence coexist, and no field is free from the impact of AI. At present, education cannot be discussed without mentioning AI, which has an omnidirectional impact on all its areas, including the purpose, content, method, and evaluation system. This study aimed to explore the future direction of education by examining the current impact and predicting future impacts of AI. It also examined research trends and collaboration status by country through network analysis, topic modeling and global research trends in AI in education (AIED), by applying the Latent Dirichlet Allocation algorithm. Over the past 20 years, the number of papers on AIED has steadily increased, with a dramatic rise since 2015. The research can be broadly classified into eight topics, including changes in the content of teaching and learning. Using a linear regression model, three hot topics, two cold topics and trend changes for each research topic were identified. The study found that AIED research should be more thematically diversified and in-depth; this directly applies AI algorithms and technologies to education, which should be further promoted. This study provides a reference for exploring the direction of future AIED research.</t>
  </si>
  <si>
    <t>[Paek, Seungsu] Gachon Univ, Grad Sch Educ, 1342 Seongnam Daero, Seongnam Si 13120, Gyeonggi Do, South Korea; [Kim, Namhyoung] Gachon Univ, Dept Appl Stat, 1342 Seongnam Daero, Seongnam Si 13120, Gyeonggi Do, South Korea</t>
  </si>
  <si>
    <t>Gachon University; Gachon University</t>
  </si>
  <si>
    <t>Kim, N (corresponding author), Gachon Univ, Dept Appl Stat, 1342 Seongnam Daero, Seongnam Si 13120, Gyeonggi Do, South Korea.</t>
  </si>
  <si>
    <t>ongang@gachon.ac.kr; nhkim@gachon.ac.kr</t>
  </si>
  <si>
    <t>Kim, Namhyoung/0000-0002-0890-9812</t>
  </si>
  <si>
    <t>National Research Foundation of Korea (NRF) - Korea government (MSIT) [2018R1D1A1B07047487, 2021R1F1A1050602]</t>
  </si>
  <si>
    <t>National Research Foundation of Korea (NRF) - Korea government (MSIT)(National Research Foundation of KoreaMinistry of Science, ICT &amp; Future Planning, Republic of KoreaMinistry of Science &amp; ICT (MSIT), Republic of Korea)</t>
  </si>
  <si>
    <t>This work was supported by the National Research Foundation of Korea (NRF) grant funded by the Korea government (MSIT) (No. 2018R1D1A1B07047487 and No. 2021R1F1A1050602).</t>
  </si>
  <si>
    <t>10.3390/su13147941</t>
  </si>
  <si>
    <t>TO4DI</t>
  </si>
  <si>
    <t>WOS:000676864100001</t>
  </si>
  <si>
    <t>Galaz, V; Centeno, MA; Callahan, PW; Causevic, A; Patterson, T; Brass, I; Baum, S; Farber, D; Fischer, J; Garcia, D; McPhearson, T; Jimenez, D; King, B; Larcey, P; Levy, K</t>
  </si>
  <si>
    <t>Galaz, Victor; Centeno, Miguel A.; Callahan, Peter W.; Causevic, Amar; Patterson, Thayer; Brass, Irina; Baum, Seth; Farber, Darryl; Fischer, Joern; Garcia, David; McPhearson, Timon; Jimenez, Daniel; King, Brian; Larcey, Paul; Levy, Karen</t>
  </si>
  <si>
    <t>Artificial intelligence, systemic risks, and sustainability</t>
  </si>
  <si>
    <t>Artificial intelligence; Climate change; Sustainability; Systemic risks; Anthropocene; Resilience; Social-ecological systems; Automation; Digitalization</t>
  </si>
  <si>
    <t>AGRICULTURE; AI; FRAMEWORK; TECHNOLOGIES; MANAGEMENT</t>
  </si>
  <si>
    <t>Automated decision making and predictive analytics through artificial intelligence, in combination with rapid progress in technologies such as sensor technology and robotics are likely to change the way individuals, communities, governments and private actors perceive and respond to climate and ecological change. Methods based on various forms of artificial intelligence are already today being applied in a number of research fields related to climate change and environmental monitoring. Investments into applications of these technologies in agriculture, forestry and the extraction of marine resources also seem to be increasing rapidly. Despite a growing interest in, and deployment of AI-technologies in domains critical for sustainability, few have explored possible systemic risks in depth. This article offers a global overview of the progress of such technologies in sectors with high impact potential for sustainability like farming, forestry and the extraction of marine resources. We also identify possible systemic risks in these domains including a) algorithmic bias and allocative harms; b) unequal access and benefits; c) cascading failures and external disruptions, and d) trade-offs between efficiency and resilience. We explore these emerging risks, identify critical questions, and discuss the limitations of current governance mechanisms in addressing AI sustainability risks in these sectors.</t>
  </si>
  <si>
    <t>[Galaz, Victor; Causevic, Amar; McPhearson, Timon] Royal Swedish Acad Sci, Beijer Inst Ecol Econ, Stockholm, Sweden; [Galaz, Victor; McPhearson, Timon] Stockholm Univ, Stockholm Resilience Ctr, Stockholm, Sweden; [Callahan, Peter W.; Patterson, Thayer] Princeton Univ, Princeton Inst Int &amp; Reg Studies PIIRS, Princeton, NJ 08544 USA; [Brass, Irina] UCL, Dept Sci Technol Engn &amp; Publ Policy STEaPP, London, England; [Baum, Seth] Global Catastroph Risk Inst, New York, NY USA; [Farber, Darryl] Penn State Univ, Coll Engn, University Pk, PA 16802 USA; [Farber, Darryl] Penn State Univ, Sch Int Affairs, University Pk, PA 16802 USA; [Fischer, Joern] Leuphana Univ, Fac Sustainabil, Luneburg, Germany; [Garcia, David] Med Univ Vienna, Complex Sci Hub, Vienna, Austria; [McPhearson, Timon] New Sch, Urban Syst Lab, New York, NY USA; [Levy, Karen] Cornell Univ, Dept Informat Sci, Ithaca, NY USA; [Jimenez, Daniel; King, Brian] CGIAR Platform Big Data Agr, Cali, Colombia; [Larcey, Paul] Univ Cambridge, Dept Engn, Cambridge, England; [Garcia, David] Graz Univ Technol, Fac Comp Sci &amp; Biomed Engn, Graz, Austria; [Centeno, Miguel A.; Jimenez, Daniel] Univ Icesi, Cali, Colombia; [Centeno, Miguel A.] Princeton Univ, Sch Publ &amp; Int Affairs SPIA, Princeton, NJ 08544 USA; [McPhearson, Timon] Cary Inst Ecosyst Studies, Millbrook, NY USA; [Garcia, David] Med Univ Vienna, Ctr Med Stat Informat &amp; Intelligent Syst, Vienna, Austria; [Causevic, Amar] Stockholm Environm Inst SEI, Stockholm, Sweden</t>
  </si>
  <si>
    <t>Royal Swedish Academy of Sciences; Beijer Institute of Ecological Economics; Stockholm University; Princeton University; University of London; University College London; Pennsylvania Commonwealth System of Higher Education (PCSHE); Pennsylvania State University; Pennsylvania State University - University Park; Pennsylvania Commonwealth System of Higher Education (PCSHE); Pennsylvania State University; Pennsylvania State University - University Park; Leuphana University Luneburg; Medical University of Vienna; The New School; Cornell University; University of Cambridge; Graz University of Technology; Universidad ICESI; Princeton University; Cary Institute of Ecosystem Studies; Medical University of Vienna; Stockholm Environment Institute</t>
  </si>
  <si>
    <t>Galaz, V (corresponding author), Royal Swedish Acad Sci, Beijer Inst Ecol Econ, Stockholm, Sweden.</t>
  </si>
  <si>
    <t>victor.galaz@su.se</t>
  </si>
  <si>
    <t>King, Brian/JQW-0424-2023; Fischer, Joern/C-6625-2012; Garcia, David/A-2113-2014; McPhearson, Timon/JOZ-3799-2023</t>
  </si>
  <si>
    <t>Levy, Karen/0000-0003-3806-9161; Brass, Irina/0000-0001-5067-4191; Causevic, Amar/0000-0003-4630-1717; Fischer, Joern/0000-0003-3187-8978; Garcia, David/0000-0002-2820-9151; Jimenez, Daniel/0000-0003-4218-4306; McPhearson, Timon/0000-0002-9499-0791; Galaz, Victor/0000-0002-7303-8849</t>
  </si>
  <si>
    <t>Beijer Institute of Ecological Economics (Royal Swedish Academy of Sciences); Princeton Institute for International and Regional Studies (Princeton University); Stockholm Resilience Centre (Stockholm University); Zennstrom Philanthropies; Vienna Science and Technology Fund [VRG16-005]; Microsoft; College of Engineering, Penn State University; U.S. National Science Foundation [1444755, 1934933, 1927167]; SMARTer Greener Cities project through the Nordforsk Sustainable Urban Development and Smart Cities grant program</t>
  </si>
  <si>
    <t>Beijer Institute of Ecological Economics (Royal Swedish Academy of Sciences); Princeton Institute for International and Regional Studies (Princeton University); Stockholm Resilience Centre (Stockholm University); Zennstrom Philanthropies; Vienna Science and Technology Fund; Microsoft(Microsoft); College of Engineering, Penn State University; U.S. National Science Foundation(National Science Foundation (NSF)); SMARTer Greener Cities project through the Nordforsk Sustainable Urban Development and Smart Cities grant program(NordForsk)</t>
  </si>
  <si>
    <t>We would like to thank the Beijer Institute of Ecological Economics (Royal Swedish Academy of Sciences), and the Princeton Institute for International and Regional Studies (Princeton University) for funding and hosting the workshop Human-Machine-Ecology: A Workshop on the Emerging Risks, Opportunities, and Governance of Artificial Intelligence at Princeton University on January 11th-12th, 2019, and the Consulate General of Sweden in New York for hosting the second workshop Artificial Intelligence, People, and the Planet in New York, on October 15th, 2019. We would also like to thank participants of these events for their valuable input, the four anonymous reviewers for their constructive comments on earlier versions of this article, and Emilia Arens for supporting the work with data extraction and analysis for Figure 1A and B.V. Galaz's work was funded by the Beijer Institute of Ecological Economics (Royal Swedish Academy of Sciences) and the Stockholm Resilience Centre (Stockholm University) with support from Zennstrom Philanthropies. D. Garcia's work was supported by the Vienna Science and Technology Fund (Grant No. VRG16-005). K. Levy's work was supported by Microsoft. D. Farber's work was supported by the College of Engineering, Penn State University. T. McPhearson was supported by the U.S. National Science Foundation through grants #1444755, #1934933, and #1927167 as well as the SMARTer Greener Cities project through the Nordforsk Sustainable Urban Development and Smart Cities grant program.</t>
  </si>
  <si>
    <t>10.1016/j.techsoc.2021.101741</t>
  </si>
  <si>
    <t>WOS:000704511300023</t>
  </si>
  <si>
    <t>Codina, L; Ufarte-Ruiz, MJ; Borden, SL</t>
  </si>
  <si>
    <t>Codina, Lluis; Ufarte-Ruiz, Maria Jose; Borden, Sandra L.</t>
  </si>
  <si>
    <t>Fanning the flames of artificial intelligence in the media: beyond efficiency and productivity gains</t>
  </si>
  <si>
    <t>COMMUNICATION &amp; SOCIETY-SPAIN</t>
  </si>
  <si>
    <t>Artificial intelligence; generative artificial intelligence; ethics; social communication; media</t>
  </si>
  <si>
    <t>We present the first special issue dedicated to the applications of artificial intelligence (AI) in the media and in communication - Use of Artificial Intelligence in Communication: Ethical Implications for Media . We describe the general traits of the impact of AI on media and communication companies and identify the main dimensions of interest for both researchers and professionals in the field. We show that this impact extends beyond the delivery of gains in efficiency and productivity and stress the key role to be played by ethical issues and transparency, especially with the emergence of generative AI, a modality with the capacity to transform the productive model in communication.</t>
  </si>
  <si>
    <t>[Codina, Lluis] Univ Pompeu Fabra, Barcelona, Spain; [Ufarte-Ruiz, Maria Jose] Univ Castilla La Mancha, Ciudad Real, Spain; [Borden, Sandra L.] Western Michigan Univ, Kalamazoo, MI USA</t>
  </si>
  <si>
    <t>Pompeu Fabra University; Universidad de Castilla-La Mancha; Western Michigan University</t>
  </si>
  <si>
    <t>Codina, L (corresponding author), Univ Pompeu Fabra, Barcelona, Spain.</t>
  </si>
  <si>
    <t>lluis.codina@upf.edu; mariajose.ufarte@uclm.es; sandra.borden@wmich.edu</t>
  </si>
  <si>
    <t>; Codina, Lluis/B-6369-2008</t>
  </si>
  <si>
    <t>Borden, Sandra/0000-0002-5262-0311; Codina, Lluis/0000-0001-7020-1631; Ufarte Ruiz, Maria Jose/0000-0002-7713-8003</t>
  </si>
  <si>
    <t>UNIV NAVARRA, SERVICIO PUBLICACIONES</t>
  </si>
  <si>
    <t>PAMPLONA</t>
  </si>
  <si>
    <t>CAMPUS UNIV, CARRETERA DEL SADAR S-N, APARTADO 177, 31080 PAMPLONA, SPAIN</t>
  </si>
  <si>
    <t>2386-7876</t>
  </si>
  <si>
    <t>COMMUN SOC-SPAIN</t>
  </si>
  <si>
    <t>Commun. Soc.-Spain</t>
  </si>
  <si>
    <t>10.15581/003.37.2.221-225</t>
  </si>
  <si>
    <t>QV0D2</t>
  </si>
  <si>
    <t>WOS:001223517200012</t>
  </si>
  <si>
    <t>Frascarelli, C; Bonizzi, G; Musico, CR; Mane, E; Cassi, C; Rocco, EG; Farina, A; Scarpa, A; Lawlor, R; Bonetti, LR; Caramaschi, S; Eccher, A; Marletta, S; Fusco, N</t>
  </si>
  <si>
    <t>Frascarelli, Chiara; Bonizzi, Giuseppina; Musico, Camilla Rosella; Mane, Eltjona; Cassi, Cristina; Rocco, Elena Guerini; Farina, Annarosa; Scarpa, Aldo; Lawlor, Rita; Bonetti, Luca Reggiani; Caramaschi, Stefania; Eccher, Albino; Marletta, Stefano; Fusco, Nicola</t>
  </si>
  <si>
    <t>Revolutionizing Cancer Research: The Impact of Artificial Intelligence in Digital Biobanking</t>
  </si>
  <si>
    <t>JOURNAL OF PERSONALIZED MEDICINE</t>
  </si>
  <si>
    <t>biobank; digital pathology; cancer research; artificial intelligence</t>
  </si>
  <si>
    <t>Background. Biobanks are vital research infrastructures aiming to collect, process, store, and distribute biological specimens along with associated data in an organized and governed manner. Exploiting diverse datasets produced by the biobanks and the downstream research from various sources and integrating bioinformatics and omics data has proven instrumental in advancing research such as cancer research. Biobanks offer different types of biological samples matched with rich datasets comprising clinicopathologic information. As digital pathology and artificial intelligence (AI) have entered the precision medicine arena, biobanks are progressively transitioning from mere biorepositories to integrated computational databanks. Consequently, the application of AI and machine learning on these biobank datasets holds huge potential to profoundly impact cancer research. Methods. In this paper, we explore how AI and machine learning can respond to the digital evolution of biobanks with flexibility, solutions, and effective services. We look at the different data that ranges from specimen-related data, including digital images, patient health records and downstream genetic/genomic data and resulting Big Data and the analytic approaches used for analysis. Results. These cutting-edge technologies can address the challenges faced by translational and clinical research, enhancing their capabilities in data management, analysis, and interpretation. By leveraging AI, biobanks can unlock valuable insights from their vast repositories, enabling the identification of novel biomarkers, prediction of treatment responses, and ultimately facilitating the development of personalized cancer therapies. Conclusions. The integration of biobanking with AI has the potential not only to expand the current understanding of cancer biology but also to pave the way for more precise, patient-centric healthcare strategies.</t>
  </si>
  <si>
    <t>[Frascarelli, Chiara; Mane, Eltjona; Rocco, Elena Guerini; Fusco, Nicola] IRCCS, European Inst Oncol, IEO, Div Pathol, I-20139 Milan, Italy; [Frascarelli, Chiara; Rocco, Elena Guerini; Fusco, Nicola] Univ Milan, Dept Oncol &amp; Hemato oncol, I-20122 Milan, Italy; [Bonizzi, Giuseppina; Musico, Camilla Rosella; Cassi, Cristina] European Inst Oncol IRCCS, Biobank Translat &amp; Digital Med, IEO, I-20139 Milan, Italy; [Farina, Annarosa] European Inst Oncol IRCCS, Cent Informat Syst &amp; Technol Directorate, IEO, I-20139 Milan, Italy; [Scarpa, Aldo; Marletta, Stefano] Univ Verona, Dept Diagnost &amp; Publ Hlth, Sect Pathol, I-37134 Verona, Italy; [Lawlor, Rita] Univ Verona, ARC Net Res Ctr, I-37134 Verona, Italy; [Lawlor, Rita] Univ Verona, Dept Diagnost &amp; Publ Hlth, I-37134 Verona, Italy; [Bonetti, Luca Reggiani; Caramaschi, Stefania; Eccher, Albino] Univ Modena &amp; Reggio Emilia, Univ Hosp Modena, Dept Med &amp; Surg Sci Children &amp; Adults, Sect Pathol, I-41121 Modena, Italy; [Marletta, Stefano] Humanitas Canc Ctr, Div Pathol, I-95045 Catania, Italy</t>
  </si>
  <si>
    <t>IRCCS European Institute of Oncology (IEO); University of Milan; IRCCS European Institute of Oncology (IEO); IRCCS European Institute of Oncology (IEO); University of Verona; University of Verona; University of Verona; Universita di Modena e Reggio Emilia; Universita di Modena e Reggio Emilia Hospital</t>
  </si>
  <si>
    <t>Eccher, A (corresponding author), Univ Modena &amp; Reggio Emilia, Univ Hosp Modena, Dept Med &amp; Surg Sci Children &amp; Adults, Sect Pathol, I-41121 Modena, Italy.</t>
  </si>
  <si>
    <t>chiara.frascarelli@ieo.it; giuseppina.bonizzi@ieo.it; camilla.rosellamusico@ieo.it; eltjona.mane@ieo.it; cristina.cassi@ieo.it; elena.guerinirocco@ieo.it; annarosa.farina@ieo.it; aldo.scarpa@univr.it; rita.lawlor@arc-net.it; luca.reggianibonetti@unimore.it; stefania.caramaschi@unimore.it; albino.eccher@unimore.it; stefano.marletta92@gmail.com; nicola.fusco@ieo.it</t>
  </si>
  <si>
    <t>Bonetti, Luca/AAE-5488-2019; Reggiani Bonetti, Luca/Q-3946-2017; Fusco, Nicola/D-6264-2016; MARLETTA, STEFANO/AAY-5565-2020; Scarpa, Aldo/K-6832-2016</t>
  </si>
  <si>
    <t>Reggiani Bonetti, Luca/0000-0002-9917-4080; Fusco, Nicola/0000-0002-9101-9131; MARLETTA, STEFANO/0000-0001-7881-8767; CARAMASCHI, STEFANIA/0000-0003-2692-1281; eccher, albino/0000-0002-9992-5550; Scarpa, Aldo/0000-0003-1678-739X</t>
  </si>
  <si>
    <t>The authors would like to thank all the patients who have actively participated in our research programs over the past decade by donating their biospecimens.</t>
  </si>
  <si>
    <t>2075-4426</t>
  </si>
  <si>
    <t>J PERS MED</t>
  </si>
  <si>
    <t>J. Pers. Med.</t>
  </si>
  <si>
    <t>10.3390/jpm13091390</t>
  </si>
  <si>
    <t>Health Care Sciences &amp; Services; Medicine, General &amp; Internal</t>
  </si>
  <si>
    <t>Health Care Sciences &amp; Services; General &amp; Internal Medicine</t>
  </si>
  <si>
    <t>S5PB3</t>
  </si>
  <si>
    <t>WOS:001071673300001</t>
  </si>
  <si>
    <t>Mohan, KR; Fenn, SM</t>
  </si>
  <si>
    <t>Mohan, Karthik Rajaram; Fenn, Saramma Mathew</t>
  </si>
  <si>
    <t>Artificial Intelligence and Its Theranostic Applications in Dentistry</t>
  </si>
  <si>
    <t>CUREUS JOURNAL OF MEDICAL SCIENCE</t>
  </si>
  <si>
    <t>neural network; deep learning; machine learning; dentistry; artificial intelligence</t>
  </si>
  <si>
    <t>CONVOLUTIONAL NEURAL-NETWORK; DIAGNOSIS</t>
  </si>
  <si>
    <t>As new technologies emerge, they continue to have an impact on our daily lives, and artificial intelligence (AI) covers a wide range of applications. Because of the advancements in AI, it is now possible to analyse large amounts of data, which results in more accurate data and more effective decision-making. This article explains the fundamentals of AI and examines its development and present use. AI technology has had an impact on the healthcare sector as a result of the need for accurate diagnosis and improved patient care. An overview of the existing AI applications in clinical dentistry was provided. Comprehensive care involving artificial intelligence aims to provide cutting-edge research and innovations, as well as high-quality patient care, by enabling sophisticated decision support tools. The cornerstone of AI advancement in dentistry is creative inter-professional coordination among medical professionals, scientists, and engineers. Artificial intelligence will continue to be associated with dentistry from a wide angle despite potential misconceptions and worries about patient privacy. This is because precise treatment methods and quick data sharing are both essential in dentistry. Additionally, these developments will make it possible for patients, academicians, and healthcare professionals to exchange large data on health as well as provide insights that enhance patient care.</t>
  </si>
  <si>
    <t>[Mohan, Karthik Rajaram] Vinayaka Missions Res Fdn, Vinayaka Missions Sankarachariyar Dent Coll, Oral Med, Salem, India; [Fenn, Saramma Mathew] Vinayaka Missions Res Fdn, Vinayaka Missions Sankarachariyar Dent Coll, Oral Med &amp; Radiol, Salem, India</t>
  </si>
  <si>
    <t>Vinayaka Mission's Research Foundation; Vinayaka Mission's Sankarachariyar Dental College &amp; Hospital; Vinayaka Mission's Research Foundation; Vinayaka Mission's Sankarachariyar Dental College &amp; Hospital</t>
  </si>
  <si>
    <t>Mohan, KR (corresponding author), Vinayaka Missions Res Fdn, Vinayaka Missions Sankarachariyar Dent Coll, Oral Med, Salem, India.</t>
  </si>
  <si>
    <t>drkarthik@vmsdc.edu.in</t>
  </si>
  <si>
    <t>mohan, Karthik/AAF-7126-2019</t>
  </si>
  <si>
    <t>2168-8184</t>
  </si>
  <si>
    <t>CUREUS J MED SCIENCE</t>
  </si>
  <si>
    <t>Cureus J Med Sci</t>
  </si>
  <si>
    <t>MAY 8</t>
  </si>
  <si>
    <t>e38711</t>
  </si>
  <si>
    <t>10.7759/cureus.38711</t>
  </si>
  <si>
    <t>R1FJ1</t>
  </si>
  <si>
    <t>WOS:001061865900021</t>
  </si>
  <si>
    <t>Xu, R; Hsu, Y</t>
  </si>
  <si>
    <t>Yamamoto, S; Mori, H</t>
  </si>
  <si>
    <t>Xu, Rui; Hsu, Yen</t>
  </si>
  <si>
    <t>Will the Process of Creation Impact the Viewer's Appraisal of the Creativeness of Artificial Intelligence Artworks?</t>
  </si>
  <si>
    <t>HUMAN INTERFACE AND THE MANAGEMENT OF INFORMATION. INTERACTING WITH INFORMATION, HIMI 2020, PT II</t>
  </si>
  <si>
    <t>Human Interface and the Management of Information (HIMI) part of International Conference on Human-Computer Interaction (HCII)</t>
  </si>
  <si>
    <t>JUL 19-24, 2020</t>
  </si>
  <si>
    <t>Artificial intelligence; Process of creation; Artworks</t>
  </si>
  <si>
    <t>ART; EMOTIONS</t>
  </si>
  <si>
    <t>At present, artificial intelligence products and programs are widely utilized in every aspect of people's daily life, including artistic creation. The viewer usually sees the outcome rather than the process in the case of artworks. However, the production process of an artistic work often influences the viewer's appraisal of the creativity of the work. Nowadays, however, most studies concentrate on artificial intelligence artwork performance while ignoring the process of creation. This study conducted experiments with the ARS scale on the theoretical basis of schema theory to analyze whether there is any difference in the viewer's appraisal of artistic works after realizing the process of artistic creation. The goal is to examine whether the process of creation can influence the viewer's appraisal of creativity on the outcome generated by artificial intelligence. The results show that the appraisal of artificial intelligence artistry is influenced by the creative process to a certain extent, and the appraisal of the works with more diversified colors are affected more than those with monochrome color.</t>
  </si>
  <si>
    <t>[Xu, Rui; Hsu, Yen] Tatung Univ, Grad Inst Design Sci, Taipei 104, Taiwan; [Xu, Rui] Fuzhou Univ Int Studies &amp; Trade, Sch Art &amp; Design, Fuzhou 350202, Peoples R China</t>
  </si>
  <si>
    <t>Tatung University</t>
  </si>
  <si>
    <t>Hsu, Y (corresponding author), Tatung Univ, Grad Inst Design Sci, Taipei 104, Taiwan.</t>
  </si>
  <si>
    <t>635524937@qq.com</t>
  </si>
  <si>
    <t>978-3-030-50016-0; 978-3-030-50017-7</t>
  </si>
  <si>
    <t>10.1007/978-3-030-50017-7_31</t>
  </si>
  <si>
    <t>Computer Science, Cybernetics; Computer Science, Information Systems; Computer Science, Interdisciplinary Applications</t>
  </si>
  <si>
    <t>BX4XU</t>
  </si>
  <si>
    <t>WOS:001296001100031</t>
  </si>
  <si>
    <t>Sengupta, D</t>
  </si>
  <si>
    <t>Sengupta, Dipayan</t>
  </si>
  <si>
    <t>Artificial Intelligence in Diagnostic Dermatology: Challenges and the Way Forward</t>
  </si>
  <si>
    <t>INDIAN DERMATOLOGY ONLINE JOURNAL</t>
  </si>
  <si>
    <t>Article; Proceedings Paper</t>
  </si>
  <si>
    <t>IEEE Conference on Artificial Intelligence (IEEE CAI)</t>
  </si>
  <si>
    <t>JUN 05-06, 2023</t>
  </si>
  <si>
    <t>Santa Clara, CA</t>
  </si>
  <si>
    <t>IEEE,IEEE Comp Soc,IEEE Signal Proc Soc,IEEE Syst, Man, &amp; Cybernet Soc</t>
  </si>
  <si>
    <t>Artificial intelligence; dermatology; diagnosis</t>
  </si>
  <si>
    <t>Artificial Intelligence (AI) has emerged as a transformative force in the field of diagnostic dermatology, offering unprecedented capabilities in image recognition and data analysis. Despite its promise, the integration of AI into clinical practice faces multifaceted challenges that span technical, ethical, and regulatory domains. This article provides a narrative overview of the current state of AI in dermatology, tracing its historical evolution from early diagnostic tools to contemporary hybrid supervised models. We identify and categorize six critical challenges: data quality and quantity, algorithmic development and explainability, ethical considerations, clinical workflow integration, regulatory frameworks, and stakeholder collaboration. Each challenge is dissected from the perspectives of academia, industry, and healthcare providers, offering actionable recommendations for future research and implementation. We also highlight the paradigm shift in AI research, emphasizing the potential of transformer architectures in revolutionizing diagnostic methodologies. By addressing the challenges and harnessing the latest advancements, AI has the potential to significantly impact diagnostic accuracy and patient outcomes in dermatology.</t>
  </si>
  <si>
    <t>[Sengupta, Dipayan] Euro Skin Cliniq, Consultant Dermatologist, Kolkata, West Bengal, India; [Sengupta, Dipayan] Block B 5c, Balaka Green Complex, Kolkata 700052, West Bengal, India</t>
  </si>
  <si>
    <t>Sengupta, D (corresponding author), Block B 5c, Balaka Green Complex, Kolkata 700052, West Bengal, India.</t>
  </si>
  <si>
    <t>undefined.santaaaaa@gmail.com</t>
  </si>
  <si>
    <t>GPT-4 (accessed through the ChatGPT interface) was used to arrange the content in a more logical and coherent format.</t>
  </si>
  <si>
    <t>2229-5178</t>
  </si>
  <si>
    <t>2249-5673</t>
  </si>
  <si>
    <t>INDIAN DERMATOL ONL</t>
  </si>
  <si>
    <t>Indian Dermatol. Online J.</t>
  </si>
  <si>
    <t>10.4103/idoj.idoj_462_23</t>
  </si>
  <si>
    <t>Y1NN5</t>
  </si>
  <si>
    <t>WOS:001103005200004</t>
  </si>
  <si>
    <t>Nazir, T; Rehman, MMU; Asghar, MR; Kalia, JS</t>
  </si>
  <si>
    <t>Nazir, Talha; Rehman, Muhammad Mushhood Ur; Asghar, Muhammad Roshan; Kalia, Junaid S.</t>
  </si>
  <si>
    <t>Artificial intelligence assisted acute patient journey</t>
  </si>
  <si>
    <t>artificial intelligence; acute patient journey; electronic-triage; health IoT; Automated EMR summary; AI-based clinical decision support system</t>
  </si>
  <si>
    <t>Artificial intelligence is taking the world by storm and soon will be aiding patients in their journey at the hospital. The trials and tribulations of the healthcare system during the COVID-19 pandemic have set the stage for shifting healthcare from a physical to a cyber-physical space. A physician can now remotely monitor a patient, admitting them only if they meet certain thresholds, thereby reducing the total number of admissions at the hospital. Coordination, communication, and resource management have been core issues for any industry. However, it is most accurate in healthcare. Both systems and providers are exhausted under the burden of increasing data and complexity of care delivery, increasing costs, and financial burden. Simultaneously, there is a digital transformation of healthcare in the making. This transformation provides an opportunity to create systems of care that are artificial intelligence-enabled. Healthcare resources can be utilized more justly. The wastage of financial and intellectual resources in an overcrowded healthcare system can be avoided by implementing IoT, telehealth, and AI/ML-based algorithms. It is imperative to consider the design principles of the patient's journey while simultaneously prioritizing a better user experience to alleviate physician concerns. This paper discusses the entire blueprint of the AI/ML-assisted patient journey and its impact on healthcare provision.</t>
  </si>
  <si>
    <t>[Nazir, Talha; Rehman, Muhammad Mushhood Ur; Asghar, Muhammad Roshan] NeuroCare AI Neurosci Acad, Dallas, TX 89148 USA; [Kalia, Junaid S.] NeuroCare AI, Dallas, TX 89148 USA; [Kalia, Junaid S.] Neurologypocketbook com, Dallas, TX 75206 USA</t>
  </si>
  <si>
    <t>Nazir, T (corresponding author), NeuroCare AI Neurosci Acad, Dallas, TX 89148 USA.;Kalia, JS (corresponding author), NeuroCare AI, Dallas, TX 89148 USA.;Kalia, JS (corresponding author), Neurologypocketbook com, Dallas, TX 75206 USA.</t>
  </si>
  <si>
    <t>talhanazir44@gmail.com; junaidkalia@aineurocare.com</t>
  </si>
  <si>
    <t>Nazir, Talha/HTP-5678-2023</t>
  </si>
  <si>
    <t>Asghar, Muhammad Roshan/0000-0001-5300-4214; Mushhood Ur Rehman, Muhammad/0000-0002-1375-7331</t>
  </si>
  <si>
    <t>10.3389/frai.2022.962165</t>
  </si>
  <si>
    <t>7W8LF</t>
  </si>
  <si>
    <t>WOS:000913758200001</t>
  </si>
  <si>
    <t>Kariyawasam, K</t>
  </si>
  <si>
    <t>Kariyawasam, Kanchana</t>
  </si>
  <si>
    <t>Artificial intelligence and challenges for copyright law</t>
  </si>
  <si>
    <t>INTERNATIONAL JOURNAL OF LAW AND INFORMATION TECHNOLOGY</t>
  </si>
  <si>
    <t>Copyright; Artificial Intelligence</t>
  </si>
  <si>
    <t>COMPUTER-GENERATED WORKS; AUTHORSHIP</t>
  </si>
  <si>
    <t>The question of who should own the copyright of a creative work by an artificial intelligence (Al) is as yet largely unanswered. Due to the author's increased distance from the works being created, the granting of copyright protection to AI has not been forthcoming. This article assesses the prevalence of AI- and computer-generated works in which, beyond the initial input, the works produced involve more artificial than human contribution, and the impact this has on authorship. While the main geographical focus of this article is Australia, it makes comparisons with the UK and New Zealand (NZ) to explore how Australian copyright law can be adapted to incorporate positive aspects of UK and NZ law. This article explains how the statutory provisions in both the UK and NZ are undeniably far-sighted in the modern world, in which computer-generated programmes are increasingly used. This article argues that the case-by-case basis is most suitable when deciding the human entity who is the fortunate receiver of copyright protection in works that are essentially made by an advanced non-human entity.</t>
  </si>
  <si>
    <t>[Kariyawasam, Kanchana] Griffith Univ, Griffith Business Sch, Nathan, Qld, Australia</t>
  </si>
  <si>
    <t>Griffith University</t>
  </si>
  <si>
    <t>Kariyawasam, K (corresponding author), Griffith Univ, Griffith Business Sch, Nathan, Qld, Australia.</t>
  </si>
  <si>
    <t>Kariyawasam, Kanchana/0000-0001-5517-1825</t>
  </si>
  <si>
    <t>0967-0769</t>
  </si>
  <si>
    <t>1464-3693</t>
  </si>
  <si>
    <t>INT J LAW INFORM TEC</t>
  </si>
  <si>
    <t>Int. J. Law Inform. Technol.</t>
  </si>
  <si>
    <t>WIN</t>
  </si>
  <si>
    <t>10.1093/ijlit/eaaa023</t>
  </si>
  <si>
    <t>RZ9XL</t>
  </si>
  <si>
    <t>WOS:000648953300001</t>
  </si>
  <si>
    <t>Almakaty, SS</t>
  </si>
  <si>
    <t>Almakaty, Safran Safar</t>
  </si>
  <si>
    <t>The Impact of Artificial Intelligence on Global Journalism: An Analytical Study</t>
  </si>
  <si>
    <t>REVIEW OF COMMUNICATION RESEARCH</t>
  </si>
  <si>
    <t>Artificial Intelligence; Journalism; Ethical Implications; Audience Engagement; Technological Integration</t>
  </si>
  <si>
    <t>This paper presents an analytical study on The Impact of Artificial Intelligence on Global Journalism, exploring the changing trends that AI technologies bring into the journalistic landscape. In essence, the research question that provides the framework for this study is how AI is altering the landscape of journalistic practices, ethics, and audience involvement. The essay tries to bring forth an elaborate understanding of how AI has affected journalism in critical areas like operating efficiency, ethical implications, and future trends. Based on a structured analysis, starting from the introduction through literature review, theoretical frameworks, and discussions, the main findings highlight increased efficiency in news reporting and distinctly changed audience perception towards AIgenerated news content. However, issues of transparency, accuracy, and ethical adherence do remain. It highlights that there is a large gap in regional disparities in adoption rates of AI in different contexts. Thus, the landscape is uneven, requiring more detailed exploration. The study sums up that though AI offers promising innovations, a cautious approach is significantly necessary to ensure that journalistic integrity and public trust are maintained. By further examining such implications, the essay insists on the urgent need for an interdisciplinary approach toward the setting of robust ethical frameworks that ought to underpin the responsible integration of AI in journalism.</t>
  </si>
  <si>
    <t>[Almakaty, Safran Safar] Imam Mohammad Ibn Saud Islamic Univ IMSIU, Media &amp; Commun, Riyadh, Saudi Arabia; [Almakaty, Safran Safar] Int Relat &amp; Higher Educ, Commun &amp; Media Corp Commun, Riyadh, Saudi Arabia</t>
  </si>
  <si>
    <t>Imam Mohammad Ibn Saud Islamic University (IMSIU)</t>
  </si>
  <si>
    <t>Almakaty, SS (corresponding author), Imam Mohammad Ibn Saud Islamic Univ IMSIU, Media &amp; Commun, Riyadh, Saudi Arabia.;Almakaty, SS (corresponding author), Int Relat &amp; Higher Educ, Commun &amp; Media Corp Commun, Riyadh, Saudi Arabia.</t>
  </si>
  <si>
    <t>safran93@hotmail.com</t>
  </si>
  <si>
    <t>REVIEW COMMUNICATION RESEARCH</t>
  </si>
  <si>
    <t>REVIEW COMMUNICATION RESEARCH, MADRID, 00000, SPAIN</t>
  </si>
  <si>
    <t>2255-4165</t>
  </si>
  <si>
    <t>REV COMMUN RES</t>
  </si>
  <si>
    <t>Rev. Commun. Res.</t>
  </si>
  <si>
    <t>10.52152/RCR.V12.8</t>
  </si>
  <si>
    <t>G9O4F</t>
  </si>
  <si>
    <t>WOS:001319844400004</t>
  </si>
  <si>
    <t>Zhao, CY; Li, YJ; Liu, ZG; Ma, XY</t>
  </si>
  <si>
    <t>Zhao, Congyu; Li, Yongjian; Liu, Zhengguang; Ma, Xiaoyue</t>
  </si>
  <si>
    <t>Artificial intelligence and carbon emissions inequality: Evidence from industrial robot application</t>
  </si>
  <si>
    <t>Artificial intelligence; Carbon inequality; Moderation effect; Mediation effect; Global</t>
  </si>
  <si>
    <t>CO2 EMISSIONS</t>
  </si>
  <si>
    <t>To figure out equitable and inclusive strategy to mitigate inequality of carbon emissions, we investigate the solution to narrowing carbon inequality from the perspective of developing artificial intelligence by using the generalized method of moments model and employing a panel dataset from 74 countries during 2000-2019. The asymmetric impact of artificial intelligence on carbon inequality is also checked. In addition, we examine the moderating and mediating effects in the nexus between artificial intelligence and carbon inequality. We find that (1) artificial intelligence has a negative causal relationship with carbon inequality, which indicates that developing artificial intelligence is essential for narrowing carbon inequality. (2) With the increase of the quantile of carbon inequality, artificial intelligence exerts a more remarkable inhibiting effect on carbon inequality, which implies that when the level of carbon inequality is more severe, the implementation of artificial intelligence proves to be a more potent tool for narrowing the disparity of emissions. (3) With the help of climate finance, artificial intelligence becomes even more effective in reducing carbon inequality, verifying the synergistic effect of climate finance and artificial intelligence on carbon inequality eradication. (4) Energy structure transition and industry structure transition are pathways through which artificial intelligence affects carbon inequality. Some concrete policy implications are drawn from the above main findings.</t>
  </si>
  <si>
    <t>[Zhao, Congyu] Univ Int Business &amp; Econ, Sch Int Trade &amp; Econ, Beijing 100029, Peoples R China; [Zhao, Congyu; Li, Yongjian] Univ Birmingham, Sch Geog Earth &amp; Environm Sci, Birmingham B15 2TT, England; [Liu, Zhengguang] Univ Manchester, Sch Engn, Dept Chem Engn, Manchester M13 9PL, England; [Ma, Xiaoyue] Northwest Univ Polit Sci &amp; Law, Sch Econ, Xian 710122, Peoples R China</t>
  </si>
  <si>
    <t>University of International Business &amp; Economics; University of Birmingham; University of Manchester; Northwest University of Political Science &amp; Law</t>
  </si>
  <si>
    <t>Zhao, CY (corresponding author), Univ Int Business &amp; Econ, Sch Int Trade &amp; Econ, Beijing 100029, Peoples R China.</t>
  </si>
  <si>
    <t>cyzhao1998@163.com; YJL015@bham.ac.uk; zhengguangliu@ieee.org; maxiaoyue08@163.com</t>
  </si>
  <si>
    <t>Ma, Xiaoyue/S-4047-2019; Liu, Zhengguang/LUY-4948-2024</t>
  </si>
  <si>
    <t>Zhao, Congyu/0000-0002-0358-4182; Li, Yongjian/0000-0002-2003-2582</t>
  </si>
  <si>
    <t>China Scholarship Council (CSC) [202206640014]</t>
  </si>
  <si>
    <t>China Scholarship Council (CSC)(China Scholarship Council)</t>
  </si>
  <si>
    <t>Thanks to the China Scholarship Council for joint training doctoral fellowship for Congyu Zhao (CSC No. 202206640014) . The authors gratefully acknowledge the helpful reviews and comments from the editors and anonymous reviewers, which improved this manuscript considerably. Certainly, any errors are our own.</t>
  </si>
  <si>
    <t>JAN 20</t>
  </si>
  <si>
    <t>10.1016/j.jclepro.2024.140817</t>
  </si>
  <si>
    <t>JAN 2024</t>
  </si>
  <si>
    <t>JJ3A8</t>
  </si>
  <si>
    <t>WOS:001172747200001</t>
  </si>
  <si>
    <t>Brown, JG</t>
  </si>
  <si>
    <t>Brown, Julie G.</t>
  </si>
  <si>
    <t>The Impact of Artificial Intelligence in Employee Onboarding Programs</t>
  </si>
  <si>
    <t>employee onboarding; training; human resource development; artificial intelligence; human resource management</t>
  </si>
  <si>
    <t>Problem Employee onboarding is one of the most important phases of an employee's life cycle. Human resources (HR) is vital in setting employees up for success, particularly during this employment stage. Some organizations lose employees before they have had a chance to learn about and acclimate to the organization. An ineffective onboarding program may contribute to high turnover costs and low employee retention. Solution This article discusses emerging trends in the role of artificial intelligence (AI) in human resource development (HRD) and how AI is being used to develop more effective and efficient processes and programs. Recommendations for practitioners will include how AI may create an informative and engaging onboarding program that may increase employee retention. Stakeholders Organizational development (OD) and learning and development (LD) professionals who want a more effective employee onboarding program that will provide the knowledge employees need while creating an engaging learning experience.</t>
  </si>
  <si>
    <t>[Brown, Julie G.] Univ Tennessee Chattanooga, Dept Learning &amp; Leadership, 720 McCallie Ave, Chattanooga, TN 37403 USA</t>
  </si>
  <si>
    <t>University of Tennessee System; University of Tennessee at Chattanooga</t>
  </si>
  <si>
    <t>Brown, JG (corresponding author), Univ Tennessee Chattanooga, Dept Learning &amp; Leadership, 720 McCallie Ave, Chattanooga, TN 37403 USA.</t>
  </si>
  <si>
    <t>julie-g-brown@utc.edu</t>
  </si>
  <si>
    <t>, Julie G. Brown/0009-0009-4238-0332</t>
  </si>
  <si>
    <t>10.1177/15234223241254775</t>
  </si>
  <si>
    <t>SQ1G9</t>
  </si>
  <si>
    <t>WOS:001218956500001</t>
  </si>
  <si>
    <t>Cox, A</t>
  </si>
  <si>
    <t>Cox, Andrew</t>
  </si>
  <si>
    <t>Academic librarian competencies and artificial intelligence</t>
  </si>
  <si>
    <t>SOUTH AFRICAN JOURNAL OF LIBRARIES AND INFORMATION SCIENCE</t>
  </si>
  <si>
    <t>Artificial intelligence; library skills; staff competencies; Kenya; United Kingdom</t>
  </si>
  <si>
    <t>LITERATURE-REVIEWS</t>
  </si>
  <si>
    <t>Artificial intelligence (AI) is likely to change employment patterns across the global economy, but it is hard to predict what type of change will happen and how fast. The purpose of this paper is to bring together initial thoughts on the impacts of AI specifically on the work of library professionals, based on a hermeneutic literature review. Generative AI is likely to change the nature of everyday office work, in a way that will impact roles across the library. Changes brought by AI for the information literacy trainer, manager, data specialist and collection manager are considered. Impacts on all library staff competencies are discussed. The final section asks whether the impact on job roles in lower resourced contexts in the global south, such as Kenya, will be different.</t>
  </si>
  <si>
    <t>[Cox, Andrew] Univ Sheffield, Informat Sch, Sheffield, England</t>
  </si>
  <si>
    <t>University of Sheffield</t>
  </si>
  <si>
    <t>Cox, A (corresponding author), Univ Sheffield, Informat Sch, Sheffield, England.</t>
  </si>
  <si>
    <t>a.m.cox@sheffield.ac.uk</t>
  </si>
  <si>
    <t>Cox, Andrew/HKO-2794-2023</t>
  </si>
  <si>
    <t>FORUM PRESS</t>
  </si>
  <si>
    <t>BOORDFONTEIN</t>
  </si>
  <si>
    <t>PO BOX 93895, BOORDFONTEIN, 0201, SOUTH AFRICA</t>
  </si>
  <si>
    <t>0256-8861</t>
  </si>
  <si>
    <t>2304-8263</t>
  </si>
  <si>
    <t>S AFR J LIBR INF</t>
  </si>
  <si>
    <t>S. Afr. J. Libr. Inf. Sci.</t>
  </si>
  <si>
    <t>10.7553/90-2-2405</t>
  </si>
  <si>
    <t>H0E0S</t>
  </si>
  <si>
    <t>WOS:001320253500001</t>
  </si>
  <si>
    <t>Zeron, RMC; Serrano, CV</t>
  </si>
  <si>
    <t>Campos Zeron, Rubens Moura; Serrano Junior, Carlos Vicente</t>
  </si>
  <si>
    <t>Artificial intelligence in the diagnosis of cardiovascular disease</t>
  </si>
  <si>
    <t>REVISTA DA ASSOCIACAO MEDICA BRASILEIRA</t>
  </si>
  <si>
    <t>Machine learning; Artificial Intelligence; Algorithms</t>
  </si>
  <si>
    <t>CORONARY-ARTERY-DISEASE; SUPPORT</t>
  </si>
  <si>
    <t>Artificial intelligence (AI) is a field of computer science that aims to mimic human thought processes. AI techniques have been applied in cardiovascular medicine to explore novel genotypes and phenotypes in existing diseases, improve the quality of patient care, enabling cost-effectiveness, and reducing readmission and mortality rates.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</si>
  <si>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[Campos Zeron, Rubens Moura] Ctr Univ Lusiada Unilus, Santos, SP, Brazil; [Serrano Junior, Carlos Vicente] Univ Sao Paulo FMUSP, Fac Med, Sao Paulo, SP, Brazil</t>
  </si>
  <si>
    <t>Centro Universitario Lusiada; Universidade de Sao Paulo</t>
  </si>
  <si>
    <t>Zeron, RMC (corresponding author), Ctr Univ Lusiada Unilus, Santos, SP, Brazil.</t>
  </si>
  <si>
    <t>rzeeron@gmail.com</t>
  </si>
  <si>
    <t>Serrano, Carlos/I-2729-2013</t>
  </si>
  <si>
    <t>ASSOC MEDICA BRASILEIRA</t>
  </si>
  <si>
    <t>RUA SAO CARLOS DO PINHAL 324, CAIXA POSTAL 8904, SAO PAULO, SP, BRAZIL</t>
  </si>
  <si>
    <t>1806-9282</t>
  </si>
  <si>
    <t>REV ASSOC MED BRAS</t>
  </si>
  <si>
    <t>Rev. Assoc. Med. Bras.</t>
  </si>
  <si>
    <t>10.1590/1806-9282.65.12.1438</t>
  </si>
  <si>
    <t>KH1FJ</t>
  </si>
  <si>
    <t>WOS:000510392000005</t>
  </si>
  <si>
    <t>Olena, C; Tetiana, T; Violeta, A; Viktoria, K; Leonid, P</t>
  </si>
  <si>
    <t>Karabegovic, I; Kovacevic, A; Mandzuka, S</t>
  </si>
  <si>
    <t>Olena, Chukurna; Tetiana, Tardaskina; Violeta, Alkhimova; Viktoria, Kofman; Leonid, Pankovets</t>
  </si>
  <si>
    <t>Use of Artificial Intelligence in the Formation of the Marketing Strategy of the Enterprise</t>
  </si>
  <si>
    <t>NEW TECHNOLOGIES, DEVELOPMENT AND APPLICATION VII, VOL 2, NT-2024</t>
  </si>
  <si>
    <t>International Conference on New Technologies, Development and Application - Advanced Production Processes and Intelligent Systems</t>
  </si>
  <si>
    <t>JUN 20-22, 2024</t>
  </si>
  <si>
    <t>Acad Sci &amp; Arts Bosnia &amp; Herzegovina, Sarajevo, BOSNIA &amp; HERCEG</t>
  </si>
  <si>
    <t>Acad Sci &amp; Arts Bosnia &amp; Herzegovina</t>
  </si>
  <si>
    <t>Artificial Intelligence; marketing strategy; digital transformation; artificial intelligence tools; AI-marketer</t>
  </si>
  <si>
    <t>This paper presents the resultsstages of a marketing strategy where various artificial intelligence tools can be employed. A comprehensive analysis of using artificial intelligence tools in shaping a company's marketing strategy indicates its significant impact and prospects in the marketing domain. Integrating artificial intelligence into marketing processes enables businesses to enhance the level of personalization in offerings to customers, automate competitive analysis processes, and respond quickly to changes in the market environment. The research concludes that the use of machine learning algorithms allows businesses to optimize advertising campaigns, forecast demand, and determine optimal pricing strategies. The study results in the introduction of the profession of an AI marketer, which can be considered a transformation of the traditional marketing profession in the context of utilizing artificial intelligence and other digital technologies.</t>
  </si>
  <si>
    <t>[Olena, Chukurna; Tetiana, Tardaskina; Violeta, Alkhimova; Viktoria, Kofman; Leonid, Pankovets] State Univ Intelligent Technol &amp; Telecommun, Fac Business &amp; Social Commun, Odessa, Ukraine</t>
  </si>
  <si>
    <t>State University of Intelligent Technologies &amp; Telecommunications</t>
  </si>
  <si>
    <t>Olena, C (corresponding author), State Univ Intelligent Technol &amp; Telecommun, Fac Business &amp; Social Commun, Odessa, Ukraine.</t>
  </si>
  <si>
    <t>elenachukurna@gmail.com</t>
  </si>
  <si>
    <t>Tardaskina, Tetiana/0000-0003-3818-7029</t>
  </si>
  <si>
    <t>978-3-031-66270-6; 978-3-031-66271-3</t>
  </si>
  <si>
    <t>10.1007/978-3-031-66271-3_42</t>
  </si>
  <si>
    <t>Computer Science, Artificial Intelligence; Mathematics, Interdisciplinary Applications</t>
  </si>
  <si>
    <t>Computer Science; Mathematics</t>
  </si>
  <si>
    <t>BX6ZJ</t>
  </si>
  <si>
    <t>WOS:001315734000042</t>
  </si>
  <si>
    <t>Barrios-Tao, H</t>
  </si>
  <si>
    <t>Barrios-Tao, Hernando</t>
  </si>
  <si>
    <t>BIOETHICAL AND PSYCHOPOLITICAL IMPLICATIONS OF ARTIFICIAL INTELLIGENCE FOR HUMAN RIGHTS</t>
  </si>
  <si>
    <t>PROMETEICA-REVISTA DE FILOSOFIA Y CIENCIAS</t>
  </si>
  <si>
    <t>artificial intelligence; human rights; bioethics; psychopolitics; hermeneutics</t>
  </si>
  <si>
    <t>HAND</t>
  </si>
  <si>
    <t>Artificial intelligence has invaded the areas of life and is aimed at reconfiguring life itself, with impacts on human rights. These repercussions on human development have both detractors and defenders. The article aims to establish bioethical and psychopolitical implications of artificial intelligence for human rights. The article, under the PRISMA model, uses analogical hermeneutics to interpret the texts. The results indicate benefits, threats and opportunities for fundamental freedoms and the rights to equity, identity, selfdetermination, autonomy, privacy, and well-being. The conclusions refer to the integration of devices, data, and algorithms, which impact human rights and raise the need to reflect on their recreation, reformulation, or reconfiguration.</t>
  </si>
  <si>
    <t>[Barrios-Tao, Hernando] Univ Mil Nueva Granada, Bogota, Colombia</t>
  </si>
  <si>
    <t>Universidad Militar Nueva Granada</t>
  </si>
  <si>
    <t>Barrios-Tao, H (corresponding author), Univ Mil Nueva Granada, Bogota, Colombia.</t>
  </si>
  <si>
    <t>hernando.barrios@unimilitar.edu.co</t>
  </si>
  <si>
    <t>LUCAS EMMANUEL MISSERI</t>
  </si>
  <si>
    <t>MAR DEL PLATA</t>
  </si>
  <si>
    <t>LUCAS EMMANUEL MISSERI, MAR DEL PLATA, 00000, ARGENTINA</t>
  </si>
  <si>
    <t>1852-9488</t>
  </si>
  <si>
    <t>PROMETEICA</t>
  </si>
  <si>
    <t>Prometeica</t>
  </si>
  <si>
    <t>10.34024/prometeica.2024.31.19084</t>
  </si>
  <si>
    <t>P5H6F</t>
  </si>
  <si>
    <t>WOS:001378218600003</t>
  </si>
  <si>
    <t>Rani, M</t>
  </si>
  <si>
    <t>Rani, Meena</t>
  </si>
  <si>
    <t>Impacts and ethics of using Artificial Intelligence (AI) by the Indian Police</t>
  </si>
  <si>
    <t>PUBLIC ADMINISTRATION AND POLICY-AN ASIA-PACIFIC JOURNAL</t>
  </si>
  <si>
    <t>Artificial Intelligence (AI); Human rights; Policing; India</t>
  </si>
  <si>
    <t>PurposeThe paper aims to examine the impacts and ethics of utilizing Artificial Intelligence (AI) in Indian policing. It explores both the positive and negative consequences of using AI, as well as the ethical considerations that have be taken into account.Design/methodology/approachThis study is based on secondary sources of information, such as national and international reports, journal articles, and institutional websites that discuss the use of AI technology by the police in India.FindingsAI has proven to be effective in policing, from preventing crime to identifying criminals, by detecting potential crimes in advance with fewer resources and in more areas. In India, the police use AI technology not only for facial recognition but also for crime mapping, analysis, and building blocks. However, factors such as caste, religion, language, and gender continue to cause conflict. India has shown a strong interest in using AI technology for policing, and wishes to accelerate its implementation in various policing contexts, including law and order. This paper calls for an assessment of the complexities and uncertainties brought about by new technologies in policing with ethical considerations.Originality/valueThis paper can provide valuable insights for policy-makers, academics, and practitioners engaged in discussions and debates concerning the ethical considerations associated with the adoption of AI tools in policing practices.</t>
  </si>
  <si>
    <t>[Rani, Meena] Univ Rajasthan, Dept Publ Adm, Jaipur, India</t>
  </si>
  <si>
    <t>University of Rajasthan</t>
  </si>
  <si>
    <t>Rani, M (corresponding author), Univ Rajasthan, Dept Publ Adm, Jaipur, India.</t>
  </si>
  <si>
    <t>drmeena82@gmail.com</t>
  </si>
  <si>
    <t>1727-2645</t>
  </si>
  <si>
    <t>2517-679X</t>
  </si>
  <si>
    <t>PUBLIC ADMIN POLICY</t>
  </si>
  <si>
    <t>Public Admin. Policy</t>
  </si>
  <si>
    <t>10.1108/PAP-06-2023-0081</t>
  </si>
  <si>
    <t>Political Science; Public Administration</t>
  </si>
  <si>
    <t>Government &amp; Law; Public Administration</t>
  </si>
  <si>
    <t>F5J1F</t>
  </si>
  <si>
    <t>WOS:001297264500001</t>
  </si>
  <si>
    <t>Bittencourt, II; Chalco, G; Santos, J; Fernandes, S; Silva, J; Batista, N; Hutz, C; Isotani, S</t>
  </si>
  <si>
    <t>Bittencourt, Ig Ibert; Chalco, Geiser; Santos, Jario; Fernandes, Sheyla; Silva, Jesana; Batista, Naricla; Hutz, Claudio; Isotani, Seiji</t>
  </si>
  <si>
    <t>Positive Artificial Intelligence in Education (P-AIED): A Roadmap</t>
  </si>
  <si>
    <t>INTERNATIONAL JOURNAL OF ARTIFICIAL INTELLIGENCE IN EDUCATION</t>
  </si>
  <si>
    <t>Artificial Intelligence in Education; Positive Psychology; Learning; Wellbeing</t>
  </si>
  <si>
    <t>TUTORING SYSTEMS; LEARNING ENVIRONMENTS; EMOTION RECOGNITION; STUDENT ENGAGEMENT; AFFECTIVE STATES; ONLINE; GAMIFICATION; CLASSROOM; GAME; PARTICIPATION</t>
  </si>
  <si>
    <t>The unprecedented global movement of school education to find technological and intelligent solutions to keep the learning ecosystem working was not enough to recover the impacts of Covid-19, not only due to learning-related challenges but also due to the rise of negative emotions, such as frustration, anxiety, boredom, risk of burnout and the so-called Covid fatigue. Although this is not a new problem, it was deepened during the pandemic, and we need to face old and new challenges in different ways. Despite focusing only on the learning system's inefficiencies and on the hegemony of solutions to tackle the learning gap, we also need to shed light on the strengths and the positive aspects of the learning process to promote wellbeing. As highlighted by John Self, an intelligent tutoring system would behave as if it genuinely cared about the student's success. This note from John Self sheds light on the importance and reflection of what success means and for whom. This study presents a roadmap for positive psychology and artificial intelligence in education. It is intended to identify and understand how the intersection of Positive Psychology and Artificial Intelligence in Education can support the promotion of learning and wellbeing of students, teachers, and other educational stakeholders. As such, a bibliometric analysis of positive psychology and artificial intelligence in education was made as the so-called Positive Artificial Intelligence in Education (P-AIED). The search string was performed in 2021, and the total number of studies gathered was 10,777. After all the PRISMA steps, 256 studies were approved according to the inclusion criteria. The main conclusions were the high number of institutions and researchers with related publications indicate a new trend for the community of AIED; the high number of collaboration from different countries indicates a possible global movement toward P-AIED; Positive Emotion and Engagement were the main Positive Psychology constructs identified in the studies; the lack of well-grounded theories of Positive Psychology indicates an excellent research opportunity; Positive Learning Analytics (P-LA), Positive Educational Data Mining (P-EDM) and Positive Intelligent Tutoring Systems (P-ITS) are three hot topics for P-AIED.</t>
  </si>
  <si>
    <t>[Bittencourt, Ig Ibert; Chalco, Geiser; Santos, Jario; Silva, Jesana; Batista, Naricla] Univ Fed Alagoas, Comp Inst, Ctr Excellence Social Technol, Maceio, Brazil; [Bittencourt, Ig Ibert; Isotani, Seiji] Harvard Univ, Harvard Grad Sch Educ, Cambridge, MA 02138 USA; [Chalco, Geiser] Fed Rural Univ Semiarid Reg UFERSA, Dept Engn &amp; Technol DETEC, Mossoro, Brazil; [Santos, Jario; Isotani, Seiji] Univ Sao Paulo ICMC USP, Inst Math &amp; Comp Sci, Sao Paulo, Brazil; [Fernandes, Sheyla; Silva, Jesana; Batista, Naricla] Univ Fed Alagoas, Psychol Inst, Maceio, Brazil; [Hutz, Claudio] Univ Fed Rio Grande do Sul, Porto Alegre, Brazil</t>
  </si>
  <si>
    <t>Universidade Federal de Alagoas; Harvard University; Universidade Federal Rural do Semi-Arido (UFERSA); Universidade Federal de Alagoas; Universidade Federal do Rio Grande do Sul</t>
  </si>
  <si>
    <t>Bittencourt, II (corresponding author), Univ Fed Alagoas, Comp Inst, Ctr Excellence Social Technol, Maceio, Brazil.;Bittencourt, II (corresponding author), Harvard Univ, Harvard Grad Sch Educ, Cambridge, MA 02138 USA.</t>
  </si>
  <si>
    <t>ig.ibert@ic.ufal.br</t>
  </si>
  <si>
    <t>Isotani, Seiji/A-1651-2010</t>
  </si>
  <si>
    <t>Conselho Nacional de Desenvolvimento Cientifico e Tecnologico (CNPq); Coordenacao de Aperfeicoamento de Pessoal de Nivel Superior (CAPES)</t>
  </si>
  <si>
    <t>Conselho Nacional de Desenvolvimento Cientifico e Tecnologico (CNPq)(Conselho Nacional de Desenvolvimento Cientifico e Tecnologico (CNPQ)); Coordenacao de Aperfeicoamento de Pessoal de Nivel Superior (CAPES)(Coordenacao de Aperfeicoamento de Pessoal de Nivel Superior (CAPES))</t>
  </si>
  <si>
    <t>The authors have no conflict of interest, and this work has been supported by the Brazilian institutions: Conselho Nacional de Desenvolvimento Cientifico e Tecnologico (CNPq) and Coordenacao de Aperfeicoamento de Pessoal de Nivel Superior (CAPES)</t>
  </si>
  <si>
    <t>1560-4292</t>
  </si>
  <si>
    <t>1560-4306</t>
  </si>
  <si>
    <t>INT J ARTIF INTELL E</t>
  </si>
  <si>
    <t>Int. J. Artif. Intell. Educ.</t>
  </si>
  <si>
    <t>2023 AUG 3</t>
  </si>
  <si>
    <t>10.1007/s40593-023-00357-y</t>
  </si>
  <si>
    <t>Computer Science, Interdisciplinary Applications</t>
  </si>
  <si>
    <t>O3HS0</t>
  </si>
  <si>
    <t>WOS:001042767400001</t>
  </si>
  <si>
    <t>Abrardi, L; Cambini, C; Rondi, L</t>
  </si>
  <si>
    <t>Abrardi, Laura; Cambini, Carlo; Rondi, Laura</t>
  </si>
  <si>
    <t>Artificial intelligence, firms and consumer behavior: A survey</t>
  </si>
  <si>
    <t>JOURNAL OF ECONOMIC SURVEYS</t>
  </si>
  <si>
    <t>Artificial Intelligence; algorithms; machine learning</t>
  </si>
  <si>
    <t>ROBOTS; IMPACT; DISCRIMINATION; TECHNOLOGY; PREDICTION; ANTITRUST; HISTORY; GROWTH; TIME; BIAS</t>
  </si>
  <si>
    <t>The current advances in Artificial Intelligence (AI) are likely to have profound economic implications and bring about new trade-offs, thereby posing new challenges from a policymaking point of view. What is the impact of these technologies on the labor market and firms? Will algorithms reduce consumers' biases or will they rather originate new ones? How competition will be affected by AI-powered agents? This study is a first attempt to survey the growing literature on the multi-faceted economic effects of the recent technological advances in AI that involve machine learning applications. We first review research on the implications of AI on firms, focusing on its impact on labor market, productivity, skill composition and innovation. Then we examine how AI contributes to shaping consumer behavior and market competition. We conclude by discussing how public policies can deal with the radical changes that AI is already producing and is going to generate in the future for firms and consumers.</t>
  </si>
  <si>
    <t>[Abrardi, Laura; Cambini, Carlo; Rondi, Laura] Politecn Torino, Dept Management, Corso Duca Abruzzi 24, Turin, Italy; [Cambini, Carlo] Florence Sch Regulat, Florence, Italy; [Cambini, Carlo] European Univ Inst, Fiesole, Italy</t>
  </si>
  <si>
    <t>Polytechnic University of Turin; European University Institute</t>
  </si>
  <si>
    <t>Abrardi, L (corresponding author), Politecn Torino, Dept Management, Corso Duca Abruzzi 24, Turin, Italy.</t>
  </si>
  <si>
    <t>laura.abrardi@polito.it</t>
  </si>
  <si>
    <t>Abrardi, Laura/AAT-3408-2020; Rondi, Laura/ADS-4154-2022</t>
  </si>
  <si>
    <t>CAMBINI, CARLO/0000-0002-7471-8133; RONDI, Laura/0000-0002-7683-1164</t>
  </si>
  <si>
    <t>Ministero dell'Istruzione, dell'Universita e della Ricerca [TESUN-83486178370409, CAP. 1694 TIT. 232ART. 6]</t>
  </si>
  <si>
    <t>Ministero dell'Istruzione, dell'Universita e della Ricerca(Ministry of Education, Universities and Research (MIUR))</t>
  </si>
  <si>
    <t>Ministero dell'Istruzione, dell'Universita e della Ricerca, Grant/Award Number: TESUN-83486178370409 finanziamento Dipartimenti di EccellenzaCAP. 1694 TIT. 232ART. 6</t>
  </si>
  <si>
    <t>0950-0804</t>
  </si>
  <si>
    <t>1467-6419</t>
  </si>
  <si>
    <t>J ECON SURV</t>
  </si>
  <si>
    <t>J. Econ. Surv.</t>
  </si>
  <si>
    <t>10.1111/joes.12455</t>
  </si>
  <si>
    <t>3W2CS</t>
  </si>
  <si>
    <t>WOS:000678893200001</t>
  </si>
  <si>
    <t>Varma, A; Pereira, V; Patel, P</t>
  </si>
  <si>
    <t>Varma, Arup; Pereira, Vijay; Patel, Parth</t>
  </si>
  <si>
    <t>Artificial intelligence and performance management</t>
  </si>
  <si>
    <t>ORGANIZATIONAL DYNAMICS</t>
  </si>
  <si>
    <t>Artificial Intelligence; AI; Performance management systems; PMS</t>
  </si>
  <si>
    <t>Artificial Intelligence (AI) enabled tools have increasingly becoming popular in our societies and are increasingly being used by students and practitioners, among others. Within corporations, numerous different applications have been identified where AI -enabled tools have been applied with different levels of success. In this article, we explore the pros and cons of using AI in performance management (PM). We draw upon the practitioner literature to summarize the current status of AI and AI -enabled tools. We also interviewed 8 HR professionals from around the world to learn about their experience(s) with the tools and to gain an insight into the future. In doing so, we explore the various components of performance management systems (PMS) and discuss how each might be impacted by the use of AI. Finally, we discuss the pros and cons of such usage and make recommendations for organizations that are considering using AI or AI enabled tools in their PMSs.</t>
  </si>
  <si>
    <t>[Varma, Arup] Loyola Univ Chicago, Quinlan Sch Business, Chicago, IL 60611 USA; [Pereira, Vijay] Neoma Business Sch, Reims, France; [Patel, Parth] Australia Inst Business, Adelaide, Australia</t>
  </si>
  <si>
    <t>Loyola University Chicago</t>
  </si>
  <si>
    <t>Varma, A (corresponding author), Loyola Univ Chicago, Quinlan Sch Business, Chicago, IL 60611 USA.</t>
  </si>
  <si>
    <t>avarma@luc.edu</t>
  </si>
  <si>
    <t>Pereira, Vijay/B-2736-2013; Patel, Parth/J-1482-2016</t>
  </si>
  <si>
    <t>Pereira, Vijay/0000-0001-6755-0793; Patel, Parth/0000-0003-3359-977X</t>
  </si>
  <si>
    <t>0090-2616</t>
  </si>
  <si>
    <t>1873-3530</t>
  </si>
  <si>
    <t>ORGAN DYN</t>
  </si>
  <si>
    <t>Organ. Dyn.</t>
  </si>
  <si>
    <t>10.1016/j.orgdyn.2024.101037</t>
  </si>
  <si>
    <t>Business; Psychology, Applied; Management</t>
  </si>
  <si>
    <t>Business &amp; Economics; Psychology</t>
  </si>
  <si>
    <t>NH3D4</t>
  </si>
  <si>
    <t>WOS:001199511900001</t>
  </si>
  <si>
    <t>Tiribelli, S</t>
  </si>
  <si>
    <t>Tiribelli, Simona</t>
  </si>
  <si>
    <t>MORAL FREEDOM AND ARTIFICIAL INTELLIGENCE</t>
  </si>
  <si>
    <t>ETICA &amp; POLITICA</t>
  </si>
  <si>
    <t>Italian</t>
  </si>
  <si>
    <t>Moral freedom; artificial intelligence ethics; moral agency; autonomy; algorithms</t>
  </si>
  <si>
    <t>This paper addresses a key issue in the field of artificial intelligence (AI) ethics, that is, the impact of AI systems and, more specifically, of machine learning (ML) and deep learning (DL) algorithms, on our freedom, and particularly, our moral freedom, that is, our freedom to choose and act as moral agents. To this aim, after introducing the concept of moral freedom and clarifying its constitutive dimensions and specifically preconditions, the paper argues how pervasively interconnected ML and DL algorithms, deployed in almost every domain of our society, can silently affect them and therefore profoundly endanger our capacity to choose and act as moral agents, bridging insights from the main debates on the topic in moral and socio-political philosophy and digital and AI ethics.</t>
  </si>
  <si>
    <t>[Tiribelli, Simona] Univ Macerata, Macerata, Italy</t>
  </si>
  <si>
    <t>University of Macerata</t>
  </si>
  <si>
    <t>Tiribelli, S (corresponding author), Univ Macerata, Macerata, Italy.</t>
  </si>
  <si>
    <t>simona.tiribelli@unimc.it</t>
  </si>
  <si>
    <t>Tiribelli, Simona/AGF-6841-2022</t>
  </si>
  <si>
    <t>UNIV STUDI TRIESTE, EDIZIONI UNIVERSITA TRIESTE-EUT</t>
  </si>
  <si>
    <t>TRIESTE</t>
  </si>
  <si>
    <t>VIA EDOARDO WEISS 21, TRIESTE, 34128, ITALY</t>
  </si>
  <si>
    <t>1825-5167</t>
  </si>
  <si>
    <t>ETICA POLITICA</t>
  </si>
  <si>
    <t>Etica Politica</t>
  </si>
  <si>
    <t>P3B1R</t>
  </si>
  <si>
    <t>WOS:001376697600007</t>
  </si>
  <si>
    <t>Baydogan, H</t>
  </si>
  <si>
    <t>Rasheed, J; Abu-Mahfouz, AM; Fahim, M</t>
  </si>
  <si>
    <t>Baydogan, Harun</t>
  </si>
  <si>
    <t>Detection of Printing Errors in 3D Printers Using Artificial Intelligence and Image Processing Methods</t>
  </si>
  <si>
    <t>FORTHCOMING NETWORKS AND SUSTAINABILITY IN THE AIOT ERA, VOL 1, FONES-AIOT 2024</t>
  </si>
  <si>
    <t>2nd International Conference on Forthcoming Networks and Sustainability in the AIoT Era (FoNeS-AIoT)</t>
  </si>
  <si>
    <t>JAN 27-29, 2024</t>
  </si>
  <si>
    <t>Three-dimensional printer; print error; detection; artificial intelligence; image processing</t>
  </si>
  <si>
    <t>This article aims to employ artificial intelligence and image processing methods for the detection of print errors in three-dimensional (3D) printers. 3D printers represent a technology that offers various advantages; however, errors may occur during or after the printing process. These errors can impact the print quality, reliability, and functionality. Therefore, it is crucial to detect and prevent printing errors. In this research, image processing and artificial intelligence methods will be utilized to automatically identify, classify, and measure printing errors. These methods will take input in the form of images of the printing process or prints and provide output indicating the presence, type, size, and location of printing errors. These approaches have the potential to facilitate, expedite, and reduce the cost of detecting printing errors. The scope of this research is the application of artificial intelligence and image processing methods for the detection of print errors in 3D printers. The limitations of this research include considerations such as the performance, complexity, flexibility, compatibility, reliability, and validity of the employed methods.</t>
  </si>
  <si>
    <t>[Baydogan, Harun] Istanbul Topkapi Univ, Artificial Intelligence Engn, TR-34087 Istanbul, Turkiye</t>
  </si>
  <si>
    <t>Istanbul Topkapi University</t>
  </si>
  <si>
    <t>Baydogan, H (corresponding author), Istanbul Topkapi Univ, Artificial Intelligence Engn, TR-34087 Istanbul, Turkiye.</t>
  </si>
  <si>
    <t>harunbaydogan@stu.topkapi.edu.tr</t>
  </si>
  <si>
    <t>978-3-031-62870-2; 978-3-031-62871-9</t>
  </si>
  <si>
    <t>10.1007/978-3-031-62871-9_32</t>
  </si>
  <si>
    <t>Computer Science, Artificial Intelligence; Computer Science, Cybernetics; Computer Science, Interdisciplinary Applications</t>
  </si>
  <si>
    <t>BX4AG</t>
  </si>
  <si>
    <t>WOS:001286524700032</t>
  </si>
  <si>
    <t>Benjelloun, A; Kabak, S</t>
  </si>
  <si>
    <t>Balachandran, K; Kim, JH; Bansal, JC; Kumar, S</t>
  </si>
  <si>
    <t>Benjelloun, Ahmed; Kabak, Saad</t>
  </si>
  <si>
    <t>Ethical Challenges and Managerial Implications of Artificial Intelligence in Digital Marketing</t>
  </si>
  <si>
    <t>FOURTH CONGRESS ON INTELLIGENT SYSTEMS, VOL 2, CIS 2023</t>
  </si>
  <si>
    <t>4th Congress on Intelligent Systems (CIS)</t>
  </si>
  <si>
    <t>SEP 04-05, 2023</t>
  </si>
  <si>
    <t>CHRIST, Bengaluru, INDIA</t>
  </si>
  <si>
    <t>Soft Comput Res Soc</t>
  </si>
  <si>
    <t>CHRIST</t>
  </si>
  <si>
    <t>Digital marketing; Artificial intelligence; Ethics</t>
  </si>
  <si>
    <t>This article examines the ethical challenges and managerial implications resulting from the application of artificial intelligence in digital marketing. Its purpose is to analyze the influence of artificial intelligence on the strategies of digital marketing and suggest ways, and companies can responsibly use to face these challenges. To achieve this, a documentary research methodology was performed. The results of the review highlighted three major ethical challenges: privacy, transparency, and discrimination. Privacy concerns the way of collecting and using personal data in AI-powered digital marketing practices. Transparency is critical as consumers need to know about the AI algorithms and decision-making processes behind targeted marketing efforts. Discrimination refers to potential prejudices and unfairness that AI algorithms can create. Companies need to recognize these challenges, mitigate risks, and establish mechanisms to ensure ethical practices in their AI-powered digital marketing strategies. Marketers should take a responsible and ethical approach when implementing AI, considering its potential impact on privacy, transparency, and fairness. At a societal level, we need regulations and standards that manage the utilization of artificial intelligence in digital marketing, promote ethical behavior, and protect consumer rights. The novelty of this article reside in the fact that we have integrated of the fields of digital marketing and artificial intelligence to address the resulting ethical challenges.</t>
  </si>
  <si>
    <t>[Benjelloun, Ahmed] Univ Mohammed Ben Abdellah, Fes, Morocco; [Kabak, Saad] Moulay Ismail Univ, Errachidia Multidisciplinary Fac, Meknes, Morocco</t>
  </si>
  <si>
    <t>Sidi Mohamed Ben Abdellah University of Fez; Moulay Ismail University of Meknes</t>
  </si>
  <si>
    <t>Kabak, S (corresponding author), Moulay Ismail Univ, Errachidia Multidisciplinary Fac, Meknes, Morocco.</t>
  </si>
  <si>
    <t>ahmed.benjelloun@usmba.ac.ma; saad.kabak@usmba.ac.ma</t>
  </si>
  <si>
    <t>978-981-99-9039-9; 978-981-99-9040-5</t>
  </si>
  <si>
    <t>10.1007/978-981-99-9040-5_32</t>
  </si>
  <si>
    <t>BX5XC</t>
  </si>
  <si>
    <t>WOS:001304469500032</t>
  </si>
  <si>
    <t>Olmos, JJV; Cugini, F; Buining, F; O'Mahony, N; Truong, T; Liss, L; Oved, T; Binshtock, Z; Goldenberg, D</t>
  </si>
  <si>
    <t>Olmos, J. J. Vegas; Cugini, Filippo; Buining, Fred; O'Mahony, Niamh; Truong, Thuy; Liss, Liran; Oved, Tzahi; Binshtock, Zac; Goldenberg, Dror</t>
  </si>
  <si>
    <t>Big Data Processing and Artificial Intelligence at the Network Edge</t>
  </si>
  <si>
    <t>2020 22ND INTERNATIONAL CONFERENCE ON TRANSPARENT OPTICAL NETWORKS (ICTON 2020)</t>
  </si>
  <si>
    <t>International Conference on Transparent Optical Networks-ICTON</t>
  </si>
  <si>
    <t>22nd International Conference on Transparent Optical Networks (ICTON)</t>
  </si>
  <si>
    <t>JUL 19-23, 2020</t>
  </si>
  <si>
    <t>Bari, ITALY</t>
  </si>
  <si>
    <t>IEEE,IEEE Photon Soc, Italy Chapter,Natl Inst Telecommunicat, Dept Transmiss &amp; Opt Technologies,Politecnico Bari, Dipartimento Ingn Elettrica &amp; dellInformazione,IEEE Photon Soc, Poland Chapter,Soc Italiana Ottica &amp; Fotonica,European Opt Soc, Italian Branch,FYLA,Leanfa,Smoptics,Aragon Photon,Zurich Instruments,Light Tec,Fondazione Bruno Kessler</t>
  </si>
  <si>
    <t>edge computing; artificial intelligence; computing infrastructure; extreme scale analytics</t>
  </si>
  <si>
    <t>The delivery of computing services including storage, databases, networking, software, analytics, intelligence and more is moving from the cloud towards the edge; among all technical requirements, the edge needs to be able to natively support artificial intelligence processes to enable new technological paradigms, such as smart Factory 4.0, healthcare assisted living, smart cities and advanced robotics, for example In this paper, we will present the enabling technologies to will be developed within the Big data processing and artificial intelligence at the network edge (BRAINE) project, one of the largest joint activities in Europe in the area of edge computing enabling artificial intelligence. BRAINE covers the full stack of a system solution, from subsystem integration up to artificial intelligence service provisioning, and includes four use cases of direct impact in the European ecosystem.</t>
  </si>
  <si>
    <t>[Olmos, J. J. Vegas; Liss, Liran; Oved, Tzahi; Binshtock, Zac; Goldenberg, Dror] Mellanox Technol, Hakidma 23, IL-2069200 Yokneam, Israel; [Cugini, Filippo] Conzorcio Nazl Interuniv Telecommunicaz CNIT, Natl Lab Photon Networks, Via G Moruzzi 1, I-56124 Pisa, Italy; [Buining, Fred] Hiro MicroDataCtr, Voorburg, Netherlands; [O'Mahony, Niamh; Truong, Thuy] Dell EMC, Cork, Ireland</t>
  </si>
  <si>
    <t>Dell Incorporated; Dell EMC; Dell EMC Ireland</t>
  </si>
  <si>
    <t>Olmos, JJV (corresponding author), Mellanox Technol, Hakidma 23, IL-2069200 Yokneam, Israel.</t>
  </si>
  <si>
    <t>juanj@mellanox.com</t>
  </si>
  <si>
    <t>Cugini, Filippo/0000-0002-9840-0365</t>
  </si>
  <si>
    <t>European Commission</t>
  </si>
  <si>
    <t>European Commission(European Union (EU)European Commission Joint Research Centre)</t>
  </si>
  <si>
    <t>The authors acknowledge the European Commission and the local authorities of Italy, Poland, the Netherlands, Israel, Ireland, Hungary, Germany, Switzerland, Slovakia, Bulgaria, Finland and the Czech Republic for partly funding this research. In addition, the authors thanks all the partners in BRAINE (CNIT, IS-Wireless, Comcores, Hiro MicroDataCeners, Mellanox, Dell EMC, PCB Design, NEC Laboratories Europe, Leibniz Universitat Hannover, Secure-IC, SixSq, eccenca, Wind Tre, IMC, Scuola Superiote Sant'Anna, Italtel, VMware, University of Budapest, Eindhoven University of Technology, Infineon, Helder-ID, Marshall AI, University College Cork, Czech Technical University Prague, Factorio Solutions, Synano and Sma-rty).</t>
  </si>
  <si>
    <t>2162-7339</t>
  </si>
  <si>
    <t>978-1-7281-8423-4</t>
  </si>
  <si>
    <t>INT C TRANS OPT NETW</t>
  </si>
  <si>
    <t>10.1109/icton51198.2020.9203141</t>
  </si>
  <si>
    <t>Engineering, Electrical &amp; Electronic; Optics; Telecommunications</t>
  </si>
  <si>
    <t>Engineering; Optics; Telecommunications</t>
  </si>
  <si>
    <t>BR0HZ</t>
  </si>
  <si>
    <t>WOS:000629119400093</t>
  </si>
  <si>
    <t>Huang, J; Shen, G; Ren, XP</t>
  </si>
  <si>
    <t>Huang, Jian; Shen, Gang; Ren, Xiping</t>
  </si>
  <si>
    <t>Connotation Analysis and Paradigm Shift of Teaching Design under Artificial Intelligence Technology</t>
  </si>
  <si>
    <t>INTERNATIONAL JOURNAL OF EMERGING TECHNOLOGIES IN LEARNING</t>
  </si>
  <si>
    <t>Artificial intelligence technology; paradigm shift; teaching design; teaching efficiency</t>
  </si>
  <si>
    <t>The influence of artificial intelligence technology on teaching design is explored to improve teaching efficiency. First, artificial intelligence is introduced and its impacts on teaching design are analyzed. Second, the connotation of the paradigm of teaching design and the paradigm shift for teaching design are explored using the paradigm shift analysis framework. Finally, the changes in teaching design under artificial intelligence are analyzed, and the impacts of artificial intelligence on teaching activities are investigated. The results show that the application of artificial intelligence technology has led to different levels of change in the six elements of teaching design, including teaching objectives, service objects (teachers and students), teaching content, teaching media, teaching environment, and teaching evaluation. The connotation and paradigm shift of the teaching design are introduced from the four elements based on the artificial intelligence technology. It is found that artificial intelligence technology can enhance the learning ability and cognitive ability of students to a certain extent while improving the teaching efficiency and learning efficiency. The investigation proves that the teaching design based on artificial intelligence technology can be applied to teaching activities, thereby improving the learning efficiency of students and the teaching efficiency of teachers.</t>
  </si>
  <si>
    <t>[Huang, Jian] Nanjing Inst Technol, Nanjing, Peoples R China; [Shen, Gang] Changzhou Univ, Changzhou, Peoples R China; [Ren, Xiping] Zhejiang Normal Univ, Jinhua, Zhejiang, Peoples R China; [Ren, Xiping] Univ Rostock, Rostock, Germany</t>
  </si>
  <si>
    <t>Nanjing Institute of Technology; Changzhou University; Zhejiang Normal University; University of Rostock</t>
  </si>
  <si>
    <t>Ren, XP (corresponding author), Zhejiang Normal Univ, Jinhua, Zhejiang, Peoples R China.;Ren, XP (corresponding author), Univ Rostock, Rostock, Germany.</t>
  </si>
  <si>
    <t>huanj@njit.edu.cn</t>
  </si>
  <si>
    <t>China Jiangsu Province Educational Science 13th Five-Year Plan Project: Construction of an innovative leisure sports talent training system based on vocational adaptability</t>
  </si>
  <si>
    <t>This work was supported by China Jiangsu Province Educational Science 13th Five-Year Plan Project: Construction of an innovative leisure sports talent training system based on vocational adaptability(NO.D/2018/01/70)</t>
  </si>
  <si>
    <t>KASSEL UNIV PRESS GMBH</t>
  </si>
  <si>
    <t>KASSEL</t>
  </si>
  <si>
    <t>DIAGONALE 10, D-34127 KASSEL, GERMANY</t>
  </si>
  <si>
    <t>1863-0383</t>
  </si>
  <si>
    <t>INT J EMERG TECHNOL</t>
  </si>
  <si>
    <t>Int. J. Emerg. Technol. Learn.</t>
  </si>
  <si>
    <t>10.3991/ijet.v16i05.20287</t>
  </si>
  <si>
    <t>QX9IU</t>
  </si>
  <si>
    <t>WOS:000629656200006</t>
  </si>
  <si>
    <t>Gajic, M; Vojinovic, J; Kalevski, K; Pavlovic, M; Kolak, V; Vukovic, B; Mladenovic, R; Aleksic, E</t>
  </si>
  <si>
    <t>Gajic, Milica; Vojinovic, Jovan; Kalevski, Katarina; Pavlovic, Maja; Kolak, Veljko; Vukovic, Branislava; Mladenovic, Rasa; Aleksic, Ema</t>
  </si>
  <si>
    <t>Analysis of the Impact of Oral Health on Adolescent Quality of Life Using Standard Statistical Methods and Artificial Intelligence Algorithms</t>
  </si>
  <si>
    <t>CHILDREN-BASEL</t>
  </si>
  <si>
    <t>adolescents; quality of life; oral health; artificial intelligence</t>
  </si>
  <si>
    <t>DAILY PERFORMANCE; DENTAL-CARIES; BEHAVIOR; CHILDREN</t>
  </si>
  <si>
    <t>The aim of this study was to determine the impact of oral health on adolescent quality of life and to compare the results obtained using standard statistical methods and artificial intelligence algorithms. In order to measure the impact of oral health on adolescent quality of life, a validated Serbian version of the Oral Impacts on Daily Performance (OIDP) scale was used. The total sample comprised 374 respondents. The obtained results were processed using standard statistical methods and machine learning, i.e., artificial intelligence algorithms-singular value decomposition. OIDP score was dichotomized into two categories depending on whether the respondents had or did not have oral or teeth problems affecting their life quality. Human intuition and machine algorithms came to the same conclusion on how the respondents should be divided. As such, method quality and the need to perform analyses of this type in dentistry studies were demonstrated. Using artificial intelligence algorithms, the respondents can be clustered into characteristic groups that allow the discovery of details not possible with the intuitive division of respondents by gender.</t>
  </si>
  <si>
    <t>[Gajic, Milica; Vojinovic, Jovan; Kalevski, Katarina; Pavlovic, Maja; Kolak, Veljko; Vukovic, Branislava; Aleksic, Ema] Univ Business Acad Novi Sad, Fac Stomatol Pancevo, Pancevo 26000, Serbia; [Mladenovic, Rasa] Univ Kragujevac, Dept Dent, Fac Med Sci, Kragujevac 34000, Serbia</t>
  </si>
  <si>
    <t>University of Kragujevac</t>
  </si>
  <si>
    <t>Mladenovic, R (corresponding author), Univ Kragujevac, Dept Dent, Fac Med Sci, Kragujevac 34000, Serbia.</t>
  </si>
  <si>
    <t>milicaarsenijevic@gmail.com; jovan.vojinovic@sfp.rs; katarina.kalevski@sfp.rs; maja.pavlovic@sfp.rs; veljko.kolak@sfp.rs; branislava.vukovic@sfp.rs; rasa.mladenovic@med.pr.ac.rs; ema.aleksic@sfp.rs</t>
  </si>
  <si>
    <t>Mladenovic, Rasa/Q-1183-2019; Gajić, Milica/HDN-7991-2022; Kolak, Veljko/HDN-5961-2022</t>
  </si>
  <si>
    <t>Vukovic, Branislava/0000-0003-1464-968X; Mladenovic, Rasa/0000-0003-0767-8423; Kalevski, Katarina/0000-0001-8974-1187; Gajic, Milica/0000-0001-8915-7597; Aleksic, Ema/0000-0001-7007-0176; Kolak, Veljko/0000-0002-4178-410X; Pavlovic, Maja/0000-0003-2332-3155</t>
  </si>
  <si>
    <t>2227-9067</t>
  </si>
  <si>
    <t>Children-Basel</t>
  </si>
  <si>
    <t>10.3390/children8121156</t>
  </si>
  <si>
    <t>Pediatrics</t>
  </si>
  <si>
    <t>XX2BC</t>
  </si>
  <si>
    <t>WOS:000736107100001</t>
  </si>
  <si>
    <t>Hung, KF; Ai, QYH; Leung, YY; Yeung, AWK</t>
  </si>
  <si>
    <t>Hung, Kuo Feng; Ai, Qi Yong H.; Leung, Yiu Yan; Yeung, Andy Wai Kan</t>
  </si>
  <si>
    <t>Potential and impact of artificial intelligence algorithms in dento-maxillofacial radiology</t>
  </si>
  <si>
    <t>CLINICAL ORAL INVESTIGATIONS</t>
  </si>
  <si>
    <t>Artificial intelligence; Deep learning; Convolutional neural network; Dento-maxillofacial radiology</t>
  </si>
  <si>
    <t>NONINVASIVE DIFFERENTIAL-DIAGNOSIS; CONVOLUTIONAL NEURAL-NETWORK; MINOR APICAL FORAMEN; LANDMARK DETECTION; BONE-LOSS; COMPUTED-TOMOGRAPHY; AUTOMATIC DETECTION; PERIAPICAL LESIONS; COMPROMISED TEETH; CLASSIFICATION</t>
  </si>
  <si>
    <t>Objectives Novel artificial intelligence (AI) learning algorithms in dento-maxillofacial radiology (DMFR) are continuously being developed and improved using advanced convolutional neural networks. This review provides an overview of the potential and impact of AI algorithms in DMFR. Materials and methods A narrative review was conducted on the literature on AI algorithms in DMFR. Results In the field of DMFR, AI algorithms were mainly proposed for (1) automated detection of dental caries, periapical pathologies, root fracture, periodontal/peri-implant bone loss, and maxillofacial cysts/tumors; (2) classification of mandibular third molars, skeletal malocclusion, and dental implant systems; (3) localization of cephalometric landmarks; and (4) improvement of image quality. Data insufficiency, overfitting, and the lack of interpretability are the main issues in the development and use of image-based AI algorithms. Several strategies have been suggested to address these issues, such as data augmentation, transfer learning, semi-supervised training, few-shot learning, and gradient-weighted class activation mapping. Conclusions Further integration of relevant AI algorithms into one fully automatic end-to-end intelligent system for possible multi-disciplinary applications is very likely to be a field of increased interest in the future.</t>
  </si>
  <si>
    <t>[Hung, Kuo Feng; Leung, Yiu Yan] Univ Hong Kong, Div Oral &amp; Maxillofacial Surg, Fac Dent, Hong Kong, Peoples R China; [Hung, Kuo Feng; Yeung, Andy Wai Kan] Univ Hong Kong, Div Oral &amp; Maxillofacial Radiol Appl Oral Sci &amp; C, Fac Dent, Hong Kong, Peoples R China; [Ai, Qi Yong H.] Hong Kong Polytech Univ, Dept Hlth Technol &amp; Informat, Hong Kong, Peoples R China</t>
  </si>
  <si>
    <t>University of Hong Kong; University of Hong Kong; Hong Kong Polytechnic University</t>
  </si>
  <si>
    <t>Yeung, AWK (corresponding author), Univ Hong Kong, Div Oral &amp; Maxillofacial Radiol Appl Oral Sci &amp; C, Fac Dent, Hong Kong, Peoples R China.</t>
  </si>
  <si>
    <t>ndyeung@hku.hk</t>
  </si>
  <si>
    <t>Leung, Mike/F-4438-2011; Hung, Kuofeng/AAL-7795-2021; Ai, Qiyong/JKH-8377-2023; Yeung, Andy Wai Kan/M-4332-2019</t>
  </si>
  <si>
    <t>Hung, Kuo Feng/0000-0002-3971-3484; Ai, Qi Yong/0000-0002-1155-4389; Leung, Yiu Yan/0000-0002-6670-6570; Yeung, Andy Wai Kan/0000-0003-3672-357X</t>
  </si>
  <si>
    <t>1432-6981</t>
  </si>
  <si>
    <t>1436-3771</t>
  </si>
  <si>
    <t>CLIN ORAL INVEST</t>
  </si>
  <si>
    <t>Clin. Oral Investig.</t>
  </si>
  <si>
    <t>10.1007/s00784-022-04477-y</t>
  </si>
  <si>
    <t>4N3HM</t>
  </si>
  <si>
    <t>WOS:000784838500001</t>
  </si>
  <si>
    <t>Taherdoost, H; Madanchian, M</t>
  </si>
  <si>
    <t>Taherdoost, Hamed; Madanchian, Mitra</t>
  </si>
  <si>
    <t>Artificial Intelligence and Knowledge Management: Impacts, Benefits, and Implementation</t>
  </si>
  <si>
    <t>COMPUTERS</t>
  </si>
  <si>
    <t>artificial intelligence; knowledge management; knowledge-based system; knowledge acquisition; machine learning</t>
  </si>
  <si>
    <t>MEDIATING ROLE; SYSTEMS; PERFORMANCE; FUTURE</t>
  </si>
  <si>
    <t>The process of generating, disseminating, using, and managing an organization's information and knowledge is known as knowledge management (KM). Conventional KM has undergone modifications throughout the years, but documentation has always been its foundation. However, the significant move to remote and hybrid working has highlighted the shortcomings in current procedures. These gaps will be filled by artificial intelligence (AI), which will also alter how KM is transformed and knowledge is handled. This article analyzes studies from 2012 to 2022 that examined AI and KM, with a particular emphasis on how AI may support businesses in their attempts to successfully manage knowledge and information. This critical review examines the current approaches in light of the literature that is currently accessible on AI and KM, focusing on articles that address practical applications and the research background. Furthermore, this review provides insight into potential future study directions and improvements by presenting a critical evaluation.</t>
  </si>
  <si>
    <t>[Taherdoost, Hamed; Madanchian, Mitra] Univ Canada West, Dept Arts Commun &amp; Social Sci, Vancouver, BC V6Z 0E5, Canada; [Madanchian, Mitra] Hamta Business Corp, Res &amp; Dev Dept, Vancouver, BC V6E 1C9, Canada</t>
  </si>
  <si>
    <t>Taherdoost, H (corresponding author), Univ Canada West, Dept Arts Commun &amp; Social Sci, Vancouver, BC V6Z 0E5, Canada.</t>
  </si>
  <si>
    <t>hamed.taherdoost@gmail.com</t>
  </si>
  <si>
    <t>Taherdoost, Hamed/A-1270-2015; Madanchian, Mitra/AAO-4326-2020</t>
  </si>
  <si>
    <t>2073-431X</t>
  </si>
  <si>
    <t>Computers</t>
  </si>
  <si>
    <t>10.3390/computers12040072</t>
  </si>
  <si>
    <t>E8BJ9</t>
  </si>
  <si>
    <t>WOS:000977729700001</t>
  </si>
  <si>
    <t>Al-Othman, AAAM</t>
  </si>
  <si>
    <t>Al-Othman, Amal Abdul-Aziz Mohammad</t>
  </si>
  <si>
    <t>Using Artificial Intelligence in English As A Foreign Language Classrooms: Ethical Concerns and Future Prospects</t>
  </si>
  <si>
    <t>artificial intelligence; artificial intelligence applications; ChatGPT; education technology; English as a Foreign Language; language education</t>
  </si>
  <si>
    <t>This qualitative study aimed to explore how teachers of English perceive the advantages and disadvantages of using artificial intelligence by Saudi students who study English as a Foreign Language. The study used semi-structured interviews to delve into teachers' pedagogical beliefs, ethical concerns, and expectations regarding using artificial intelligence tools by Saudi students, using a college of English language in a public university as a case study. The main research question focused on examining the positive and negative impacts of artificial intelligence on students' language performance. The study findings revealed several themes from teachers' interviews, including strategies for implementing artificial intelligence in the classroom, the impacts of artificial intelligence on students' language proficiency, and the importance of guiding students to effectively use artificial intelligence applications. The findings also highlighted teachers' expectations for expanding open-source language learning online channels and the widespread use of robots in English classrooms. The study recommends aligning professional development programs with language curricula to equip teachers with the necessary skills for effectively integrating artificial intelligence technologies into the classroom. The significance of this study stems from its contribution to the current debate on using artificial intelligence in education, presenting empirical evidence on its impacts on students' language performance.</t>
  </si>
  <si>
    <t>[Al-Othman, Amal Abdul-Aziz Mohammad] Imam Mohammad Ibn Saud Islamic Univ IMSIU, Coll Languages &amp; Translat, Dept English Language &amp; Literature, Riyadh, Saudi Arabia</t>
  </si>
  <si>
    <t>Al-Othman, AAAM (corresponding author), Imam Mohammad Ibn Saud Islamic Univ IMSIU, Coll Languages &amp; Translat, Dept English Language &amp; Literature, Riyadh, Saudi Arabia.</t>
  </si>
  <si>
    <t>aalothman@imamu.edu.sa</t>
  </si>
  <si>
    <t>Alothman, Amal/0009-0000-7238-2173</t>
  </si>
  <si>
    <t>Deanship of Scientific Research at Imam Mohammad Ibn Saud Islamic University (IMSIU) [IMSIU-RG23007]</t>
  </si>
  <si>
    <t>Deanship of Scientific Research at Imam Mohammad Ibn Saud Islamic University (IMSIU)(Imam Abdulrahman Bin Faisal University)</t>
  </si>
  <si>
    <t>Funding: This work was supported and funded by the Deanship of Scientific Research at Imam Mohammad Ibn Saud Islamic University (IMSIU) (grant number IMSIU-RG23007) .</t>
  </si>
  <si>
    <t>10.24093/awej/call10.7</t>
  </si>
  <si>
    <t>G8Y1B</t>
  </si>
  <si>
    <t>WOS:001319418200007</t>
  </si>
  <si>
    <t>Van Royen, FS; Asselbergs, FW; Alfonso, F; Vardas, P; Van Smeden, M</t>
  </si>
  <si>
    <t>Van Royen, Florien S.; Asselbergs, Folkert W.; Alfonso, Fernando; Vardas, Panos; Van Smeden, Maarten</t>
  </si>
  <si>
    <t>Five critical quality criteria for artificial intelligence-based prediction models</t>
  </si>
  <si>
    <t>EUROPEAN HEART JOURNAL</t>
  </si>
  <si>
    <t>Artificial intelligence; Digital health; Prediction; Prognosis; Diagnosis</t>
  </si>
  <si>
    <t>DIGITAL HEALTH; DIAGNOSIS; CARE</t>
  </si>
  <si>
    <t>To raise the quality of clinical artificial intelligence (AI) prediction modelling studies in the cardiovascular health domain and thereby improve their impact and relevancy, the editors for digital health, innovation, and quality standards of the European Heart Journal propose five minimal quality criteria for AI-based prediction model development and validation studies: complete reporting, carefully defined intended use of the model, rigorous validation, large enough sample size, and openness of code and software. Graphical Abstract Five critical quality criteria for artificial intelligence (AI)-based prediction models.</t>
  </si>
  <si>
    <t>[Van Royen, Florien S.] Univ Utrecht, Univ Med Ctr Utrecht, Julius Ctr Hlth Sci &amp; Primary Care, Dept Gen Practice &amp; Nursing Sci, Utrecht, Netherlands; [Asselbergs, Folkert W.] Univ Amsterdam, Amsterdam Univ Med Ctr, Dept Cardiol, Amsterdam, Netherlands; [Asselbergs, Folkert W.] UCL, Hlth Data Res UK, London, England; [Alfonso, Fernando] Univ Autonoma Madrid, Hosp Univ la Princesa, IIS IP CIVER CV, Dept Cardiol, Madrid, Spain; [Vardas, Panos] Biomed Res Fdn Acad Athens BRFAA, Athens, Greece; [Van Smeden, Maarten] Univ Utrecht, Univ Med Ctr Utrecht, Julius Ctr Hlth Sci &amp; Primary Care, Dept Epidemiol &amp; Hlth Econ, Univ Sweg 100, NL-3584 CG Utrecht, Netherlands; [Van Smeden, Maarten] Univ Utrecht, Univ Med Ctr Utrecht, Julius Ctr Hlth Sci &amp; Primary Care, Dept Data Sci &amp; Biostat, Univ Sweg 100, NL-3584 CG Utrecht, Netherlands</t>
  </si>
  <si>
    <t>Utrecht University; Utrecht University Medical Center; University of Amsterdam; University of London; University College London; Autonomous University of Madrid; Hospital de La Princesa; Academy of Athens; Utrecht University; Utrecht University Medical Center; Utrecht University; Utrecht University Medical Center</t>
  </si>
  <si>
    <t>Van Smeden, M (corresponding author), Univ Utrecht, Univ Med Ctr Utrecht, Julius Ctr Hlth Sci &amp; Primary Care, Dept Epidemiol &amp; Hlth Econ, Univ Sweg 100, NL-3584 CG Utrecht, Netherlands.;Van Smeden, M (corresponding author), Univ Utrecht, Univ Med Ctr Utrecht, Julius Ctr Hlth Sci &amp; Primary Care, Dept Data Sci &amp; Biostat, Univ Sweg 100, NL-3584 CG Utrecht, Netherlands.</t>
  </si>
  <si>
    <t>m.vansmeden@umcutrecht.nl</t>
  </si>
  <si>
    <t>vardas, panos/ABF-7144-2020</t>
  </si>
  <si>
    <t>Asselbergs, Folkert Wouter/0000-0002-1692-8669; van Smeden, Maarten/0000-0002-5529-1541; van Royen, Florien/0000-0002-6785-214X</t>
  </si>
  <si>
    <t>F.W.A. is supported by UCL Hospitals NIHR Biomedical Research Centre, EU Horizon (AI4HF 101080430 and DataTools4Heart 101057849), and Dutch Research Council (MyDigiTwin 628.011.213). [AI4HF 101080430, 101057849]; UCL Hospitals NIHR Biomedical Research Centre, EU Horizon [MyDigiTwin 628.011.213]; Dutch Research Council</t>
  </si>
  <si>
    <t>F.W.A. is supported by UCL Hospitals NIHR Biomedical Research Centre, EU Horizon (AI4HF 101080430 and DataTools4Heart 101057849), and Dutch Research Council (MyDigiTwin 628.011.213).; UCL Hospitals NIHR Biomedical Research Centre, EU Horizon; Dutch Research Council</t>
  </si>
  <si>
    <t>F.W.A. is supported by UCL Hospitals NIHR Biomedical Research Centre, EU Horizon (AI4HF 101080430 and DataTools4Heart 101057849), and Dutch Research Council (MyDigiTwin 628.011.213).</t>
  </si>
  <si>
    <t>0195-668X</t>
  </si>
  <si>
    <t>1522-9645</t>
  </si>
  <si>
    <t>EUR HEART J</t>
  </si>
  <si>
    <t>Eur. Heart J.</t>
  </si>
  <si>
    <t>DEC 7</t>
  </si>
  <si>
    <t>10.1093/eurheartj/ehad727</t>
  </si>
  <si>
    <t>AL8Q1</t>
  </si>
  <si>
    <t>WOS:001090710900001</t>
  </si>
  <si>
    <t>Fu, YY; Shen, YC; Song, ML; Wang, WY</t>
  </si>
  <si>
    <t>Fu, Yunyun; Shen, Yongchang; Song, Malin; Wang, Weiyu</t>
  </si>
  <si>
    <t>Does artificial intelligence reduce corporate energy consumption? New evidence from China</t>
  </si>
  <si>
    <t>Artificial intelligence; Energy consumption; Technological innovation; Digital Transformation</t>
  </si>
  <si>
    <t>ECONOMIC-GROWTH; DIGITAL TRANSFORMATION; EMPIRICAL-ANALYSIS; RENEWABLE ENERGY; WORK HUMAN; TECHNOLOGY; EMISSIONS; INNOVATION; EFFICIENCY; INTENSITY</t>
  </si>
  <si>
    <t>Artificial intelligence is playing a significant role in addressing the energy crisis. This study selected data from manufacturing companies listed on China 's A-share market from 2011 to 2022 and calculated the total energy consumption for the first time. The data include the usage of coal, natural gas, gasoline, diesel and water consumption, electricity usage, and centralized heating. The data were then matched and merged with robot usage data from the International Federation of Robotics to empirically study the impact and mechanism of artificial intelligence on energy consumption levels. Our findings reveal that energy consumption decreases by 0.20 % with a oneunit increase in artificial intelligence applications by a corporation, indicating artificial intelligence can significantly reduce energy consumption. The mechanisms by which artificial intelligence affects energy consumption include technological innovation and digital transformation. Additionally, a heterogeneity analysis revealed that applying artificial intelligence in state-owned enterprises, high-tech companies, and non-heavy-pollution industries can further reduce energy consumption. Our study also provides important practical implications for formulating and optimizing global energy policies to achieve sustainable development goals.</t>
  </si>
  <si>
    <t>[Fu, Yunyun] Chuzhou Univ, Sch Math &amp; Finance, Chuzhou 239000, Peoples R China; [Shen, Yongchang] Anhui Jianzhu Univ, Sch Econ &amp; Management, Hefei 230022, Peoples R China; [Song, Malin] Lebanese Amer Univ, Adnan Kassar Sch Business, Beirut 11020, Lebanon; [Wang, Weiyu] Univ Lisbon, ISEG Lisbon Sch Econ &amp; Management, P-1200781 Lisbon, Portugal</t>
  </si>
  <si>
    <t>Chuzhou University; Anhui Jianzhu University; Lebanese American University; Universidade de Lisboa</t>
  </si>
  <si>
    <t>Shen, YC (corresponding author), Anhui Jianzhu Univ, Sch Econ &amp; Management, Hefei 230022, Peoples R China.</t>
  </si>
  <si>
    <t>shenyongchang0912@163.com</t>
  </si>
  <si>
    <t>Wang, Weiyu/JWO-2360-2024; Song, Malin/AEQ-0507-2022</t>
  </si>
  <si>
    <t>Shen, Yongchang/0000-0002-2590-9507; Wang, Weiyu/0000-0002-5686-7741</t>
  </si>
  <si>
    <t>National Natural Science Foundation of China [71934001]; Innovation and Development of Social Sciences Funds of Anhui Province [2021CX040]; Philosophy and Social Science Funds of Anhui Provincial Department of Education [2023AH040034, 2023AH051578]; Housing and Urban Rural Construction Science and Technology Plan Project of Anhui Province [2023-RK020]; Fundamental Research Funds for the Central Universities of China [PA2023IISL0093]; Anhui Jianzhu University [2022QDZ17]</t>
  </si>
  <si>
    <t>National Natural Science Foundation of China(National Natural Science Foundation of China (NSFC)); Innovation and Development of Social Sciences Funds of Anhui Province; Philosophy and Social Science Funds of Anhui Provincial Department of Education; Housing and Urban Rural Construction Science and Technology Plan Project of Anhui Province; Fundamental Research Funds for the Central Universities of China(Fundamental Research Funds for the Central Universities); Anhui Jianzhu University</t>
  </si>
  <si>
    <t>This study was supported by the National Natural Science Foundation of China [grant number 71934001] , Innovation and Development of Social Sciences Funds of Anhui Province [grant number 2021CX040], Philosophy and Social Science Funds of Anhui Provincial Department of Education [grant number 2023AH040034; 2023AH051578], Housing and Urban Rural Construction Science and Technology Plan Project of Anhui Province [grant number 2023-RK020] , the Fundamental Research Funds for the Central Universities of China [grant numberPA2023IISL0093] and Research Startup Fund of Anhui Jianzhu University [grant number 2022QDZ17] .</t>
  </si>
  <si>
    <t>10.1016/j.eap.2024.07.005</t>
  </si>
  <si>
    <t>YP0W1</t>
  </si>
  <si>
    <t>WOS:001269581000001</t>
  </si>
  <si>
    <t>Eroglu, M; Kaya, MK</t>
  </si>
  <si>
    <t>Eroglu, Muzaffer; Kaya, Meltem Karatepe</t>
  </si>
  <si>
    <t>Impact of Artificial Intelligence on Corporate Board Diversity Policies and Regulations</t>
  </si>
  <si>
    <t>EUROPEAN BUSINESS ORGANIZATION LAW REVIEW</t>
  </si>
  <si>
    <t>Artificial intelligence; Board diversity; Gender quota; Corporate governance; Corporate law</t>
  </si>
  <si>
    <t>FIRM PERFORMANCE; GENDER DIVERSITY; MANDATORY QUOTAS; DIRECTORS; WOMEN; DISCRIMINATION; BIAS; REPRESENTATION; GOVERNANCE</t>
  </si>
  <si>
    <t>With the use of artificial intelligence (AI) technologies in company activities, discussions on how to use AI in company management have emerged. Although AI is not legally recognised as a director in company law, there are examples of robot directors such as Vital, which have managed to get a seat in the corporate boardroom. Today, AI is on the verge of playing an important role in corporate governance. However, whether it has a seat on the board of directors or an important role in decision making is still a hot topic. Another critical discussion in the field of corporate governance in recent years is board diversity, which aims to improve the corporate decision-making process and create efficiency. This article attempts to anticipate the potential impact of AI on corporate board diversity policies and regulations. Therefore, this article seeks to examine the effects of the inevitable use of AI in the corporate decision-making process on corporate board gender diversity discussions and regulations under three possibilities: AI as a board member, AI as an enabler to assist a decision maker or AI being used to help decision making such as selecting board members.</t>
  </si>
  <si>
    <t>[Eroglu, Muzaffer] Bogazici Univ, Fac Law, Commercial Law Dept, Istanbul, Turkey; [Kaya, Meltem Karatepe] Istanbul Medeniyet Univ, Fac Law, Commercial Law Dept, Istanbul, Turkey</t>
  </si>
  <si>
    <t>Bogazici University; Istanbul Medeniyet University</t>
  </si>
  <si>
    <t>Eroglu, M (corresponding author), Bogazici Univ, Fac Law, Commercial Law Dept, Istanbul, Turkey.;Kaya, MK (corresponding author), Istanbul Medeniyet Univ, Fac Law, Commercial Law Dept, Istanbul, Turkey.</t>
  </si>
  <si>
    <t>muzaffer.eroglu@boun.edu.tr; meltemkaratepe.kaya@medeniyet.edu.tr</t>
  </si>
  <si>
    <t>Karatepe Kaya, Meltem/ADE-7660-2022</t>
  </si>
  <si>
    <t>1566-7529</t>
  </si>
  <si>
    <t>1741-6205</t>
  </si>
  <si>
    <t>EUR BUS ORGAN LAW RE</t>
  </si>
  <si>
    <t>Eur. Bus. Organ. Law Rev.</t>
  </si>
  <si>
    <t>10.1007/s40804-022-00251-5</t>
  </si>
  <si>
    <t>Business; Law</t>
  </si>
  <si>
    <t>Business &amp; Economics; Government &amp; Law</t>
  </si>
  <si>
    <t>4L1KP</t>
  </si>
  <si>
    <t>WOS:000799730200001</t>
  </si>
  <si>
    <t>Nagarajan, VD; Lee, SL; Robertus, JL; Nienaber, CA; Trayanova, NA; Ernst, S</t>
  </si>
  <si>
    <t>Nagarajan, Venkat D.; Lee, Su-Lin; Robertus, Jan-Lukas; Nienaber, Christoph A.; Trayanova, Natalia A.; Ernst, Sabine</t>
  </si>
  <si>
    <t>Artificial intelligence in the diagnosis and management of arrhythmias</t>
  </si>
  <si>
    <t>Artificial intelligence; Machine learning; Electrophysiology; Atrial fibrillation; Ablation</t>
  </si>
  <si>
    <t>ATRIAL-FIBRILLATION ABLATION; MAGNETIC NAVIGATION; CATHETER ABLATION; IPHONE ECG; MODEL; SYSTEM; AF; CLASSIFICATION; LOCALIZATION; TACHYCARDIA</t>
  </si>
  <si>
    <t>The field of cardiac electrophysiology (EP) had adopted simple artificial intelligence (AI) methodologies for decades. Recent renewed interest in deep learning techniques has opened new frontiers in electrocardiography analysis including signature identification of diseased states. Artificial intelligence advances coupled with simultaneous rapid growth in computational power, sensor technology, and availability of web-based platforms have seen the rapid growth of AI-aided applications and big data research. Changing lifestyles with an expansion of the concept of internet of things and advancements in telecommunication technology have opened doors to population-based detection of atrial fibrillation in ways, which were previously unimaginable. Artificial intelligence-aided advances in 3D cardiac imaging heralded the concept of virtual hearts and the simulation of cardiac arrhythmias. Robotics, completely non-invasive ablation therapy, and the concept of extended realities show promise to revolutionize the future of EP. In this review, we discuss the impact of AI and recent technological advances in all aspects of arrhythmia care. [GRAPHICS] .</t>
  </si>
  <si>
    <t>[Nagarajan, Venkat D.; Nienaber, Christoph A.; Ernst, Sabine] Royal Brompton &amp; Harefield NHS Fdn Trust, Dept Cardiol, Sydney St, London SW3 6NP, England; [Nagarajan, Venkat D.] NHS Fdn Trust, Doncaster &amp; Bassetlaw Hosp, Dept Cardiol, Thorne Rd, Doncaster DN2 5LT, England; [Lee, Su-Lin] UCL, Wellcome EPSRC Ctr Intervent &amp; Surg Sci WEISS, Foley St, London W1W 7TS, England; [Robertus, Jan-Lukas] Royal Brompton &amp; Harefield NHS Fdn Trust, Dept Pathol, Sydney St, London SW3 6NP, England; [Robertus, Jan-Lukas; Nienaber, Christoph A.; Ernst, Sabine] Imperial Coll London, Natl Heart &amp; Lung Inst, Guy Scadding Bldg,Dovehouse St, London SW3 6LY, England; [Trayanova, Natalia A.] Johns Hopkins Univ, Dept Biomed Engn, Charles St, Baltimore, MD 21218 USA</t>
  </si>
  <si>
    <t>Royal Brompton &amp; Harefield NHS Foundation Trust; University of London; University College London; UK Research &amp; Innovation (UKRI); Engineering &amp; Physical Sciences Research Council (EPSRC); Royal Brompton &amp; Harefield NHS Foundation Trust; Imperial College London; Johns Hopkins University</t>
  </si>
  <si>
    <t>Ernst, S (corresponding author), Royal Brompton &amp; Harefield NHS Fdn Trust, Dept Cardiol, Sydney St, London SW3 6NP, England.;Ernst, S (corresponding author), Imperial Coll London, Natl Heart &amp; Lung Inst, Guy Scadding Bldg,Dovehouse St, London SW3 6LY, England.</t>
  </si>
  <si>
    <t>s.ernst@rbht.nhs.uk</t>
  </si>
  <si>
    <t>Trayanova, Natalia/A-3386-2010</t>
  </si>
  <si>
    <t>Nagarajan, Venkat D/0000-0002-7975-2234; Ernst, Sabine/0000-0003-1258-2477</t>
  </si>
  <si>
    <t>National Heart Lung and Blood Institute [R01HL142496] Funding Source: NIH RePORTER</t>
  </si>
  <si>
    <t>National Heart Lung and Blood Institute(United States Department of Health &amp; Human ServicesNational Institutes of Health (NIH) - USANIH National Heart Lung &amp; Blood Institute (NHLBI))</t>
  </si>
  <si>
    <t>OCT 7</t>
  </si>
  <si>
    <t>10.1093/eurheartj/ehab544</t>
  </si>
  <si>
    <t>WK1DN</t>
  </si>
  <si>
    <t>WOS:000709473800007</t>
  </si>
  <si>
    <t>Qian, Y; Liu, J; Shi, LF; Forrest, JYL; Yang, ZD</t>
  </si>
  <si>
    <t>Qian, Yu; Liu, Jun; Shi, Lifan; Forrest, Jeffrey Yi-Lin; Yang, Zhidan</t>
  </si>
  <si>
    <t>Can artificial intelligence improve green economic growth? Evidence from China</t>
  </si>
  <si>
    <t>Artificial intelligence; Green economic growth; Dynamic space effect; Space attenuation</t>
  </si>
  <si>
    <t>CARBON EMISSIONS; INDUSTRY; OPPORTUNITIES; PRODUCTIVITY; EMPLOYMENT; CHALLENGES; MANAGEMENT; EFFICIENCY; ROBOTICS; DEA</t>
  </si>
  <si>
    <t>Not only has artificial intelligence changed the production methods of traditional industries; it has also presented a great opportunity for future industrial development to decouple from environmental degradation and the promotion of green economic growth. The article studies the influence of artificial intelligence on green economic growth and its mechanism. The research shows that (1) artificial intelligence can promote green economic growth in China. After accounting for spatial factors, it was found that artificial intelligence could promote local green economic growth, but had a siphon effect on neighboring green economic growth. From the perspective of dynamic effects, in the short term, artificial intelligence will not significantly dampen green economic growth in neighboring regions. In the long run, artificial intelligence will have a stronger role in promoting green economic growth, and the siphon effect on neighboring cities will be more significant. (2) As the level of human capital increases, the negative spillover effect of artificial intelligence will be significantly weakened. The promotion effect of artificial intelligence on green economic growth is relatively weak in resource-based cities. (3) Artificial intelligence has obvious attenuation characteristics on the spatial spillover effect of green economic growth, but significant influence is limited to within 200 km. (4) Artificial intelligence has the greatest impact on productivity, accounting for 30.59% in promoting green economic growth. The green innovation effect was 0.0181, accounting for 5.64%. The resource allocation effect is 0.0011, accounting for 3.44%. This paper provides policy enlightenment for promoting industrial intelligence and green economic growth.</t>
  </si>
  <si>
    <t>[Qian, Yu; Yang, Zhidan] Nanjing Univ Informat Sci &amp; Technol, Sch Management Sci &amp; Engn, Nanjing 210044, Peoples R China; [Liu, Jun] Wuxi Univ, Sch Business, 333 Xishan Ave, Wuxi 214105, Jiangsu, Peoples R China; [Shi, Lifan] Xian Jiaotong Liverpool Univ, Coll Humanities &amp; Social Sci, Suzhou 21500, Peoples R China; [Forrest, Jeffrey Yi-Lin] Slippery Rock Univ, Dept Accounting Econ Finance, Slippery Rock, PA 16057 USA</t>
  </si>
  <si>
    <t>Nanjing University of Information Science &amp; Technology; Wuxi University; Xi'an Jiaotong-Liverpool University; Pennsylvania State System of Higher Education (PASSHE); Slippery Rock University - Pennsylvania</t>
  </si>
  <si>
    <t>Liu, J (corresponding author), Wuxi Univ, Sch Business, 333 Xishan Ave, Wuxi 214105, Jiangsu, Peoples R China.</t>
  </si>
  <si>
    <t>liujun@nuist.edu.cn</t>
  </si>
  <si>
    <t>This study was collectively funded by the National Natural Science Foundation of China (No. 71973068); the Social Science Foundation Major Project of Jiangsu, China (No. 18ZD003); the Humanities and Social Sciences Research Planning Foundation of China's Ministry of Education (No.19YJA790055); and the Postgraduate Research and Innovation Project of Jiangsu Province (No. KYCX21_1022).</t>
  </si>
  <si>
    <t>10.1007/s11356-022-23320-1</t>
  </si>
  <si>
    <t>OCT 2022</t>
  </si>
  <si>
    <t>F7SF8</t>
  </si>
  <si>
    <t>WOS:000864208400006</t>
  </si>
  <si>
    <t>Barrios-Tao, H; Díaz-Pérez, V</t>
  </si>
  <si>
    <t>Barrios-Tao, Hernando; Diaz-Perez, Vianney</t>
  </si>
  <si>
    <t>FROM BODIES TO PROFILES: PSYCHOPOLITICAL IMPLICATIONS OF ARTIFICIAL INTELLIGENCE</t>
  </si>
  <si>
    <t>ARBOR-CIENCIA PENSAMIENTO Y CULTURA</t>
  </si>
  <si>
    <t>Artificial Intelligence; psychopolitics; body; profile; hermeneutics</t>
  </si>
  <si>
    <t>POWER; HAND</t>
  </si>
  <si>
    <t>links between data, algorithms and devices configure the development of strong artificial intelligence systems that impact the ways of being in the world. This article aims to establish psychopolitical implications of artificial intelligences on the body through an analogical hermeneutics of texts (2010-2021) in its syntactic, semantic and pragmatic phases, which allows an analogy to be established between the possible benefits, risks and opportunities for bodies and subjectivities. The results indicate implications in the reconfiguration of the body in digital scenarios, the market of profiles or new ways of being in the digital world, as well as the exercise of a psychopolitics in different stages: manipulation, modification of conduct, and governance. The conclusions point to new practices of neoliberalism oriented toward the interiority of the subjects and to the commercialization of the profiles configured through artificial intelligence systems.</t>
  </si>
  <si>
    <t>[Barrios-Tao, Hernando; Diaz-Perez, Vianney] Univ Mil Nueva Granada, Bogota, Colombia</t>
  </si>
  <si>
    <t>hernando.barrios@unimilitar.edu.co; vianney.diaz@unimilitar.edu.co</t>
  </si>
  <si>
    <t>CONSEJO SUPERIOR INVESTIGACIONES CIENTIFICAS-CSIC</t>
  </si>
  <si>
    <t>Editorial CSIC, C/VITRUVIO 8, 28006 MADRID, SPAIN</t>
  </si>
  <si>
    <t>0210-1963</t>
  </si>
  <si>
    <t>1988-303X</t>
  </si>
  <si>
    <t>ARBOR</t>
  </si>
  <si>
    <t>Arbor-Cienc. Pensam. Cult.</t>
  </si>
  <si>
    <t>10.3989/arbor.2024.811.2569</t>
  </si>
  <si>
    <t>Humanities, Multidisciplinary</t>
  </si>
  <si>
    <t>Arts &amp; Humanities - Other Topics</t>
  </si>
  <si>
    <t>K9Y1V</t>
  </si>
  <si>
    <t>WOS:001347375000011</t>
  </si>
  <si>
    <t>Kriebitz, A; Lütge, C</t>
  </si>
  <si>
    <t>Kriebitz, Alexander; Luetge, Christoph</t>
  </si>
  <si>
    <t>Artificial Intelligence and Human Rights: A Business Ethical Assessment</t>
  </si>
  <si>
    <t>BUSINESS AND HUMAN RIGHTS JOURNAL</t>
  </si>
  <si>
    <t>artificial intelligence; corporate ethics; data privacy; digitization; human rights</t>
  </si>
  <si>
    <t>Artificial intelligence (AI) has evolved as a disruptive technology, impacting a wide range of human rights-related issues ranging from discrimination to supply chain due diligence. Given the increasing human rights obligations of companies and the intensifying discourse on AI and human rights, we shed light on the responsibilities of corporate actors in terms of human rights standards in the context of developing and using AI. What implications do human rights obligations have for companies developing and using AI? In our article, we discuss firstly whether AI inherently conflicts with human rights and human autonomy. Next, we discuss how AI might be linked to the beneficence criterion of AI ethics and how AI might be applied in human rights-related areas. Finally, we elaborate on individual aspects of what it means to conform to human rights, addressing AI-specific problem areas.</t>
  </si>
  <si>
    <t>[Kriebitz, Alexander; Luetge, Christoph] Tech Univ Munich, Chair Business Eth, Munich, Germany</t>
  </si>
  <si>
    <t>Kriebitz, A (corresponding author), Tech Univ Munich, Chair Business Eth, Munich, Germany.</t>
  </si>
  <si>
    <t>Lutge, Christoph/0000-0002-3870-4789; Kriebitz, Alexander/0000-0001-7959-5980</t>
  </si>
  <si>
    <t>Facebook Inc.; Fujitsu K.K.; Huawei Technologies Co. Ltd</t>
  </si>
  <si>
    <t>Facebook Inc.(Facebook Inc); Fujitsu K.K.; Huawei Technologies Co. Ltd(Huawei Technologies)</t>
  </si>
  <si>
    <t>Chair Holder and Full Professor at the Chair of Business Ethics, Technical University of Munich, Munich, Germany. As Professor at Technical University of Munich and as director of the Institute of Ethics in Artificial Intelligence, Christoph Lutge received project funding from Facebook Inc., Fujitsu K.K. and Huawei Technologies Co. Ltd related to research on artificial intelligence and ethics.</t>
  </si>
  <si>
    <t>2057-0198</t>
  </si>
  <si>
    <t>2057-0201</t>
  </si>
  <si>
    <t>BUS HUM RIGHTS J</t>
  </si>
  <si>
    <t>Bus. Hum. Rights J.</t>
  </si>
  <si>
    <t>10.1017/bhj.2019.28</t>
  </si>
  <si>
    <t>LC2DV</t>
  </si>
  <si>
    <t>WOS:000525138700004</t>
  </si>
  <si>
    <t>Ilangarathna, G; Weligampola, H; Ranasinghe, Y; Attygalla, E; Godaliyaddha, R; Herath, V; Ekanayake, P; Ekanayake, SY; Pinnawela, M; Dharmaratne, S; Tilakaratne, G; Ekanayake, J</t>
  </si>
  <si>
    <t>Ilangarathna, G.; Weligampola, H.; Ranasinghe, Y.; Attygalla, E.; Godaliyaddha, R.; Herath, V; Ekanayake, P.; Ekanayake, S. Y.; Pinnawela, M.; Dharmaratne, S.; Tilakaratne, G.; Ekanayake, J.</t>
  </si>
  <si>
    <t>Artificial intelligence framework for threat assessment and containment for covid-19 and future epidemics while mitigating the socioeconomic impact to women, children, and underprivileged groups</t>
  </si>
  <si>
    <t>JOURNAL OF THE NATIONAL SCIENCE FOUNDATION OF SRI LANKA</t>
  </si>
  <si>
    <t>Artificial intelligence; COVID-19; socio-economic impacts</t>
  </si>
  <si>
    <t>With the emergency situation that arises with COVID-19, the intense containment strategies adopted by many countries had little or no consideration towards socio-economic ramifications or the impact on women, children, socio-economically underprivileged groups. The existence of many adverse impacts raises questions on the approaches taken and demands proper analysis, scrutiny and review of the policies. Therefore, a framework was developed using the artificial intelligence (AI) techniques to detect, model, and predict the behaviour of the COVID-19 pandemic containment strategies, understanding the socio-economic impact of these strategies on identified diverse vulnerable groups, and the development of AI-based solutions, to predict and manage a future spread of COVID or similar infectious disease outbreaks while mitigating the social and economic toil. Based on generated behaviour and movements, AI tools were developed to conduct contact tracing and socio-economic impact mitigation actions in a more informed, socially conscious and responsible manner in the case of the next wave of COVID-19 infections or a different future infectious disease.</t>
  </si>
  <si>
    <t>[Ilangarathna, G.; Weligampola, H.; Ranasinghe, Y.; Godaliyaddha, R.; Herath, V; Ekanayake, P.; Ekanayake, J.] Univ Peradeniya, Fac Engn, Peradeniya, Sri Lanka; [Attygalla, E.] Univ Surrey, Fac Engn &amp; Phys Sci, Guildford GU2 7XH, England; [Ekanayake, S. Y.; Pinnawela, M.] Univ Peradeniya, Fac Arts, Peradeniya, Sri Lanka; [Dharmaratne, S.] Univ Peradeniya, Fac Med, Peradeniya, Sri Lanka; [Tilakaratne, G.] Inst Policy Studies, Colombo, Sri Lanka</t>
  </si>
  <si>
    <t>University of Peradeniya; University of Surrey; University of Peradeniya; University of Peradeniya</t>
  </si>
  <si>
    <t>Ekanayake, J (corresponding author), Univ Peradeniya, Fac Engn, Peradeniya, Sri Lanka.</t>
  </si>
  <si>
    <t>jbe@ee.pdn.ac.lk</t>
  </si>
  <si>
    <t>Ilangarathna, Gayanthi/HMO-8574-2023</t>
  </si>
  <si>
    <t>NATL SCIENCE FOUNDATION SRI LANKA</t>
  </si>
  <si>
    <t>COLOMBO</t>
  </si>
  <si>
    <t>47/5 MAITLAND PLACE, COLOMBO, 00000, SRI LANKA</t>
  </si>
  <si>
    <t>1391-4588</t>
  </si>
  <si>
    <t>2362-0161</t>
  </si>
  <si>
    <t>J NATL SCI FOUND SRI</t>
  </si>
  <si>
    <t>J. Natl. Sci. Found. Sri Lanka</t>
  </si>
  <si>
    <t>10.4038/jnsfsr.v50i0.11242</t>
  </si>
  <si>
    <t>6P8CG</t>
  </si>
  <si>
    <t>WOS:000891153200007</t>
  </si>
  <si>
    <t>Bholat, D; Susskind, D</t>
  </si>
  <si>
    <t>Bholat, David; Susskind, Daniel</t>
  </si>
  <si>
    <t>The assessment: artificial intelligence and financial services</t>
  </si>
  <si>
    <t>OXFORD REVIEW OF ECONOMIC POLICY</t>
  </si>
  <si>
    <t>artificial intelligence; machine learning; financial services; FinTech; SupTech</t>
  </si>
  <si>
    <t>This special issue of the Oxford Review of Economic Policy, based on papers presented at a Bank of England conference, explores the impact of artificial intelligence (AI) on financial services. This opening article provides an overview of AI and its increased use in the financial sector; considers the implications for consumers and competition in the sector; looks at the consequences for central bankers and regulators; and reflects on a more distant world where AI is far more advanced than today. In short, the effect of AI on financial services is likely to be transformative, but that impact remains complex and uncertain.</t>
  </si>
  <si>
    <t>[Bholat, David] Bank England, London, England; [Susskind, Daniel] Univ Oxford, Dept Econ, Oxford, England</t>
  </si>
  <si>
    <t>Bank of England; University of Oxford</t>
  </si>
  <si>
    <t>Bholat, D (corresponding author), Bank England, London, England.</t>
  </si>
  <si>
    <t>david.bholat@barclays.com; daniel.susskind@economics.ox.ac.uk</t>
  </si>
  <si>
    <t>0266-903X</t>
  </si>
  <si>
    <t>1460-2121</t>
  </si>
  <si>
    <t>OXFORD REV ECON POL</t>
  </si>
  <si>
    <t>Oxf. Rev. Econ. Policy</t>
  </si>
  <si>
    <t>FAL</t>
  </si>
  <si>
    <t>10.1093/oxrep/grab015</t>
  </si>
  <si>
    <t>WC1IK</t>
  </si>
  <si>
    <t>WOS:000704017400001</t>
  </si>
  <si>
    <t>Georgieff, A; Hyee, R</t>
  </si>
  <si>
    <t>Georgieff, Alexandre; Hyee, Raphaela</t>
  </si>
  <si>
    <t>Artificial Intelligence and Employment: New Cross-Country Evidence</t>
  </si>
  <si>
    <t>J21; J23; J24; O33; artificial intelligence</t>
  </si>
  <si>
    <t>BIASED TECHNOLOGICAL-CHANGE; POLARIZATION; AUTOMATION; JOBS</t>
  </si>
  <si>
    <t>Recent years have seen impressive advances in artificial intelligence (AI) and this has stoked renewed concern about the impact of technological progress on the labor market, including on worker displacement. This paper looks at the possible links between AI and employment in a cross-country context. It adapts the AI occupational impact measure developed by Felten, Raj and Seamans-an indicator measuring the degree to which occupations rely on abilities in which AI has made the most progress-and extends it to 23 OECD countries. Overall, there appears to be no clear relationship between AI exposure and employment growth. However, in occupations where computer use is high, greater exposure to AI is linked to higher employment growth. The paper also finds suggestive evidence of a negative relationship between AI exposure and growth in average hours worked among occupations where computer use is low. One possible explanation is that partial automation by AI increases productivity directly as well as by shifting the task composition of occupations toward higher value-added tasks. This increase in labor productivity and output counteracts the direct displacement effect of automation through AI for workers with good digital skills, who may find it easier to use AI effectively and shift to non-automatable, higher-value added tasks within their occupations. The opposite could be true for workers with poor digital skills, who may not be able to interact efficiently with AI and thus reap all potential benefits of the technology(1).</t>
  </si>
  <si>
    <t>[Georgieff, Alexandre; Hyee, Raphaela] Org Econ Cooperat &amp; Dev, Paris, France</t>
  </si>
  <si>
    <t>Organisation for Economic Co-operation &amp; Development (OECD)</t>
  </si>
  <si>
    <t>Georgieff, A (corresponding author), Org Econ Cooperat &amp; Dev, Paris, France.</t>
  </si>
  <si>
    <t>alexandre.georgieff@oecd.org</t>
  </si>
  <si>
    <t>10.3389/frai.2022.832736</t>
  </si>
  <si>
    <t>8D1FC</t>
  </si>
  <si>
    <t>WOS:000918043700001</t>
  </si>
  <si>
    <t>Li, MY; Bitterly, TB</t>
  </si>
  <si>
    <t>Li, Mingyu; Bitterly, T. Bradford</t>
  </si>
  <si>
    <t>How Perceived Lack of Benevolence Harms Trust of Artificial Intelligence Management</t>
  </si>
  <si>
    <t>JOURNAL OF APPLIED PSYCHOLOGY</t>
  </si>
  <si>
    <t>trust; benevolence; emotions; artificial intelligence management</t>
  </si>
  <si>
    <t>PATERNALISTIC LEADERSHIP; RECOMMENDATION AGENTS; CITIZENSHIP BEHAVIOR; EMOTIONAL DISPLAYS; DYADIC TRUST; PERFORMANCE; PEOPLE; IMPACT; CONSEQUENCES; ALGORITHMS</t>
  </si>
  <si>
    <t>As organizations continue to supplement and replace human management with artificial intelligence (AI), it is essential that we understand the factors that influence employees' trust in AI management. Across one preregistered field study, where we survey 400 delivery riders in Mainland China, and three preregistered experiments (total N = 2,350), we find that AI management is perceived as less benevolent than human management. Given that benevolence is an important antecedent of trust in leaders, this perception has a negative effect on trust in AI management, even when controlling for perceived ability and integrity. Employees prefer human management to AI management in high empathy demand contexts, where individuals seek management that can empathize and experience the emotions that they are feeling, as opposed to low empathy demand contexts. These findings deepen our understanding of trust and provide important theoretical and practical insights on the implementation and adoption of AI management.</t>
  </si>
  <si>
    <t>[Li, Mingyu; Bitterly, T. Bradford] Hong Kong Univ Sci &amp; Technol, HKUST Business Sch, Dept Management, Hong Kong, Peoples R China</t>
  </si>
  <si>
    <t>Hong Kong University of Science &amp; Technology</t>
  </si>
  <si>
    <t>Li, MY (corresponding author), Hong Kong Univ Sci &amp; Technol, HKUST Business Sch, Dept Management, Kowloon, Lee Shau Kee Business Bldg 5017,Clear Water Bay, Hong Kong, Peoples R China.</t>
  </si>
  <si>
    <t>mlidt@connect.ust.hk</t>
  </si>
  <si>
    <t>Li, Mingyu/0000-0003-0942-1154</t>
  </si>
  <si>
    <t>Hong Kong University of Science and Technology (HKUST); HKUST Center for Education Innovation; HKUST Education and Generative Artificial Intelligence Fund</t>
  </si>
  <si>
    <t>A preprint of an early draft of this article is posted on the Social Science Research Network. This study is supported by the Hong Kong University of Science and Technology (HKUST), the HKUST Center for Education Innovation, and the HKUST Education and Generative Artificial Intelligence Fund. The authors also thank Jingjing Ma for her help in the design of Study 1 and appreciate the research assistance of Shi Huang, Yishan Ding, and Kuo Gai. The Open Science Framework (OSF) can be found athttps://tinyurl.com/3a577vv9</t>
  </si>
  <si>
    <t>0021-9010</t>
  </si>
  <si>
    <t>1939-1854</t>
  </si>
  <si>
    <t>J APPL PSYCHOL</t>
  </si>
  <si>
    <t>J. Appl. Psychol.</t>
  </si>
  <si>
    <t>10.1037/apl0001200</t>
  </si>
  <si>
    <t>Psychology, Applied; Management</t>
  </si>
  <si>
    <t>Psychology; Business &amp; Economics</t>
  </si>
  <si>
    <t>K5Q9F</t>
  </si>
  <si>
    <t>WOS:001300883100001</t>
  </si>
  <si>
    <t>Layman, L; Vetter, R</t>
  </si>
  <si>
    <t>Layman, Lucas; Vetter, Ron</t>
  </si>
  <si>
    <t>Generative Artificial Intelligence and the Future of Software Testing</t>
  </si>
  <si>
    <t>Software testing; Privacy; Quality assurance; Artificial intelligence</t>
  </si>
  <si>
    <t>This virtual roundtable focuses on applications of generative artificial intelligence (GenAI) to software testing with four leading experts from the field. Our experts reflect on transforming the work of software testing with GenAI, its impact on quality assurance engineers, and privacy concerns.</t>
  </si>
  <si>
    <t>[Layman, Lucas] Univ North Carolina Wilmington, Comp Sci, Wilmington, NC 28403 USA; [Vetter, Ron] Univ North Carolina Wilmington, Coll Sci &amp; Engn, Wilmington, NC 28403 USA</t>
  </si>
  <si>
    <t>University of North Carolina; University of North Carolina Wilmington; University of North Carolina; University of North Carolina Wilmington</t>
  </si>
  <si>
    <t>Layman, L (corresponding author), Univ North Carolina Wilmington, Comp Sci, Wilmington, NC 28403 USA.</t>
  </si>
  <si>
    <t>laymanl@uncw.edu; vetterr@uncw.edu</t>
  </si>
  <si>
    <t>Layman, Lucas/0000-0002-2534-8762</t>
  </si>
  <si>
    <t>10.1109/MC.2023.3306998</t>
  </si>
  <si>
    <t>EC7P2</t>
  </si>
  <si>
    <t>WOS:001136783900007</t>
  </si>
  <si>
    <t>Xiao, M; Yi, HB</t>
  </si>
  <si>
    <t>Xiao, Meng; Yi, Haibo</t>
  </si>
  <si>
    <t>Building an efficient artificial intelligence model for personalized training in colleges and universities</t>
  </si>
  <si>
    <t>COMPUTER APPLICATIONS IN ENGINEERING EDUCATION</t>
  </si>
  <si>
    <t>artificial intelligence; higher education; machine learning; personalized training</t>
  </si>
  <si>
    <t>EDUCATION; PERFORMANCE; CHALLENGES; COURSES; IMPACT</t>
  </si>
  <si>
    <t>Higher education provides a common educational pattern to all students in colleges and universities. However, under the general law of higher education, the teaching and education of a certain category or subject has its special regularity. Besides, students in colleges and universities have different demands of education. To address the challenges in higher education, it is very important to carry out higher education reform in colleges and universities. Personalized education has been considered to be a new educational model that is a result of the individual desire of students and the development of society. Traditional methodologies of teaching in colleges and universities cannot fulfill the implementation of personalized training. Hence, it is very urgent to develop new methodologies for personalized training. Among the methodologies of realization of personalized training, artificial intelligence is one of the most important methodologies. We exploit artificial intelligence for personalize education reform. First, we analyze the information of students before entering the colleges and universities. Then, we propose a method to extract modeling features of the student information. Second, we propose a method to build a personalized training model based on artificial intelligence. Third, we propose a method to predict the development track of students based on the personalized training model. On the basis of above designs, we design personalized training for students in colleges and universities. Furthermore, we implement our design by using artificial intelligence. Besides, our design can be applied to the career planning or related areas.</t>
  </si>
  <si>
    <t>[Xiao, Meng] Shenzhen Polytech, Dept Logist Management, Sch Management, Shenzhen, Peoples R China; [Yi, Haibo] Shenzhen Polytech, Dept Cloud Comp Technol &amp; Applicat, Sch Artificial Intelligence, Shenzhen 518055, Peoples R China</t>
  </si>
  <si>
    <t>Shenzhen Polytechnic University; Shenzhen Polytechnic University</t>
  </si>
  <si>
    <t>Yi, HB (corresponding author), Shenzhen Polytech, Dept Cloud Comp Technol &amp; Applicat, Sch Artificial Intelligence, Shenzhen 518055, Peoples R China.</t>
  </si>
  <si>
    <t>haiboyi@szpt.edu.cn</t>
  </si>
  <si>
    <t>Yi, Hai-Bo/H-5925-2016</t>
  </si>
  <si>
    <t>Natural Science Foundation of Guangdong Province, China [2018A030310030]; Foundation for Distinguished Young Talents in Higher Education of Guangdong, China [2017GkQNCX059]; Teaching Research and Practice Project of Guangdong Province [GDJG2019403]; special funds for Shenzhen Strategic Emerging Industries and Future Industrial Development [20170502142224600]; Teaching Research and Practice Project of Shenzhen Polytechnic [7019310019J]</t>
  </si>
  <si>
    <t>Natural Science Foundation of Guangdong Province, China(National Natural Science Foundation of Guangdong Province); Foundation for Distinguished Young Talents in Higher Education of Guangdong, China; Teaching Research and Practice Project of Guangdong Province; special funds for Shenzhen Strategic Emerging Industries and Future Industrial Development; Teaching Research and Practice Project of Shenzhen Polytechnic</t>
  </si>
  <si>
    <t>This study was supported by the Natural Science Foundation of Guangdong Province, China (No. 2018A030310030), the Foundation for Distinguished Young Talents in Higher Education of Guangdong, China (No. 2017GkQNCX059), the Teaching Research and Practice Project of Guangdong Province (No. GDJG2019403), special funds for Shenzhen Strategic Emerging Industries and Future Industrial Development (No. 20170502142224600), and the Teaching Research and Practice Project of Shenzhen Polytechnic (No. 7019310019J).</t>
  </si>
  <si>
    <t>1061-3773</t>
  </si>
  <si>
    <t>1099-0542</t>
  </si>
  <si>
    <t>COMPUT APPL ENG EDUC</t>
  </si>
  <si>
    <t>Comput. Appl. Eng. Educ.</t>
  </si>
  <si>
    <t>10.1002/cae.22235</t>
  </si>
  <si>
    <t>MAR 2020</t>
  </si>
  <si>
    <t>Computer Science, Interdisciplinary Applications; Education, Scientific Disciplines; Engineering, Multidisciplinary</t>
  </si>
  <si>
    <t>Computer Science; Education &amp; Educational Research; Engineering</t>
  </si>
  <si>
    <t>QW7RZ</t>
  </si>
  <si>
    <t>WOS:000522302300001</t>
  </si>
  <si>
    <t>Hai, T; Alhomayani, FM; Sharma, K</t>
  </si>
  <si>
    <t>Hai, Tao; Alhomayani, Fahad Mohammed; Sharma, Kamal</t>
  </si>
  <si>
    <t>Dynamic impact and tensile strength characteristics of novel shear thickening fluid (STF)-treated fabric and modeling tensile strength using artificial intelligence</t>
  </si>
  <si>
    <t>JOURNAL OF MOLECULAR LIQUIDS</t>
  </si>
  <si>
    <t>Shear Thickening Fluid; Rheological Behavior; Tensile Strength; High -velocity Impact; Energy dissipation; Artificial intelligence</t>
  </si>
  <si>
    <t>MOLECULAR-WEIGHT; FUMED SILICA; RESISTANCE; TEMPERATURE; RHEOLOGY; BEHAVIOR</t>
  </si>
  <si>
    <t>A series of shear thickening fluids (STFs) were prepared based on dispersed fumed silica in virgin polyethylene glycol (V/PEG) and modified PEGs by malonic acid (M/PEG) and tartaric acid (T/PEG). Rheological examination revealed that modification of PEG to a higher chain length of medium molecules remarkably improves STF peak viscosity and decreases the critical shear rate. High-velocity impact resistance of V/STF, M/STF, and T/STFtreated fabric was investigated at different layers and impact velocities and found significant improvement over neat fabric targets. Investigation of the results of two-layer samples showed the energy dissipation of V/STF, M/STF, and T/STF-treated fabrics at an impact velocity of 240 m/s is improved by 30.04%, 40.60%, and 46.06%, compared to the neat fabric, respectively. Furthermore, the tensile strength test revealed that these STFs fill the spaces between the fibers and make the fabric stronger and more resistant to breaking. In addition, a Linear/ Nonlinear artificial intelligence regression analysis was performed. The results showed a strong correlation between composite mechanical response and speed. The proposed model can be further used to predict material behavior at other tensile speeds.</t>
  </si>
  <si>
    <t>[Hai, Tao] Qiannan Normal Univ Nationalities, Sch Comp &amp; Informat, Duyun 558000, Guizhou, Peoples R China; [Hai, Tao] Guizhou Univ, Key Lab Adv Mfg Technol, Minist Educ, Guizhou 550025, Peoples R China; [Hai, Tao] Univ Teknol MARA, Inst Big Data Analyt &amp; Artificial Intelligence IBD, Shah Alam 40450, Selangor, Malaysia; [Alhomayani, Fahad Mohammed] Taif Univ, Coll Comp &amp; Informat Technol, Taif, Saudi Arabia; [Sharma, Kamal] GLA Univ, Inst Engn &amp; Technol, Mathura 281406, UP, India</t>
  </si>
  <si>
    <t>Qiannan Normal University of Nationalities; Guizhou University; Universiti Teknologi MARA; Taif University; GLA University</t>
  </si>
  <si>
    <t>Hai, T (corresponding author), Qiannan Normal Univ Nationalities, Sch Comp &amp; Informat, Duyun 558000, Guizhou, Peoples R China.;Hai, T (corresponding author), Guizhou Univ, Key Lab Adv Mfg Technol, Minist Educ, Guizhou 550025, Peoples R China.;Hai, T (corresponding author), Univ Teknol MARA, Inst Big Data Analyt &amp; Artificial Intelligence IBD, Shah Alam 40450, Selangor, Malaysia.</t>
  </si>
  <si>
    <t>haitao@sgmtu.edu.cn</t>
  </si>
  <si>
    <t>Sharma, Kamal/AAL-3794-2020</t>
  </si>
  <si>
    <t>Alhomayani, Fahad/0000-0002-4914-8722; HAI, TAO/0000-0002-6156-1974</t>
  </si>
  <si>
    <t>Key Laboratory of Advanced Manufacturing Technology of the Ministry of Education of Guizhou University [GZUAMT2022KF[07]]; National Natural Science Foundation of China [61862051]; Science and Technology Foundation of Guizhou Province [[2022]549]; Natural Science Foundation of Education of Guizhou province [[2019]203, KY[2019]067]; program of Qiannan Normal University for Nationalities [qnsy2018003, qnsy2019rc09]</t>
  </si>
  <si>
    <t>Key Laboratory of Advanced Manufacturing Technology of the Ministry of Education of Guizhou University; National Natural Science Foundation of China(National Natural Science Foundation of China (NSFC)); Science and Technology Foundation of Guizhou Province; Natural Science Foundation of Education of Guizhou province; program of Qiannan Normal University for Nationalities</t>
  </si>
  <si>
    <t>This research was funded by Key Laboratory of Advanced Manufacturing Technology of the Ministry of Education of Guizhou University (GZUAMT2022KF[07]), the National Natural Science Foundation of China under Grant No.61862051; the Science and Technology Foundation of Guizhou Province under Grant No's [2022]549; the Natural Science Foundation of Education of Guizhou province under Grant No's ([2019]203, KY[2019]067) ; the program of Qiannan Normal University for Nationalities under Grant Nos. (qnsy2018003, qnsy2019rc09)</t>
  </si>
  <si>
    <t>0167-7322</t>
  </si>
  <si>
    <t>1873-3166</t>
  </si>
  <si>
    <t>J MOL LIQ</t>
  </si>
  <si>
    <t>J. Mol. Liq.</t>
  </si>
  <si>
    <t>10.1016/j.molliq.2023.122592</t>
  </si>
  <si>
    <t>Chemistry, Physical; Physics, Atomic, Molecular &amp; Chemical</t>
  </si>
  <si>
    <t>Chemistry; Physics</t>
  </si>
  <si>
    <t>Q8UJ9</t>
  </si>
  <si>
    <t>WOS:001060213800001</t>
  </si>
  <si>
    <t>Sumner, J; Lim, HW; Chong, LS; Bundele, A; Mukhopadhyay, A; Kayambu, G</t>
  </si>
  <si>
    <t>Sumner, Jennifer; Lim, Hui Wen; Chong, Lin Siew; Bundele, Anjali; Mukhopadhyay, Amartya; Kayambu, Geetha</t>
  </si>
  <si>
    <t>Artificial intelligence in physical rehabilitation: A systematic review</t>
  </si>
  <si>
    <t>Artificial intelligence; Machine learning; Physical rehabilitation; Systematic review</t>
  </si>
  <si>
    <t>IMPACT; GAIT</t>
  </si>
  <si>
    <t>Background: Physical disabilities become more common with advancing age. Rehabilitation restores function, maintaining independence for longer. However, the poor availability and accessibility of rehabilitation limits its clinical impact. Artificial Intelligence (AI) guided interventions have improved many domains of healthcare, but whether rehabilitation can benefit from AI remains unclear.Methods: We conducted a systematic review of AI-supported physical rehabilitation technology tested in the clinical setting to understand: 1) availability of AI-supported physical rehabilitation technology; 2) its clinical effect; 3) and the barriers and facilitators to implementation. We searched in MEDLINE, EMBASE, CINAHL, Science Citation Index (Web of Science), CIRRIE (now NARIC), and OpenGrey.Results: We identified 9054 articles and included 28 projects. AI solutions spanned five categories: App-based systems, robotic devices that replace function, robotic devices that restore function, gaming systems and wearables. We identified five randomised controlled trials (RCTs), which evaluated outcomes relating to physical function, activity, pain, and health-related quality of life. The clinical effects were inconsistent. Implementation barriers included technology literacy, reliability, and user fatigue. Enablers included greater access to rehabilitation programmes, remote monitoring of progress, reduction in manpower requirements and lower cost.Conclusion: Application of AI in physical rehabilitation is a growing field, but clinical effects have yet to be studied rigorously. Developers must strive to conduct robust clinical evaluations in the real-world setting and appraise post implementation experiences.</t>
  </si>
  <si>
    <t>[Mukhopadhyay, Amartya] Natl Univ Singapore, Yong Loo Lin Sch Med, Dept Med, Singapore, Singapore; [Sumner, Jennifer; Lim, Hui Wen; Chong, Lin Siew; Bundele, Anjali; Mukhopadhyay, Amartya] Natl Univ Hlth Syst, Alexandra Hosp, Med Affairs Res Innovat &amp; Enterprise, Singapore, Singapore; [Mukhopadhyay, Amartya] Natl Univ Singapore Hosp, Dept Med, Div Resp &amp; Crit Care Med, Singapore, Singapore; [Kayambu, Geetha] Natl Univ Singapore Hosp, Dept Rehabil, Singapore, Singapore; [Sumner, Jennifer] Natl Univ Hlth Syst, Alexandra Hosp, Med Affairs Res Innovat &amp; Enterprise, Singapore, Singapore</t>
  </si>
  <si>
    <t>National University of Singapore; National University of Singapore; National University of Singapore; National University of Singapore; National University of Singapore</t>
  </si>
  <si>
    <t>Sumner, J (corresponding author), Natl Univ Hlth Syst, Alexandra Hosp, Med Affairs Res Innovat &amp; Enterprise, Singapore, Singapore.</t>
  </si>
  <si>
    <t>jennifer_sumner@nuhs.edu.sg</t>
  </si>
  <si>
    <t>Sumner, Jennifer/AAT-3319-2021</t>
  </si>
  <si>
    <t>Sumner, Jennifer/0000-0002-2200-3275</t>
  </si>
  <si>
    <t>10.1016/j.artmed.2023.102693</t>
  </si>
  <si>
    <t>Z9DY0</t>
  </si>
  <si>
    <t>WOS:001115017200001</t>
  </si>
  <si>
    <t>Tao, MM</t>
  </si>
  <si>
    <t>Tao, Miaomiao</t>
  </si>
  <si>
    <t>Digital brains, green gains: Artificial intelligence's path to sustainable transformation</t>
  </si>
  <si>
    <t>JOURNAL OF ENVIRONMENTAL MANAGEMENT</t>
  </si>
  <si>
    <t>Artificial intelligence; Green productivity; Environmental effects; Moderating effect; Mediating effect; Non-linearity</t>
  </si>
  <si>
    <t>RENEWABLE ENERGY; GROWTH</t>
  </si>
  <si>
    <t>The environmental impacts of artificial intelligence on a global scale remain underexplored. This study utilizes a balanced panel dataset to examine artificial intelligence's complex role in enhancing global green productivity between 2008 and 2019. The findings indicate that artificial intelligence robustly boosts green productivity, even after correcting for potential endogeneity using the legal system's origin as an instrument. A detailed mediation analysis underscores that artificial intelligence indirectly promotes green productivity by increasing renewable energy use, attracting skilled labor, and dampening stock market performance. Additional analysis confirms that financial development generally amplifies artificial intelligence's favorable effects on green productivity. However, the combined impact of financial institution access and artificial intelligence on green productivity initially appears hostile, an effect that can be reversed when financial access exceeds a certain threshold. These results offer valuable insights into the interconnection between artificial intelligence and the global shift towards greener practices.</t>
  </si>
  <si>
    <t>[Tao, Miaomiao] Univ Auckland, Energy Ctr, Business Sch, Dept Econ, Auckland, New Zealand</t>
  </si>
  <si>
    <t>University of Auckland</t>
  </si>
  <si>
    <t>Tao, MM (corresponding author), Univ Auckland, Energy Ctr, Business Sch, Dept Econ, Auckland, New Zealand.</t>
  </si>
  <si>
    <t>tao.miaomiao@auckland.ac.nz</t>
  </si>
  <si>
    <t>Tao, Miaomiao/KBA-8636-2024</t>
  </si>
  <si>
    <t>Tao, Miaomiao/0000-0003-0052-7219</t>
  </si>
  <si>
    <t>ACADEMIC PRESS LTD- ELSEVIER SCIENCE LTD</t>
  </si>
  <si>
    <t>24-28 OVAL RD, LONDON NW1 7DX, ENGLAND</t>
  </si>
  <si>
    <t>0301-4797</t>
  </si>
  <si>
    <t>1095-8630</t>
  </si>
  <si>
    <t>J ENVIRON MANAGE</t>
  </si>
  <si>
    <t>J. Environ. Manage.</t>
  </si>
  <si>
    <t>10.1016/j.jenvman.2024.122679</t>
  </si>
  <si>
    <t>I6N3F</t>
  </si>
  <si>
    <t>WOS:001331401800001</t>
  </si>
  <si>
    <t>Ahmed, S; Athyaab, SA; Muqtadeer, SA</t>
  </si>
  <si>
    <t>Ahmed, Saad; Athyaab, Saif Ali; Muqtadeer, Shaik Abdul</t>
  </si>
  <si>
    <t>Attenuation of Human Bias in Artificial Intelligence: An Exploratory Approach</t>
  </si>
  <si>
    <t>PROCEEDINGS OF THE 6TH INTERNATIONAL CONFERENCE ON INVENTIVE COMPUTATION TECHNOLOGIES (ICICT 2021)</t>
  </si>
  <si>
    <t>6th International Conference on Inventive Computation Technologies (ICICT)</t>
  </si>
  <si>
    <t>JAN 20-22, 2021</t>
  </si>
  <si>
    <t>Coimbatore, INDIA</t>
  </si>
  <si>
    <t>IEEE,SVR Tech Campus</t>
  </si>
  <si>
    <t>Artificial Intelligence; Machine Learning; Bias; Fairness; Debiasing</t>
  </si>
  <si>
    <t>As the world embraces Industry 4.0 with open-hands, Artificial Intelligence has taken centre-stage. AI systems are driving decision making and impacting stakeholders' viewpoints through data. While these systems pamper companies with these new-found efficiendes, they are quite vulnerable to the 'garbage in, garbage out' syndrome. In the case of such intelligent systems, the type of 'garbage' is biased data. One cannot hope of eliminating bias in machine learning and Artificial Intelligence without addressing the pressing concerns of bias in humans. Although it is deemed as an uphill task by intellectuals in the academia and industry, gradual yet significant steps have been made. This paper intends to measure and mitigate bias in IS Employment Demographics. Different algorithms will be applied and a comparison shall be carried out. The social implications of bias in Artificial Intelligence will also be discussed extensively.</t>
  </si>
  <si>
    <t>[Ahmed, Saad; Athyaab, Saif Ali; Muqtadeer, Shaik Abdul] Chaitanya Bharathi Inst Technol, Dept Comp Sci &amp; Engn, Hyderabad, India</t>
  </si>
  <si>
    <t>Chaitanya Bharathi Institute of Technology</t>
  </si>
  <si>
    <t>Ahmed, S (corresponding author), Chaitanya Bharathi Inst Technol, Dept Comp Sci &amp; Engn, Hyderabad, India.</t>
  </si>
  <si>
    <t>saad_a1999@yahoo.com; athyaab@yahoo.co.in; afraz99@gmail.com</t>
  </si>
  <si>
    <t>Athyaab, Saif/0000-0001-6874-0281</t>
  </si>
  <si>
    <t>978-1-7281-8501-9</t>
  </si>
  <si>
    <t>10.1109/ICICT50816.2021.9358507</t>
  </si>
  <si>
    <t>Computer Science, Information Systems; Computer Science, Theory &amp; Methods; Engineering, Electrical &amp; Electronic</t>
  </si>
  <si>
    <t>BS4RZ</t>
  </si>
  <si>
    <t>WOS:000722293800099</t>
  </si>
  <si>
    <t>Gray, SL</t>
  </si>
  <si>
    <t>Gray, Sandra Leaton</t>
  </si>
  <si>
    <t>Artificial intelligence in schools: Towards a democratic future</t>
  </si>
  <si>
    <t>LONDON REVIEW OF EDUCATION</t>
  </si>
  <si>
    <t>artificial intelligence; algorithms; data privacy; General Data Protection Regulations (GDPR); Bernstein; Homans</t>
  </si>
  <si>
    <t>BIG DATA; EDUCATION; GOVERNANCE</t>
  </si>
  <si>
    <t>The introduction of artificial intelligence in education (AIED) is likely to have a profound impact on the lives of children and young people. This article explores the different types of artificial intelligence (AI) systems in common use in education, their social context and their relationship with the growth of commercial knowledge monopolies. This in turn is used to highlight data privacy rights issues for children and young people, as defined by the 2018 General Data Protection Regulations (GDPR). The article concludes that achieving a balance between fairness, individual pedagogic rights (Bernstein, 2000), data privacy rights and effective use of data is a difficult challenge, and one not easily supported by current regulation. The article proposes an alternative, more democratically aware basis for artificial intelligence use in schools.</t>
  </si>
  <si>
    <t>[Gray, Sandra Leaton] UCL Inst Educ, London, England</t>
  </si>
  <si>
    <t>University of London; University College London; UCL Institute of Education</t>
  </si>
  <si>
    <t>Gray, SL (corresponding author), UCL Inst Educ, London, England.</t>
  </si>
  <si>
    <t>s.leaton-gray@ucl.ac.uk</t>
  </si>
  <si>
    <t>Gray, Sandra/S-5295-2019; Leaton Gray, Sandra/C-7678-2014</t>
  </si>
  <si>
    <t>Leaton Gray, Sandra/0000-0001-9198-8269</t>
  </si>
  <si>
    <t>UCL IOE PRESS, UCL INST EDUCATION</t>
  </si>
  <si>
    <t>20 BEDFORD WAY, LONDON, WC1H OAL, ENGLAND</t>
  </si>
  <si>
    <t>1474-8460</t>
  </si>
  <si>
    <t>1474-8479</t>
  </si>
  <si>
    <t>LOND REV EDUC</t>
  </si>
  <si>
    <t>Lond. Rev. Educ.</t>
  </si>
  <si>
    <t>10.14324/LRE.18.2.02</t>
  </si>
  <si>
    <t>QE0WZ</t>
  </si>
  <si>
    <t>WOS:000615929700002</t>
  </si>
  <si>
    <t>Abolaban, FA</t>
  </si>
  <si>
    <t>Abolaban, Fouad Abdulaziz</t>
  </si>
  <si>
    <t>Review of recent impacts of artificial intelligence for radiation therapy procedures</t>
  </si>
  <si>
    <t>RADIATION PHYSICS AND CHEMISTRY</t>
  </si>
  <si>
    <t>Artificial intelligence; Radiation therapy; Cancer treatment</t>
  </si>
  <si>
    <t>CANCER STATISTICS; RADIOTHERAPY</t>
  </si>
  <si>
    <t>Artificial intelligence (AI) is a discipline of computing science whose goal is to develop intelligent computer -based systems replicating humans' decision-making and problem-solving abilities. Globally, 26 million new cancer cases are expected to be diagnosed in 2030, with cancer death accounting for nearly half of the incidence. The challenge in radiation therapy is increasing tumor control probability while minimizing damage to sur-rounding normal tissue. The objective of this review study is to review the recent developments in the use of AI for radiation therapy and dose optimization. The current study examines recent research publications published in the last ten years on the Web of Science, Scopus, and PubMed databases related to AI. The study revealed that AI is valuable, helps improve radiotherapy outcomes, and allows for the processing and analysis of enormous datasets. AI enables the iterative implementation of complicated functions in massive data files (e.g., defining healthy tissue or determining ideal treatment planning) for image segmentation and outcome prediction, benefiting the entire radiation therapy community.</t>
  </si>
  <si>
    <t>[Abolaban, Fouad Abdulaziz] King Abdulaziz Univ, Fac Engn, Dept Nucl Engn, POB 80204, Jeddah 21589, Saudi Arabia; [Abolaban, Fouad Abdulaziz] King Abdulaziz Univ, KA CARE Energy Res &amp; Innovat Ctr, Jeddah 21589, Saudi Arabia</t>
  </si>
  <si>
    <t>King Abdulaziz University; King Abdulaziz University</t>
  </si>
  <si>
    <t>Abolaban, FA (corresponding author), King Abdulaziz Univ, Fac Engn, Dept Nucl Engn, POB 80204, Jeddah 21589, Saudi Arabia.</t>
  </si>
  <si>
    <t>fabolaban@kau.edu.sa</t>
  </si>
  <si>
    <t>King Abdullah City for Atomic and Renewable Energy (K.A.CARE) under K.A. CARE-King Abdulaziz University Collaboration Program</t>
  </si>
  <si>
    <t>The authors acknowledge the support provided by King Abdullah City for Atomic and Renewable Energy (K.A.CARE) under K.A. CARE-King Abdulaziz University Collaboration Program.</t>
  </si>
  <si>
    <t>0969-806X</t>
  </si>
  <si>
    <t>1879-0895</t>
  </si>
  <si>
    <t>RADIAT PHYS CHEM</t>
  </si>
  <si>
    <t>Radiat. Phys. Chem.</t>
  </si>
  <si>
    <t>10.1016/j.radphyschem.2022.110469</t>
  </si>
  <si>
    <t>Chemistry, Physical; Nuclear Science &amp; Technology; Physics, Atomic, Molecular &amp; Chemical</t>
  </si>
  <si>
    <t>Chemistry; Nuclear Science &amp; Technology; Physics</t>
  </si>
  <si>
    <t>4Y1RQ</t>
  </si>
  <si>
    <t>WOS:000861309900002</t>
  </si>
  <si>
    <t>Putera, NSFMS; Saripan, H; Bajury, MSM; Ya'cob, SN</t>
  </si>
  <si>
    <t>Putera, Nurus Sakinatul Fikriah Mohd Shith; Saripan, Hartini; Bajury, Mimi Sintia Mohd; Ya'cob, Syazni Nadzirah</t>
  </si>
  <si>
    <t>Artificial Intelligence in the Tourism Industry: A privacy Impasse</t>
  </si>
  <si>
    <t>ENVIRONMENT-BEHAVIOUR PROCEEDINGS JOURNAL</t>
  </si>
  <si>
    <t>International Virtual Colloquium on Multi-disciplinary Research Impact (2nd Series)</t>
  </si>
  <si>
    <t>OCT 15, 2021</t>
  </si>
  <si>
    <t>MALAYSIA</t>
  </si>
  <si>
    <t>Artificial Intelligence and Law; Privacy and Artificial Intelligence; Privacy Engineering Model; Data Protection and Artificial Intelligence</t>
  </si>
  <si>
    <t>BLACK-BOX; BIG DATA</t>
  </si>
  <si>
    <t>Artificial Intelligence (AI) adoption in the tourism industry has resulted with privacy concerns as companies feed a vast amount of consumer data into AI, creating sensitive customer information. Therefore, this research aims at investigating the adequacy of the Personal Data Protection Act 2010 in addressing the privacy challenges raised by AI. Combining the doctrinal methodology and a case study, this research produced systematic means of legal reasoning pertinent to AI applications in the tourism industry. Ensuring privacy and security through every phase of the data lifecycle is pivotal to avoid legal liability for the tourism players while preserving customer confidence.</t>
  </si>
  <si>
    <t>[Putera, Nurus Sakinatul Fikriah Mohd Shith; Saripan, Hartini; Bajury, Mimi Sintia Mohd; Ya'cob, Syazni Nadzirah] Univ Teknol MARA, Fac Law, Shah Alam, Malaysia</t>
  </si>
  <si>
    <t>Universiti Teknologi MARA</t>
  </si>
  <si>
    <t>Putera, NSFMS (corresponding author), Univ Teknol MARA, Fac Law, Shah Alam, Malaysia.</t>
  </si>
  <si>
    <t>nurussakinatul@uitm.edu.my; hartinisaripan@uitm.edu.my; mimisintia@uitm.edu.my; syazni@uitm.edu.my</t>
  </si>
  <si>
    <t>Saripan, Hartini/ABD-1813-2021</t>
  </si>
  <si>
    <t>Universiti Teknologi MARA; [600-TNCPI 5/3/DDF (FUU) (001/2020)]</t>
  </si>
  <si>
    <t>Universiti Teknologi MARA;</t>
  </si>
  <si>
    <t>The authors would like to express their gratitude for the financial support from Universiti Teknologi MARA under the Lex Praesta Research Grant (600-TNCPI 5/3/DDF (FUU) (001/2020) granted for this research.</t>
  </si>
  <si>
    <t>E-IPH LTD UK</t>
  </si>
  <si>
    <t>SHEFFIELD</t>
  </si>
  <si>
    <t>THE LEADMILL, 6 LEADMILL RD, PO BOX STUDIO 7, SHEFFIELD, S1 4SE, ENGLAND</t>
  </si>
  <si>
    <t>2398-4287</t>
  </si>
  <si>
    <t>ENVIRON-BEHAV PROC J</t>
  </si>
  <si>
    <t>Environ.-Behav. Proc. J.</t>
  </si>
  <si>
    <t>10.21834/ebpj.v7iSI7.3812</t>
  </si>
  <si>
    <t>N8HM2</t>
  </si>
  <si>
    <t>WOS:001039360300019</t>
  </si>
  <si>
    <t>Tortorella, GL; Powell, D; Hines, P; Vergara, AM; Tlapa-Mendoza, D; Vassolo, R</t>
  </si>
  <si>
    <t>Tortorella, Guilherme Luz; Powell, Daryl; Hines, Peter; Mac Cawley Vergara, Alejandro; Tlapa-Mendoza, Diego; Vassolo, Roberto</t>
  </si>
  <si>
    <t>How does artificial intelligence impact employees' engagement in lean organisations?</t>
  </si>
  <si>
    <t>INTERNATIONAL JOURNAL OF PRODUCTION RESEARCH</t>
  </si>
  <si>
    <t>Artificial intelligence; industry 4.0; lean production; employees' engagement; work environment; SDG 12: Responsible consumption and production</t>
  </si>
  <si>
    <t>INDUSTRY 4.0 TECHNOLOGIES; PSYCHOLOGICAL CONDITIONS; SAMPLE-SIZE; OPERATIONS; MANAGEMENT; FUTURE; INVOLVEMENT; INTERVIEWS; COMPUTERS; DEMANDS</t>
  </si>
  <si>
    <t>Driven by the digital transformation currently pursued by organisations, artificial intelligence (AI) applications have become more frequent. Nevertheless, its impact on employees' behaviors and attitudes is still poorly known. As employees' engagement (EE) is a key element for a successful Lean Production (LP) implementation, there is the need to understand such AI's implications on EE in this scenario. This paper aims to investigate the impact of AI on EE in lean organisations. We performed a qualitative-empirical approach in which we first interviewed twelve academic experts to grasp the investigated problem. Then, we conducted a multi-case study in manufacturing organisations undergoing a LP implementation to refine such understanding based on the observation of real-world evidence. Identifying commonalities between these stages allowed the formulation of propositions for future theory testing and validation. Findings indicate that AI may positively impact EE dimensions (physical, cognitive, and emotional) in human-centred work environments, such as lean organisations, although not at the same extent. Results also suggest that employees' psychological conditions (safety, meaningfulness, and availability) are positively affected by the relationship between AI and EE. The demystification of AI's effect on EE helps practitioners anticipate potential issues that can impair the LP implementation in the Fourth Industrial Revolution era.</t>
  </si>
  <si>
    <t>[Tortorella, Guilherme Luz] Univ Melbourne, Dept Mech Engn, Melbourne, Australia; [Tortorella, Guilherme Luz; Vassolo, Roberto] Univ Austral, IAE Business Sch, Buenos Aires, Argentina; [Tortorella, Guilherme Luz] Univ Fed Santa Catarina, Dept Prod Engn, Nivaldo Dias,102-314, Florianopolis, Brazil; [Powell, Daryl] SINTEF Mfg, Raufoss, Norway; [Powell, Daryl] Univ South Eastern Norway, USN Sch Business, Kongsberg, Norway; [Hines, Peter] South East Technol Univ, Business Sch, Waterford, Ireland; [Mac Cawley Vergara, Alejandro] Pontificia Univ Catolica, Dept Ind Engn, Santiago, Chile; [Tlapa-Mendoza, Diego] Univ Autonoma Baja Calif, Dept Ind Engn, Ensenada, Mexico</t>
  </si>
  <si>
    <t>University of Melbourne; Austral University; Universidade Federal de Santa Catarina (UFSC); University College of Southeast Norway; Pontificia Universidad Catolica de Chile; Universidad Autonoma de Baja California</t>
  </si>
  <si>
    <t>Tortorella, GL (corresponding author), Univ Fed Santa Catarina, Dept Prod Engn, Nivaldo Dias,102-314, Florianopolis, Brazil.</t>
  </si>
  <si>
    <t>gtortorella@bol.com.br</t>
  </si>
  <si>
    <t>Mac Cawley, Alejandro/M-2128-2013</t>
  </si>
  <si>
    <t>Mac Cawley, Alejandro/0000-0002-4848-4732</t>
  </si>
  <si>
    <t>0020-7543</t>
  </si>
  <si>
    <t>1366-588X</t>
  </si>
  <si>
    <t>INT J PROD RES</t>
  </si>
  <si>
    <t>Int. J. Prod. Res.</t>
  </si>
  <si>
    <t>2024 JUN 29</t>
  </si>
  <si>
    <t>10.1080/00207543.2024.2368698</t>
  </si>
  <si>
    <t>Engineering, Industrial; Engineering, Manufacturing; Operations Research &amp; Management Science</t>
  </si>
  <si>
    <t>XF5F3</t>
  </si>
  <si>
    <t>WOS:001260274200001</t>
  </si>
  <si>
    <t>Han, F; Mao, X</t>
  </si>
  <si>
    <t>Han, Feng; Mao, Xin</t>
  </si>
  <si>
    <t>Artificial intelligence empowers enterprise innovation: evidence from China's industrial enterprises</t>
  </si>
  <si>
    <t>APPLIED ECONOMICS</t>
  </si>
  <si>
    <t>Artificial intelligence; enterprise innovation ability; industrial robot; intellectualization; D22; J24; O33</t>
  </si>
  <si>
    <t>MARKET; ROBOTS</t>
  </si>
  <si>
    <t>Against the background of China's economic transformation, it is of great practical significance to explore the impact of artificial intelligence on enterprise innovation to promote innovation-driven development strategies. Using patent data from Chinese industrial enterprises and robot data provided by the International Federation of Robotics, this study empirically tests the impact of artificial intelligence on improving the innovation abilities of Chinese enterprises. The study finds the following: (1) Artificial intelligence significantly improves enterprise innovation, and this conclusion remains valid after robustness tests. (2) Artificial intelligence optimizes the skill structure of the enterprise labour force, increases enterprise R&amp;D expenditure, and strengthens the technology spillover effect, thus improving enterprise innovation. (3) The domestic market and the development of the Internet have further strengthened the role of artificial intelligence in promoting enterprise innovation. (4) Artificial intelligence is more helpful in promoting the innovation ability of technology-intensive, general trading, mixed trading, and non-state-owned enterprises. This study provides important policy implications for promoting the deep integration of artificial intelligence and real economy and realizing high-quality economic development.</t>
  </si>
  <si>
    <t>[Han, Feng; Mao, Xin] Nanjing Audit Univ, Sch Econ, Nanjing, Peoples R China; [Mao, Xin] Nanjing Audit Univ, Sch Econ, 86 Yushan West Rd,Jiangpu St, Nanjing 211815, Jiangsu, Peoples R China</t>
  </si>
  <si>
    <t>Nanjing Audit University; Nanjing Audit University</t>
  </si>
  <si>
    <t>Mao, X (corresponding author), Nanjing Audit Univ, Sch Econ, 86 Yushan West Rd,Jiangpu St, Nanjing 211815, Jiangsu, Peoples R China.</t>
  </si>
  <si>
    <t>maoxin19991026@163.com</t>
  </si>
  <si>
    <t>mao, xin/0000-0002-9365-9503; Han, Feng/0000-0001-6721-7042</t>
  </si>
  <si>
    <t>National Natural Science Foundation of China [72073071]; Qing Lan Project of Jiangsu Province [D202062045]; Postgraduate Research &amp; Practice Innovation Program of Jiangsu Province [KYCX22_2109]</t>
  </si>
  <si>
    <t>National Natural Science Foundation of China(National Natural Science Foundation of China (NSFC)); Qing Lan Project of Jiangsu Province; Postgraduate Research &amp; Practice Innovation Program of Jiangsu Province</t>
  </si>
  <si>
    <t>This research was funded by the National Natural Science Foundation of China [Grant No. 72073071], the Qing Lan Project of Jiangsu Province [Grant No. D202062045], and the Postgraduate Research &amp; Practice Innovation Program of Jiangsu Province [Grant No. KYCX22_2109].</t>
  </si>
  <si>
    <t>0003-6846</t>
  </si>
  <si>
    <t>1466-4283</t>
  </si>
  <si>
    <t>APPL ECON</t>
  </si>
  <si>
    <t>Appl. Econ.</t>
  </si>
  <si>
    <t>10.1080/00036846.2023.2289916</t>
  </si>
  <si>
    <t>K3X5D</t>
  </si>
  <si>
    <t>WOS:001112755000001</t>
  </si>
  <si>
    <t>Stoycheva, B; Vitliemov, P</t>
  </si>
  <si>
    <t>Stoycheva, Bozhana; Vitliemov, Pavel</t>
  </si>
  <si>
    <t>CHALLANGES OF USING ARTIFICIAL INTELLIGENCE IN MANAGEMENT DECISION MAKING</t>
  </si>
  <si>
    <t>artificial intelligence; management decisions; organizational decision-making</t>
  </si>
  <si>
    <t>The technology development of society has a strong impact on the labor market. The use of artificial intelligence leads to changes in the requirements for occupying certain professions, the elimination of same positions, as well as the appearance of new professions. This necessitates changes in the organizational structure and job design. Also changing are the requirements for employees who must acquire new knowledge and develop skills to be able to occupy certain professions. The turbulent business environment also requires organizations to be able to identify emerging trends and quickly respond to these new demands in order to stay in the market. It is here that to stay in the game analysis is needed, which projects future trends using artificial intelligence.</t>
  </si>
  <si>
    <t>[Stoycheva, Bozhana; Vitliemov, Pavel] Angel Kanchev Univ Ruse, Ruse 7004, Bulgaria</t>
  </si>
  <si>
    <t>Stoycheva, B; Vitliemov, P (corresponding author), Angel Kanchev Univ Ruse, Ruse 7004, Bulgaria.</t>
  </si>
  <si>
    <t>bstoycheva@uni-ruse.bg; pvitliemov@uni-ruse.bg</t>
  </si>
  <si>
    <t>Stoycheva, Bozhana/HOF-5516-2023; Vitliemov, Pavel/H-5795-2018</t>
  </si>
  <si>
    <t>Vitliemov, Pavel/0000-0002-1747-7994</t>
  </si>
  <si>
    <t>European Union-NextGenerationEU, through the National Recovery and Resilience Plan of the Republic of Bulgaria [BG-RRP-2.013-0001-C01]</t>
  </si>
  <si>
    <t>European Union-NextGenerationEU, through the National Recovery and Resilience Plan of the Republic of Bulgaria</t>
  </si>
  <si>
    <t>This study is financed by the European Union-NextGenerationEU, through the National Recovery and Resilience Plan of the Republic of Bulgaria, project. BG-RRP-2.013-0001-C01.</t>
  </si>
  <si>
    <t>10.53656/str2024-3s-4-cha</t>
  </si>
  <si>
    <t>C8B0V</t>
  </si>
  <si>
    <t>WOS:001291557000004</t>
  </si>
  <si>
    <t>Singh, N; Chouhan, SS</t>
  </si>
  <si>
    <t>Singh, Nehul; Chouhan, Satyendra Singh</t>
  </si>
  <si>
    <t>Role of Artificial Intelligence for Development of Intelligent Business Systems</t>
  </si>
  <si>
    <t>2021 IEEE INTERNATIONAL SYMPOSIUM ON SMART ELECTRONIC SYSTEMS (ISES 2021)</t>
  </si>
  <si>
    <t>7th IEEE International Symposium on Smart Electronic Systems (IEEE-iSES)</t>
  </si>
  <si>
    <t>DEC 18-22, 2021</t>
  </si>
  <si>
    <t>Jaipur, INDIA</t>
  </si>
  <si>
    <t>IEEE,IEEE Comp Soc,IEEE Comp Soc Tech Comm VLSI,Qolsys,Siemens,Genus</t>
  </si>
  <si>
    <t>Business objectives; Artificial intelligence systems; Tools and techniques; Challenges and future</t>
  </si>
  <si>
    <t>Artificial intelligence has proven a matching technology to support multiple business system applications. This technology has been in use to reshape current business models and to provide innovative management strategies. Growing business competition among major players is also strengthening its applications. The business information system with use of artificial intelligence raises the competitiveness of enterprises in the global market. The fast pace of merging artificial intelligence and automation are propelling strategists to revise business models and to explore new possibilities to meet the customer expectations. This paper focuses on the impact of artificial intelligence on business systems. The article also presents an overview of influential academic achievements and innovations in the field of artificial intelligence and their solutions for entrepreneurial activities. In the end, we intend to discuss important points spurred around us in today's scenario about the challenges and future of artificial intelligence.</t>
  </si>
  <si>
    <t>[Singh, Nehul] Indian Inst Informat Technol IIIT, Dept Comp Sci &amp; Engn, Chittoor, Andhra Pradesh, India; [Chouhan, Satyendra Singh] Malaviya Natl Inst Technol MNIT, Dept Comp Sci &amp; Engn, Jaipur, Rajasthan, India</t>
  </si>
  <si>
    <t>Indian Institute of Information Technology Allahabad; National Institute of Technology (NIT System); Malaviya National Institute of Technology Jaipur</t>
  </si>
  <si>
    <t>Singh, N (corresponding author), Indian Inst Informat Technol IIIT, Dept Comp Sci &amp; Engn, Chittoor, Andhra Pradesh, India.</t>
  </si>
  <si>
    <t>nehul.s20@iiits.in; sschouhan.cse@mnit.ac.in</t>
  </si>
  <si>
    <t>978-1-7281-8753-2</t>
  </si>
  <si>
    <t>10.1109/iSES52644.2021.00092</t>
  </si>
  <si>
    <t>Computer Science, Artificial Intelligence; Engineering, Electrical &amp; Electronic</t>
  </si>
  <si>
    <t>BT0TJ</t>
  </si>
  <si>
    <t>WOS:000792441600099</t>
  </si>
  <si>
    <t>Stepanov, OA; Basangov, DA</t>
  </si>
  <si>
    <t>Stepanov, Oleg A.; Basangov, Denis A.</t>
  </si>
  <si>
    <t>On the prospects for the impact of artificial intelligence on judicial proceedings</t>
  </si>
  <si>
    <t>TOMSK STATE UNIVERSITY JOURNAL</t>
  </si>
  <si>
    <t>court procedure; artificial intelligence; quality of justice</t>
  </si>
  <si>
    <t>The article analyzes the problems of using artificial intelligence (AI) in the administration of justice in the Russian Federation and in foreign countries. The article examines the current problems of judicial proceedings due to the introduction of digital technology in judicial practice. The processes of digitalization affecting the language of court proceedings are investigated. The aim of this study is to analyze the peculiarities of communication between artificial intelligence and human beings in the assignment of certain judicial functions to AI. Analysis and synthesis, the comparative-legal method, as well as methods of forecasting and semantic studies were used as research methods. The analysis shows that AI allows releasing the judge from performing monotonous activities (information-documentary, expert-analytical, linguistic-translation work) and organizational support of legal proceedings, taking into account that semantic search will give the judge an opportunity to formulate inquiries to the machine in natural language, and the machine is designed to respond in natural language too, without reducing relevance of information. The foreign practice of using AI in court proceedings is analyzed. The results obtained indicate that the use of AI systems in court proceedings as an additional means of assistance and control along with increasing the efficiency of judicial reforms contributes to the prevention of judicial errors, identification of existing problems and risks. The importance of creating a mechanism to control judicial discretion through the potential of AI is emphasized. It is assumed that the development of the problem under study requires not only normative regulation, but also the use of AI as a tool to correlate the law with unambiguously interpreted logical rules.</t>
  </si>
  <si>
    <t>[Stepanov, Oleg A.; Basangov, Denis A.] Govt Russian Federat, Inst Legislat &amp; Comparat Law, Moscow, Russia</t>
  </si>
  <si>
    <t>Stepanov, OA (corresponding author), Govt Russian Federat, Inst Legislat &amp; Comparat Law, Moscow, Russia.</t>
  </si>
  <si>
    <t>o_stepanov28@mail.ru; d_basang@mail.ru</t>
  </si>
  <si>
    <t>Oleg, Stepanov/AAB-2214-2019</t>
  </si>
  <si>
    <t>1561-7793</t>
  </si>
  <si>
    <t>1561-803X</t>
  </si>
  <si>
    <t>TOMSK STATE UNIV J</t>
  </si>
  <si>
    <t>Tomsk State Univ. J.</t>
  </si>
  <si>
    <t>10.17223/15617793/475/28</t>
  </si>
  <si>
    <t>5J3NI</t>
  </si>
  <si>
    <t>WOS:000868950200028</t>
  </si>
  <si>
    <t>Macnamara, BN; Berber, I; Cavusoglu, MÇ; Krupinski, EA; Nallapareddy, N; Nelson, NE; Smith, PJ; Wilson-Delfosse, AL; Ray, S</t>
  </si>
  <si>
    <t>Macnamara, Brooke N.; Berber, Ibrahim; Cavusoglu, M. Cenk; Krupinski, Elizabeth A.; Nallapareddy, Naren; Nelson, Noelle E.; Smith, Philip J.; Wilson-Delfosse, Amy L.; Ray, Soumya</t>
  </si>
  <si>
    <t>Does using artificial intelligence assistance accelerate skill decay and hinder skill development without performers' awareness?</t>
  </si>
  <si>
    <t>COGNITIVE RESEARCH-PRINCIPLES AND IMPLICATIONS</t>
  </si>
  <si>
    <t>Artificial intelligence; Expertise; Skill acquisition; Skill decay</t>
  </si>
  <si>
    <t>INDIVIDUAL-DIFFERENCES; COGNITIVE-ABILITIES; DELIBERATE PRACTICE; RETENTION; AUTOMATION; TASK; DETERMINANTS; ACQUISITION; KNOWLEDGE; IMPACT</t>
  </si>
  <si>
    <t>Artificial intelligence in the workplace is becoming increasingly common. These tools are sometimes used to aid users in performing their task, for example, when an artificial intelligence tool assists a radiologist in their search for abnormalities in radiographic images. The use of artificial intelligence brings a wealth of benefits, such as increasing the efficiency and efficacy of performance. However, little research has been conducted to determine how the use of artificial intelligence assistants might affect the user's cognitive skills. In this theoretical perspective, we discuss how artificial intelligence assistants might accelerate skill decay among experts and hinder skill acquisition among learners. Further, we discuss how AI assistants might also prevent experts and learners from recognizing these deleterious effects. We then discuss the types of questions: use-inspired basic cognitive researchers, applied researchers, and computer science researchers should seek to answer. We conclude that multidisciplinary research from use-inspired basic cognitive research, domain-specific applied research, and technical research (e.g., human factors research, computer science research) is needed to (a) understand these potential consequences, (b) design artificial intelligence systems to mitigate these impacts, and (c) develop training and use protocols to prevent negative impacts on users' cognitive skills. Only by answering these questions from multidisciplinary perspectives can we harness the benefits of artificial intelligence in the workplace while preventing negative impacts on users' cognitive skills.</t>
  </si>
  <si>
    <t>[Macnamara, Brooke N.; Berber, Ibrahim; Cavusoglu, M. Cenk; Nallapareddy, Naren; Nelson, Noelle E.; Wilson-Delfosse, Amy L.; Ray, Soumya] Case Western Reserve Univ, 10900 Euclid Ave, Cleveland, OH 44106 USA; [Krupinski, Elizabeth A.] Emory Univ, 1364 Clifton Rd NE, Atlanta, GA 30322 USA; [Smith, Philip J.] Ohio State Univ, 1971 Neil Ave, Columbus, OH 43210 USA</t>
  </si>
  <si>
    <t>University System of Ohio; Case Western Reserve University; Emory University; University System of Ohio; Ohio State University</t>
  </si>
  <si>
    <t>Macnamara, BN (corresponding author), Case Western Reserve Univ, 10900 Euclid Ave, Cleveland, OH 44106 USA.</t>
  </si>
  <si>
    <t>bmacnama@purdue.edu</t>
  </si>
  <si>
    <t>Nallapareddy, Naren/LSJ-1828-2024; Macnamara, Brooke/A-6270-2015</t>
  </si>
  <si>
    <t>National Science Foundation</t>
  </si>
  <si>
    <t>National Science Foundation(National Science Foundation (NSF))</t>
  </si>
  <si>
    <t>2365-7464</t>
  </si>
  <si>
    <t>COGN RES</t>
  </si>
  <si>
    <t>Cogn. Res.</t>
  </si>
  <si>
    <t>JUL 12</t>
  </si>
  <si>
    <t>10.1186/s41235-024-00572-8</t>
  </si>
  <si>
    <t>Psychology, Experimental</t>
  </si>
  <si>
    <t>YQ1Z3</t>
  </si>
  <si>
    <t>WOS:001269870900001</t>
  </si>
  <si>
    <t>Cudzik, J; Radziszewski, K</t>
  </si>
  <si>
    <t>KepczynskaWalczak, A; Bialkowski, S</t>
  </si>
  <si>
    <t>Cudzik, Jan; Radziszewski, Kacper</t>
  </si>
  <si>
    <t>Artificial Intelligence Aided Architectural Design</t>
  </si>
  <si>
    <t>ECAADE 2018: COMPUTING FOR A BETTER TOMORROW, VO 1</t>
  </si>
  <si>
    <t>36th International Conference on Education and Research in Computer Aided Architectural Design in Europe (eCAADe)</t>
  </si>
  <si>
    <t>SEP 17-21, 2018</t>
  </si>
  <si>
    <t>Lodz Univ Technol, Fac Civil Engn Architecture &amp; Environml Engn, Lodz, POLAND</t>
  </si>
  <si>
    <t>Minist Sci &amp; Higher Educ,Autodesk Inc,GRAPHISOFT SE,Vectorworks,Bentley Syst Inc</t>
  </si>
  <si>
    <t>Lodz Univ Technol, Fac Civil Engn Architecture &amp; Environml Engn</t>
  </si>
  <si>
    <t>computer aideed design; artificial intelligence; evolutionary algorithms; swarm behaviour; optimization; parametric design</t>
  </si>
  <si>
    <t>Tools and methods used by architects always had an impact on the way building were designed. With the change in design methods and new approaches towards creation process, they became more than ever before crucial elements of the creation process. The automation of architects work has started with computational functions that were introduced to traditional computer-aided design tools. Nowadays architects tend to use specified tools that suit their specific needs. In some cases, they use artificial intelligence. Despite many similarities, they have different advantages and disadvantages. Therefore the change in the design process is more visible and unseen before solution are brought in the discipline. The article presents methods of applying the selected artificial intelligence algorithms: swarm intelligence, neural networks and evolutionary algorithms in the architectural practice by authors. Additionally research shows the methods of analogue data input and output approaches, based on vision and robotics, which in future combined with intelligence based algorithms, might simplify architects everyday practice. Presented techniques allow new spatial solutions to emerge with relatively simple intelligent based algorithms, from which many could be only accomplished with dedicated software. Popularization of the following methods among architects, will result in more intuitive, general use design tools.</t>
  </si>
  <si>
    <t>[Cudzik, Jan; Radziszewski, Kacper] Gdansk Univ Technol, Gdansk, Poland</t>
  </si>
  <si>
    <t>Fahrenheit Universities; Gdansk University of Technology</t>
  </si>
  <si>
    <t>Cudzik, J (corresponding author), Gdansk Univ Technol, Gdansk, Poland.</t>
  </si>
  <si>
    <t>jan.cudzik@pg.edu.pl; kacper.radziszewski@pg.edu.pl</t>
  </si>
  <si>
    <t>Radziszewski, Kacper/AAG-7225-2019; Cudzik, Jan/HGC-2918-2022</t>
  </si>
  <si>
    <t>ECAADE-EDUCATION &amp; RESEARCH COMPUTER AIDED ARCHITECTURAL DESIGN EUROPE</t>
  </si>
  <si>
    <t>BRUSSELS</t>
  </si>
  <si>
    <t>DEPT ARCHITECTURE SINT-LUCAS BRUSSELS-GHENT, HOGESCHOOL VOOR WETENSCHAP &amp; KUNST, PALEIZENSTRAAT 65, BRUSSELS, 1030, BELGIUM</t>
  </si>
  <si>
    <t>978-94-91207-15-0</t>
  </si>
  <si>
    <t>BO2QO</t>
  </si>
  <si>
    <t>WOS:000507565700015</t>
  </si>
  <si>
    <t>Gryshova, I; Balian, A; Antonik, I; Miniailo, V; Nehodenko, V; Nyzhnychenko, Y</t>
  </si>
  <si>
    <t>Gryshova, Inna; Balian, Anush; Antonik, Iryna; Miniailo, Viktoriia; Nehodenko, Viktoria; Nyzhnychenko, Yanislava</t>
  </si>
  <si>
    <t>ARTIFICIAL INTELLIGENCE IN CLIMATE SMART IN AGRICULTURAL: TOWARD A SUSTAINABLE FARMING FUTURE</t>
  </si>
  <si>
    <t>ACCESS-ACCESS TO SCIENCE BUSINESS INNOVATION IN THE DIGITAL ECONOMY</t>
  </si>
  <si>
    <t>Sustainability; artificial intelligence; climate smart in agricultural; machine learning; artificial intelligence technologies</t>
  </si>
  <si>
    <t>MANAGEMENT; MODEL</t>
  </si>
  <si>
    <t>This paper explores the connections between artificial intelligence and climate smart agricultural change research as a whole and its usefulness in adaptation efforts in smart agricultural technologies. In article increased attention is currently being paid to the use of smart technologies. The article provides an analysis of the prospects for the use of artificial intelligence technologies and Climate-Smart Agriculture. At the preparatory stage, an analysis of publications in the Woofs network was carried out, which allows specifying the essence and scope of artificial intelligence technologies in climate smart agriculture. The authors considered divided into four important components which include: the management of crops, farms, livestock and aquaculture to achieve a near-term balance in food security and livelihoods; the management of landscapes and ecosystems top reserve ecosystem services that are critical for agricultural development, food security, adaptation, and mitigation; enable better farm and land management by providing services on climate impacts and mitigation actions to managers of these resources; enhancing the derivable benefits of Climate-Smart Agriculture through demand-side measures and value chain interventions. Accordingly, Climate-Smart Agriculture and artificial intelligence aims to achieve the objectives of increasing productivity and incomes sustainably, making agriculture adaptive to the changing climate, and where possible cost-effective.</t>
  </si>
  <si>
    <t>[Gryshova, Inna; Balian, Anush] Natl Acad Agr Sci Ukraine, Kiev, Ukraine; [Antonik, Iryna] Natl Acad Agr Sci Ukraine, Labs Syst Bioengn, Livestock Farming Inst Climate Smart Agr, Kiev, Ukraine; [Miniailo, Viktoriia; Nehodenko, Viktoria] State Univ Trade &amp; Econ, Dept Financial Anal &amp; Audit, Kyiv Natl Univ Trade &amp; Econ, Kiev, Ukraine; [Nyzhnychenko, Yanislava] Odessa Natl Econ Univ, Odessa, Ukraine</t>
  </si>
  <si>
    <t>National Academy of Agrarian Sciences of Ukraine; National Academy of Agrarian Sciences of Ukraine; State University of Trade &amp; Economics; Ministry of Education &amp; Science of Ukraine; Odesa National Economic University</t>
  </si>
  <si>
    <t>Gryshova, I (corresponding author), Natl Acad Agr Sci Ukraine, Kiev, Ukraine.</t>
  </si>
  <si>
    <t>2606147@ukr.net; baliananush@gmail.com; primaveraryna@gmail.com; v.miniailo@knute.edu.ua; v.nehodenko@knute.edu.ua; Yanislava.oneta@gmail.com</t>
  </si>
  <si>
    <t>Miniailo, Viktoriia/A-7672-2019</t>
  </si>
  <si>
    <t>Miniailo, Viktoriia/0000-0001-5867-7135</t>
  </si>
  <si>
    <t>Access Press Publishing House</t>
  </si>
  <si>
    <t>Veliko Tarnovo</t>
  </si>
  <si>
    <t>32 Alexander Burmov, Veliko Tarnovo, BULGARIA</t>
  </si>
  <si>
    <t>2683-1007</t>
  </si>
  <si>
    <t>ACCESS-ACCESS SCI BU</t>
  </si>
  <si>
    <t>Access-Sci. Business Innov. Digit. Econ.</t>
  </si>
  <si>
    <t>10.46656/access.2024.5.1(8)</t>
  </si>
  <si>
    <t>Business; Computer Science, Interdisciplinary Applications; Economics; Management</t>
  </si>
  <si>
    <t>KD4A1</t>
  </si>
  <si>
    <t>WOS:001177996000005</t>
  </si>
  <si>
    <t>Kim, MJ; Hall, CM; Kwon, O; Hwang, K; Kim, JS</t>
  </si>
  <si>
    <t>Kim, Myung Ja; Hall, Colin Michael; Kwon, Ohbyung; Hwang, Kyunghwa; Kim, Jinok Susanna</t>
  </si>
  <si>
    <t>Orbital and sub-orbital space tourism: motivation, constraint and artificial intelligence</t>
  </si>
  <si>
    <t>TOURISM REVIEW</t>
  </si>
  <si>
    <t>Space tourism; Orbital; Suborbital; Motivation; Constraint; Artificial intelligence; ????; ??; ???; ??; ??; ????; Turismo espacial; Orbital; Suborbital; Motivacion; Restriccion; Inteligencia artificial</t>
  </si>
  <si>
    <t>PERSPECTIVES; FUTURE</t>
  </si>
  <si>
    <t>PurposeThere is limited research on the behavior of different categories of space tourists as identified by different types of space tourism. To address this deficiency, the purpose of this study is to examine what factors make consumers participate in orbital and/or suborbital space tourism, along with three dimensions of motivation, constraint and artificial intelligence. To achieve this study's goals, a comprehensive research model was developed that included three dimensions of intrinsic and extrinsic motivation, intrapersonal and interpersonal constraint and awareness of and trust in artificial intelligence, in comparing orbital and suborbital space tourism groups. Design/methodology/approachA questionnaire was carried out with respondents who wanted to participate in orbital (n = 332) and suborbital (n = 332) space tourism in the future. Partial least squares-structural equation modeling, fuzzy-set qualitative comparative analysis, multi-group analysis and deep learning were used to understand potential space tourist behavior. FindingsExtrinsic motivation has the greatest positive impact on behavioral intention, followed by awareness of and trust in artificial intelligence, while intrapersonal constraint strongly negatively affects behavioral intention. Surprisingly, interpersonal constraint is insignificant by partial least squares-structural equation modeling but is still one of sufficient causal configurations by fuzzy-set qualitative comparative analysis. Interestingly, the two types of space tourism have very distinct characteristics. Originality/valueThis study created a comprehensive integrated research model with three dimensions of motivation, constraint and artificial intelligence, along with potential orbital and suborbital space tourist groups, to identify future consumer behavior. Importantly, this study used multi-analysis methods using four different approaches to better shed light on potential orbital and suborbital space tourists.</t>
  </si>
  <si>
    <t>[Kim, Myung Ja; Hall, Colin Michael] Kyung Hee Univ, Coll Hotel &amp; Tourism Management, Seoul, South Korea; [Hall, Colin Michael] Univ Canterbury, Dept Management Mkt &amp; Tourism, Christchurch, New Zealand; [Hall, Colin Michael] Univ Oulu, Geog Res Unit, Oulu, Finland; [Hall, Colin Michael] Linnaeus Univ, Sch Business &amp; Econ, Kalmar, Sweden; [Hall, Colin Michael] Lund Univ, Dept Serv Management &amp; Serv Studies, Helsingborg, Sweden; [Hall, Colin Michael] Taylor Univ, Dept CRiC, Kuala Lumpur, Malaysia; [Kwon, Ohbyung; Hwang, Kyunghwa] Kyung Hee Univ, Sch Management, Seoul, South Korea; [Kim, Jinok Susanna] Macau Univ Sci &amp; Technol, Dept Hospitality &amp; Tourism Management, Macau, Peoples R China; [Kim, Jinok Susanna] Kyung Hee Univ, Smart Tourism Res Ctr, Seoul, South Korea</t>
  </si>
  <si>
    <t>Kyung Hee University; University of Canterbury; University of Oulu; Linnaeus University; Lund University; Kyung Hee University; Macau University of Science &amp; Technology; Kyung Hee University</t>
  </si>
  <si>
    <t>Kim, MJ (corresponding author), Kyung Hee Univ, Coll Hotel &amp; Tourism Management, Seoul, South Korea.</t>
  </si>
  <si>
    <t>silver@khu.ac.kr; michael.hall@canterbury.ac.nz; obkwon@khu.ac.kr; you7i@khu.ac.kr; s2924@naver.com</t>
  </si>
  <si>
    <t>Kim, Myung Ja/AAI-8460-2020; Hall, Colin Michael/C-1439-2010</t>
  </si>
  <si>
    <t>Hall, Colin Michael/0000-0002-7734-4587</t>
  </si>
  <si>
    <t>Institute of Information and Communications Technology Planning and Evaluation - Korean Government [RS-202200155911]; Artificial Intelligence Convergence Innovation Human Resources Development (Kyung Hee University); Ministry of Education of the Republic of Korea; National Research Foundation of Korea [NRF-2020S1A3A2A02093277]</t>
  </si>
  <si>
    <t>Institute of Information and Communications Technology Planning and Evaluation - Korean Government; Artificial Intelligence Convergence Innovation Human Resources Development (Kyung Hee University); Ministry of Education of the Republic of Korea(Ministry of Education (MOE), Republic of Korea); National Research Foundation of Korea(National Research Foundation of Korea)</t>
  </si>
  <si>
    <t>The authors would like to thank the editor and four anonymous reviewers for their valuable comments. The authors also thank Mr Minseong Kim and Ms Nayoung Yang for their thoughtful advice and assistance in refining the survey instrument as well as Ms Sunhee Lim for her dedicated help in managing the grant project. This work was supported by Institute of Information and Communications Technology Planning and Evaluation grant funded by the Korean Government (RS-2022-00155911), Artificial Intelligence Convergence Innovation Human Resources Development (Kyung Hee University) and the Ministry of Education of the Republic of Korea and the National Research Foundation of Korea (NRF-2020S1A3A2A02093277). Declaration of conflicting interests: The authors declared no potential conflicts of interest with respect to the research, authorship and/or publication of this article.</t>
  </si>
  <si>
    <t>1660-5373</t>
  </si>
  <si>
    <t>1759-8451</t>
  </si>
  <si>
    <t>TOUR REV</t>
  </si>
  <si>
    <t>Tour. Rev.</t>
  </si>
  <si>
    <t>10.1108/TR-01-2023-0017</t>
  </si>
  <si>
    <t>GJ0B1</t>
  </si>
  <si>
    <t>WOS:000989831100001</t>
  </si>
  <si>
    <t>Franganillo, J</t>
  </si>
  <si>
    <t>Franganillo, Jorge</t>
  </si>
  <si>
    <t>Generative artificial intelligence and its impact on media content creation</t>
  </si>
  <si>
    <t>METHAODOS-REVISTA DE CIENCIAS SOCIALES</t>
  </si>
  <si>
    <t>artificial intelligence; creative algorithms; generative models; media content; technology ethics.</t>
  </si>
  <si>
    <t>Generative artificial intelligence (AI) is a rapidly advancing field that enables the automated production of high-quality textual, graphic, sound , audiovisual content. This technology has significant implications for journalism, advertising and entertainment, as well as ethical, legal and social issues. This paper examines the possibilities, limitations and risks of generative AI for content production in the media. It analyzes large language models oriented to automated writing, generative adversarial networks oriented to image and short video synthesis , deepfake technology for video manipulation and voice cloning. The implications of these technologies for intellectual property, information veracity, personal identity and human creativity are discussed. It is concluded that generative AI is a powerful and innovative tool for media content creation, but that it also requires careful and ethical use by both content producers and consumers.</t>
  </si>
  <si>
    <t>[Franganillo, Jorge] Univ Barcelona, Informac &amp; Comunicac, Barcelona, Spain</t>
  </si>
  <si>
    <t>University of Barcelona</t>
  </si>
  <si>
    <t>Franganillo, J (corresponding author), Univ Barcelona, Informac &amp; Comunicac, Barcelona, Spain.</t>
  </si>
  <si>
    <t>franganillo@ub.edu</t>
  </si>
  <si>
    <t>Franganillo, Jorge/K-8534-2019</t>
  </si>
  <si>
    <t>UNIV REY JUAN CARLOS, FAC CIENCIAS JURIDICAS &amp; SOCIALES</t>
  </si>
  <si>
    <t>CAMPUS DE VICALVARO, P ARTILLEROS, S-N, MADRID, 28032, SPAIN</t>
  </si>
  <si>
    <t>2340-8413</t>
  </si>
  <si>
    <t>METHAODOS</t>
  </si>
  <si>
    <t>Methaodos</t>
  </si>
  <si>
    <t>m231102a10</t>
  </si>
  <si>
    <t>10.17502/mrcs.v11i2.710</t>
  </si>
  <si>
    <t>S2SX7</t>
  </si>
  <si>
    <t>WOS:001069731400001</t>
  </si>
  <si>
    <t>Deshpande, R</t>
  </si>
  <si>
    <t>Deshpande, Rajkiran</t>
  </si>
  <si>
    <t>Smart match: revolutionizing organ allocation through artificial intelligence</t>
  </si>
  <si>
    <t>organ procurement; transplantation; artificial intelligence; organ utilization; organ allocation</t>
  </si>
  <si>
    <t>LIVER-TRANSPLANTATION; PATIENT SURVIVAL; CHALLENGES; VALIDATION; MODEL</t>
  </si>
  <si>
    <t>In this transformative era of organ transplantation, integrating Smart Match and artificial intelligence (AI) emerges as a pivotal advancement, revolutionizing organ allocation processes. Smart Match employs AI algorithms, enhancing organ matching precision and optimizing transplantation outcomes. Leveraging machine learning addresses complexities in donor-recipient pairing, immunosuppression management, and post-operative care, promising to minimize waitlist mortality and improve patient wellbeing. The multifaceted potential of Smart Match lies in its ability to not only streamline current practices but also pave the way for future innovations in solid organ transplantation. As technology continues to evolve, the collaboration between Smart Match and AI exemplifies a beacon of progress, promising increased efficiency, equitable organ distribution, and improved patient care. This article delves into the paradigm shift facilitated by Smart Match and AI, emphasizing their transformative impact on the landscape of organ allocation and patient outcomes.</t>
  </si>
  <si>
    <t>[Deshpande, Rajkiran] Univ Manchester Hosp NHS Fdn Trust, Manchester Royal Infirm, Dept Renal Transplant &amp; Gen Surg, Manchester, England</t>
  </si>
  <si>
    <t>University of Manchester</t>
  </si>
  <si>
    <t>Deshpande, R (corresponding author), Univ Manchester Hosp NHS Fdn Trust, Manchester Royal Infirm, Dept Renal Transplant &amp; Gen Surg, Manchester, England.</t>
  </si>
  <si>
    <t>rajkidesh@gmail.com</t>
  </si>
  <si>
    <t>Deshpande, Dr. Rajkiran K/0000-0002-1357-1596</t>
  </si>
  <si>
    <t>FEB 28</t>
  </si>
  <si>
    <t>10.3389/frai.2024.1364149</t>
  </si>
  <si>
    <t>KU0E4</t>
  </si>
  <si>
    <t>WOS:001182351800001</t>
  </si>
  <si>
    <t>Jha, S; Singh, S</t>
  </si>
  <si>
    <t>Hemachandran, K; Rodriguez, RV; Rege, M; Piuri, V; Xu, G; Ong, KL</t>
  </si>
  <si>
    <t>Jha, Shweta; Singh, Somu</t>
  </si>
  <si>
    <t>How Do Senior Secondary Level Students and Their Teachers Perceive Artificial Intelligence and Its Implementation? An Exploratory Study</t>
  </si>
  <si>
    <t>ARTIFICIAL INTELLIGENCE AND KNOWLEDGE PROCESSING, AIKP 2023</t>
  </si>
  <si>
    <t>3rd International Conference on Artificial Intelligence and Knowledge Processing (AIKP)</t>
  </si>
  <si>
    <t>OCT 06-08, 2023</t>
  </si>
  <si>
    <t>Hyderabad, INDIA</t>
  </si>
  <si>
    <t>Woxsen Univ,Univ St. Thomas</t>
  </si>
  <si>
    <t>Artificial Intelligence; Learning; Education; AI Tools; Teaching</t>
  </si>
  <si>
    <t>Each and every sector is not left apart from the positive and negative impacts of Artificial Intelligence. With the lead of Artificial Intelligence in the field of education, the researcher examines the awareness and knowledge of Artificial Intelligence among school students and their computer science mentors. Researchers assessed the conceptions of students about features of AI, tools of AI and its use for learning purposes as well as demerits of AI. The intentionality of the sample was analyzed through a qualitative approach. Interviews of fifty students and their mentors have been conducted. The findings of the study revealed that the majority of the students have knowledge about AI and It is being taught by teachers. Students have basic knowledge of different forms and features of AI. Majority of school students and school teachers highlighted the positive characteristics of AI but AI as a subject is not popular among students. Students and their mentors also found AI helpful in their learning. Students also have knowledge of the negative effect of AI on students' learning habits, thinking ability, memory, and physical activity.</t>
  </si>
  <si>
    <t>[Jha, Shweta; Singh, Somu] Banaras Hindu Univ, Fac Educ, Varanasi, India</t>
  </si>
  <si>
    <t>Banaras Hindu University (BHU)</t>
  </si>
  <si>
    <t>Jha, S (corresponding author), Banaras Hindu Univ, Fac Educ, Varanasi, India.</t>
  </si>
  <si>
    <t>shweta.jha@bhu.ac.in; somusinghedu@bhu.ac.in</t>
  </si>
  <si>
    <t>Jha, Shweta/0009-0003-3133-1910</t>
  </si>
  <si>
    <t>Banaras Hindu University, Varanasi, India under Institute of Eminence Scheme (IoE), Ministry of Education, Govt. of India [I-6031-A-18975]</t>
  </si>
  <si>
    <t>Banaras Hindu University, Varanasi, India under Institute of Eminence Scheme (IoE), Ministry of Education, Govt. of India</t>
  </si>
  <si>
    <t>This research study was funded by the dBanaras Hindu University, Varanasi, India under Institute of Eminence Scheme (IoE), Ministry of Education, Govt. of India. Incentive Grant No. is I-6031-A-18975.</t>
  </si>
  <si>
    <t>978-3-031-68616-0; 978-3-031-68617-7</t>
  </si>
  <si>
    <t>10.1007/978-3-031-68617-7_3</t>
  </si>
  <si>
    <t>BX7GQ</t>
  </si>
  <si>
    <t>WOS:001321501500003</t>
  </si>
  <si>
    <t>Horzyk, A</t>
  </si>
  <si>
    <t>Rutkowski, L; Korytkowski, M; Scherer, R; Tadeusiewicz, R; Zadeh, LA; Zurada, JM</t>
  </si>
  <si>
    <t>Horzyk, Adrian</t>
  </si>
  <si>
    <t>Information Freedom and Associative Artificial Intelligence</t>
  </si>
  <si>
    <t>ARTIFICIAL INTELLIGENCE AND SOFT COMPUTING, PT I</t>
  </si>
  <si>
    <t>11th International Conference on Artificial Intelligence and Soft Computing (ICAISC)</t>
  </si>
  <si>
    <t>APR 29-MAY 03, 2012</t>
  </si>
  <si>
    <t>Zakopane, POLAND</t>
  </si>
  <si>
    <t>Polish Neural Network Soc,SWSPiZ Acad Management,Czestochowa Univ Technol, Dept Comp Engn,IEEE Computat Intelligence Soc, Poland Chapter</t>
  </si>
  <si>
    <t>associative artificial intelligence AAI; associative graph data structure AGDS; actively associated data neural networks AADNN; associative graph neurocomputing AGNC; autonomous association of pieces of information; cognitive science</t>
  </si>
  <si>
    <t>Today, majority of collected data and information are usually passively stored in data bases and in various kinds of memory cells and storage media that let them do nothing more than waiting for being used by some algorithms that will read, write or modify them. Nowadays, the majority of computational techniques do not allow pieces of information to associate with each other automatically. This paper introduces a novelty theory that lets information be free and active. There is allowed that some pieces of information can automatically and autonomously associate with the other pieces of it after some introduced associative rules characteristic also for biological information systems. As a result of this, each new information has an automatic impact on information processing in a brainlike artificial neural structure that can enable machines to associate various pieces of information automatically and autonomously. It can also enable machines actively perform some cognitive and thinking processes and constitute real artificial intelligence in the future.</t>
  </si>
  <si>
    <t>AGH Univ Sci &amp; Technol, Automat Dept, PL-30059 Krakow, Poland</t>
  </si>
  <si>
    <t>AGH University of Krakow</t>
  </si>
  <si>
    <t>Horzyk, A (corresponding author), AGH Univ Sci &amp; Technol, Automat Dept, Mickiewicza Av 30, PL-30059 Krakow, Poland.</t>
  </si>
  <si>
    <t>horzyk@agh.edu.pl</t>
  </si>
  <si>
    <t>Horzyk, Adrian/C-6661-2013</t>
  </si>
  <si>
    <t>Horzyk, Adrian/0000-0001-9001-4198</t>
  </si>
  <si>
    <t>SPRINGER-VERLAG BERLIN</t>
  </si>
  <si>
    <t>HEIDELBERGER PLATZ 3, D-14197 BERLIN, GERMANY</t>
  </si>
  <si>
    <t>978-3-642-29346-7; 978-3-642-29347-4</t>
  </si>
  <si>
    <t>BDO52</t>
  </si>
  <si>
    <t>WOS:000314211700010</t>
  </si>
  <si>
    <t>Livberber, T; Ayvaz, S</t>
  </si>
  <si>
    <t>Livberber, Tuba; Ayvaz, Suheyla</t>
  </si>
  <si>
    <t>The impact of Artificial Intelligence in academia: Views of Turkish academics on ChatGPT</t>
  </si>
  <si>
    <t>HELIYON</t>
  </si>
  <si>
    <t>Academia; Artificial intelligence; Human-AI collaboration; Learning &amp; teaching; Machine learning</t>
  </si>
  <si>
    <t>In the past decade, Artificial Intelligence (AI) and machine learning technologies have become increasingly prevalent in the academic world. This growing trend has led to debates about the impact of these technologies on academia. The purpose of this article is to examine the impact of ChatGPT, an AI and machine learning technology, in the academic field and to determine academics' perceptions of it. To achieve this goal, in-depth interviews were conducted with 10 academics, and their views on the subject were analyzed. It is seen that academics believe that ChatGPT will play a helpful role as a tool in scientific research and educational processes and can serve as an inspiration for new topics and research areas. Despite these advantages, academics also have ethical concerns, such as plagiarism and misinformation. The study found that ChatGPT is viewed positively as a useful tool in scientific research and education, but ethical concerns such as plagiarism and misinformation need to be addressed.</t>
  </si>
  <si>
    <t>[Livberber, Tuba] Univ Akdeniz, Fac Commun, Dept Journalism, Antalya, Turkiye; [Ayvaz, Suheyla] Selcuk Univ, Fac Commun, Dept Advertising, Konya, Turkiye</t>
  </si>
  <si>
    <t>Akdeniz University; Selcuk University</t>
  </si>
  <si>
    <t>Ayvaz, S (corresponding author), Selcuk Univ, Fac Commun, Dept Advertising, Konya, Turkiye.</t>
  </si>
  <si>
    <t>suheylaayvaz@selcuk.edu.tr</t>
  </si>
  <si>
    <t>Ayvaz, süheyla/ADT-0470-2022; Livberber, Tuba/IWM-6963-2023</t>
  </si>
  <si>
    <t>ayvaz, suheyla/0000-0002-1065-592X</t>
  </si>
  <si>
    <t>CELL PRESS</t>
  </si>
  <si>
    <t>50 HAMPSHIRE ST, FLOOR 5, CAMBRIDGE, MA 02139 USA</t>
  </si>
  <si>
    <t>2405-8440</t>
  </si>
  <si>
    <t>Heliyon</t>
  </si>
  <si>
    <t>e19688</t>
  </si>
  <si>
    <t>10.1016/j.heliyon.2023.e19688</t>
  </si>
  <si>
    <t>S5LZ5</t>
  </si>
  <si>
    <t>WOS:001071593500001</t>
  </si>
  <si>
    <t>Grájeda, A; Burgos, J; Cródova, P; Sanjinés, A</t>
  </si>
  <si>
    <t>Grajeda, Alberto; Burgos, Johnny; Cordova, Pamela; Sanjines, Alberto</t>
  </si>
  <si>
    <t>Assessing student-perceived impact of using artificial intelligence tools: Construction of a synthetic index of application in higher education</t>
  </si>
  <si>
    <t>COGENT EDUCATION</t>
  </si>
  <si>
    <t>Artificial intelligence in higher education; ChatGpt; synthetic index; learning; teaching; Artificial Intelligence tools</t>
  </si>
  <si>
    <t>This study aims to assess the adoption and impact of Artificial Intelligence (A.I.) tools in higher education, focusing on a private university in Latin America. Guided by the question, What is the impact, as perceived by university students, of using Artificial Intelligence tools on various dimensions of learning and teaching within the context of higher education? the study employs a rigorously validated 30-item instrument to examine five key dimensions: 1) Effectiveness use of A.I. tools, 2) Effectiveness use of ChatGPT, 3) Student's proficiency using A.I. tools, 4) Teacher's proficiency in A.I. and 5) Advanced student skills in A.I. These dimensions form a synthetic index used for comprehensive evaluation. Targeting 4,127 students from the university's schools of Engineering, Business, and Arts, the study garnered 21,449 responses, analyzed using Confirmatory Factor Analysis for validity. Findings indicate a significantly positive impact of A.I. tools on student academic experiences, including enhanced comprehension, creativity, and productivity. Importantly, the study identifies areas with low and high A.I. integration, serving as an institutional diagnostic tool. The data underscores the importance of A.I. proficiency among both educators and students, advocating for its integration as a pedagogical evolution rather than just a technological shift. This research has critical implications for data-driven decision-making in higher education, offering a robust framework for institutions aiming to navigate the complexities of A.I. implementation.</t>
  </si>
  <si>
    <t>[Grajeda, Alberto] Univ Privada Boliviana, Res Ctr Innovat Informat Technol Educ, Cochabamba, Bolivia; [Burgos, Johnny] Univ Privada Boliviana, Acad Advisory Dept, Presidencys Off, Cochabamba, Bolivia; [Cordova, Pamela] Univ Privada Boliviana, Ctr Res Econ &amp; Entrepreneurial Sci, Cochabamba, Bolivia; [Sanjines, Alberto] Univ Privada Boliviana, Acad Dept, Cochabamba, Bolivia</t>
  </si>
  <si>
    <t>Cródova, P (corresponding author), Univ Privada Boliviana, Ctr Res Econ &amp; Entrepreneurial Sci, Cochabamba, Bolivia.</t>
  </si>
  <si>
    <t>Grajeda, Alberto/GYV-4241-2022; CORDOVA, PAMELA/JHT-8113-2023</t>
  </si>
  <si>
    <t>CORDOVA OLIVERA, PAMELA/0000-0002-8644-3157; Burgos, Johnny/0009-0004-6480-0709; Grajeda, Alberto/0000-0003-2515-6944</t>
  </si>
  <si>
    <t>TAYLOR &amp; FRANCIS AS</t>
  </si>
  <si>
    <t>OSLO</t>
  </si>
  <si>
    <t>KARL JOHANS GATE 5, NO-0154 OSLO, NORWAY</t>
  </si>
  <si>
    <t>2331-186X</t>
  </si>
  <si>
    <t>COGENT EDUC</t>
  </si>
  <si>
    <t>Cogent Educ.</t>
  </si>
  <si>
    <t>10.1080/2331186X.2023.2287917</t>
  </si>
  <si>
    <t>Z8TN7</t>
  </si>
  <si>
    <t>WOS:001114746000001</t>
  </si>
  <si>
    <t>Goyal, H; Sherazi, SAA; Mann, R; Gandhi, Z; Perisetti, A; Aziz, M; Chandan, S; Kopel, J; Tharian, B; Sharma, N; Thosani, N</t>
  </si>
  <si>
    <t>Goyal, Hemant; Sherazi, Syed A. A.; Mann, Rupinder; Gandhi, Zainab; Perisetti, Abhilash; Aziz, Muhammad; Chandan, Saurabh; Kopel, Jonathan; Tharian, Benjamin; Sharma, Neil; Thosani, Nirav</t>
  </si>
  <si>
    <t>Scope of Artificial Intelligence in Gastrointestinal Oncology</t>
  </si>
  <si>
    <t>CANCERS</t>
  </si>
  <si>
    <t>artificial intelligence; colorectal cancer; gastrointestinal cancer; hepatocellular cancer; pancreaticobiliary cancer; gastric cancer; esophageal cancer</t>
  </si>
  <si>
    <t>COMPUTER-AIDED DIAGNOSIS; CONVOLUTIONAL NEURAL-NETWORK; HELICOBACTER-PYLORI INFECTION; SQUAMOUS-CELL CARCINOMA; NARROW-BAND; COLORECTAL-CANCER; GASTRIC-CANCER; DIFFERENTIAL-DIAGNOSIS; BARRETTS NEOPLASIA; PANCREATIC-CANCER</t>
  </si>
  <si>
    <t>Simple Summary: Gastrointestinal cancers cause over 2.8 million deaths annually worldwide. Currently, the diagnosis of various gastrointestinal cancer mainly relies on manual interpretation of radiographic images by radiologists and various endoscopic images by endoscopists. Artificial intelligence (AI) may be useful in screening, diagnosing, and treating various cancers by accurately analyzing diagnostic clinical images, identifying therapeutic targets, and processing large datasets. The use of AI in endoscopic procedures is a significant breakthrough in modern medicine. Although the diagnostic accuracy of AI systems has markedly increased, it still needs collaboration with physicians. In the near future, AI-assisted systems will become a vital tool for the management of these cancer patients.Gastrointestinal cancers are among the leading causes of death worldwide, with over 2.8 million deaths annually. Over the last few decades, advancements in artificial intelligence technologies have led to their application in medicine. The use of artificial intelligence in endoscopic procedures is a significant breakthrough in modern medicine. Currently, the diagnosis of various gastrointestinal cancer relies on the manual interpretation of radiographic images by radiologists and various endoscopic images by endoscopists. This can lead to diagnostic variabilities as it requires concentration and clinical experience in the field. Artificial intelligence using machine or deep learning algorithms can provide automatic and accurate image analysis and thus assist in diagnosis. In the field of gastroenterology, the application of artificial intelligence can be vast from diagnosis, predicting tumor histology, polyp characterization, metastatic potential, prognosis, and treatment response. It can also provide accurate prediction models to determine the need for intervention with computer-aided diagnosis. The number of research studies on artificial intelligence in gastrointestinal cancer has been increasing rapidly over the last decade due to immense interest in the field. This review aims to review the impact, limitations, and future potentials of artificial intelligence in screening, diagnosis, tumor staging, treatment modalities, and prediction models for the prognosis of various gastrointestinal cancers.</t>
  </si>
  <si>
    <t>[Goyal, Hemant] Wright Ctr Grad Med Educ, Dept Internal Med, 501 S Washington Ave, Scranton, PA 18505 USA; [Sherazi, Syed A. A.] John H Stroger Jr Hosp Cook Cty, Dept Med, 1950 W Polk St, Chicago, IL 60612 USA; [Mann, Rupinder] St Agnes Med Ctr, Dept Med, 1303 E Herndon Ave, Fresno, CA 93720 USA; [Gandhi, Zainab] Geisinger Wyoming Valley Med Ctr, Dept Med, 1000 E Mt Dr, Wilkes Barre, PA 18711 USA; [Perisetti, Abhilash; Sharma, Neil] Parkview Canc Inst, Div Intervent Oncol &amp; Surg Endoscopy IOSE, 11050 Parkview Circle, Ft Wayne, IN 46845 USA; [Aziz, Muhammad] Univ Toledo, Med Ctr, Dept Gastroenterol &amp; Hepatol, 3000 Arlington Ave, Toledo, OH 43614 USA; [Chandan, Saurabh] Creighton Univ, Med Ctr, CHI Hlth, Div Gastroenterol &amp; Hepatol, 7500 Mercy Rd, Omaha, NE 68124 USA; [Kopel, Jonathan] Texas Tech Univ, Hlth Sci Ctr, Dept Med, 3601 4th St, Lubbock, TX 79430 USA; [Tharian, Benjamin] Univ Arkansas Med Sci, Dept Gastroenterol &amp; Hepatol, 4301 W Markham St, Little Rock, AR 72205 USA; [Thosani, Nirav] UTHealth, McGovern Med Sch, Div Gastroenterol Hepatol &amp; Nutr, 6410 Fannin St 1014, Houston, TX 77030 USA</t>
  </si>
  <si>
    <t>University of Illinois System; University of Illinois Chicago; University of Illinois Chicago Hospital; John H Stroger Junior Hospital Cook County; University System of Ohio; University of Toledo; Creighton University; Texas Tech University System; Texas Tech University Health Science Center; University of Arkansas System; University of Arkansas Medical Sciences; University of Texas System; University of Texas Health Science Center Houston</t>
  </si>
  <si>
    <t>Goyal, H (corresponding author), Wright Ctr Grad Med Educ, Dept Internal Med, 501 S Washington Ave, Scranton, PA 18505 USA.</t>
  </si>
  <si>
    <t>doc.hemant@yahoo.com; syedaliamir.sherazi@cookcountyhhs.org; rupindrmann@yahoo.com; drzainabgandhi@gmail.com; abhilash.perisetti@gmail.com; marajani@hotmail.com; saurabhchandan@gmail.com; jonathan.kopel@ttuhsc.edu; btharian@uams.edu; neil.sharma@parkview.com; nirav.thosani@uth.tmc.edu</t>
  </si>
  <si>
    <t>Kopel, Jonathan/AAH-9701-2019; Perisetti, Abhilash/L-2619-2019; Goyal, Hemant/E-3153-2012</t>
  </si>
  <si>
    <t>GOYAL, HEMANT/0000-0002-9433-9042; Kopel, Jonathan/0000-0001-5934-2695; Gandhi, Zainab/0000-0002-7214-4981; Chandan, Saurabh/0000-0002-2661-6693; Perisetti, Abhilash/0000-0003-4074-6395; Aziz, Muhammad/0000-0001-5620-8597</t>
  </si>
  <si>
    <t>2072-6694</t>
  </si>
  <si>
    <t>Cancers</t>
  </si>
  <si>
    <t>10.3390/cancers13215494</t>
  </si>
  <si>
    <t>WY3QL</t>
  </si>
  <si>
    <t>WOS:000719194900001</t>
  </si>
  <si>
    <t>Yotova, L</t>
  </si>
  <si>
    <t>Yotova, Lilia</t>
  </si>
  <si>
    <t>ARTIFICIAL INTELLIGENCE, PHOTOGRAPHY &amp; INTELLECTUAL PROPERTY RIGHTS</t>
  </si>
  <si>
    <t>Bulgarian</t>
  </si>
  <si>
    <t>generative artificial inteligence (genai); copyright; photography; intellectual property; author; artificial intelligence (AI)</t>
  </si>
  <si>
    <t>The entry of artificial intelligence (AI) into every area of economic and social life is already a reality. AI image generation and image processing methods have a huge importance and impact in the field of photography. Generative Artificial Intelligence (GenAI) is a technological advancement and opens up new opportunities to expand the creative spectrum. It can be a powerful tool in the hands of professional photographers, but it can also lead to serious economic crises in the photographic creative industry. Today, it is difficult to tell whether an image is AI generated or created by the usual photographic method using light. This fact contributes to the increase of so-called fake news and creates a parallel virtual reality. The article examines the intersections between traditional photographic images and AI, but especially actual questions related to intellectual property in this field. By using the methodology of documentary analysis, current problems have been examined and possible solutions have been proposed.</t>
  </si>
  <si>
    <t>[Yotova, Lilia] Univ Natl &amp; World Econ, Intellectual Property &amp; Technol Transfer Dept, Fac Business, 19 December 8th St, Sofia 1700, Bulgaria</t>
  </si>
  <si>
    <t>University of National &amp; World Economics - Bulgaria</t>
  </si>
  <si>
    <t>Yotova, L (corresponding author), Univ Natl &amp; World Econ, Intellectual Property &amp; Technol Transfer Dept, Fac Business, 19 December 8th St, Sofia 1700, Bulgaria.</t>
  </si>
  <si>
    <t>lilia.yotova@unwe.bg</t>
  </si>
  <si>
    <t>Yotova, Lilia/KMY-5341-2024</t>
  </si>
  <si>
    <t>, Lilia Yotova/0009-0003-2347-8373</t>
  </si>
  <si>
    <t>10.53656/str2024-3-7-aif</t>
  </si>
  <si>
    <t>C8B2V</t>
  </si>
  <si>
    <t>WOS:001291562200007</t>
  </si>
  <si>
    <t>Tsenkov, N</t>
  </si>
  <si>
    <t>Tsenkov, Nikolay</t>
  </si>
  <si>
    <t>BETWEEN HOMER AND CHATGPT (IS ARTIFICIAL INTELLIGENCE AN UNPRECEDENTED PHENOMENON TO SPEECH)</t>
  </si>
  <si>
    <t>CHUZHDOEZIKOVO OBUCHENIE-FOREIGN LANGUAGE TEACHING</t>
  </si>
  <si>
    <t>artificial intelligence; an unprecedented phenomenon; speech; speech situation; sense</t>
  </si>
  <si>
    <t>The article aims to trace the impact that artificial intelligence has on the contemporary communication paradigm. The relationship between the large language models (LLM) and the speech, its sense and the current speech situation is investigated. Elucidation of this relation is revealed by suggesting answers related to the questions of whether artificial intelligence is an unprecedented phenomenon to speech; how artificial intelligence is integrated into a new speech situation; does artificial intelligence disrupt the unity between word and sense?</t>
  </si>
  <si>
    <t>[Tsenkov, Nikolay] South West Univ, 66 Ivan Mihaylov, Blagoevgrad 2700, Bulgaria</t>
  </si>
  <si>
    <t>South-West University - Bulgaria</t>
  </si>
  <si>
    <t>Tsenkov, N (corresponding author), South West Univ, 66 Ivan Mihaylov, Blagoevgrad 2700, Bulgaria.</t>
  </si>
  <si>
    <t>n_tsenkov@abv.bg</t>
  </si>
  <si>
    <t>Tsenkov, Nikolay/E-1681-2019</t>
  </si>
  <si>
    <t>0205-1834</t>
  </si>
  <si>
    <t>1314-8508</t>
  </si>
  <si>
    <t>CHUZHDOEZIKOVO OBUC</t>
  </si>
  <si>
    <t>Chuzhdoezikovo Obuc.</t>
  </si>
  <si>
    <t>10.53656/for2024-02-09</t>
  </si>
  <si>
    <t>TZ3Q8</t>
  </si>
  <si>
    <t>WOS:001245045900006</t>
  </si>
  <si>
    <t>Zafar, S; Mahjoub, H; Mehta, N; Domalpally, A; Channa, R</t>
  </si>
  <si>
    <t>Zafar, Sidra; Mahjoub, Heba; Mehta, Nitish; Domalpally, Amitha; Channa, Roomasa</t>
  </si>
  <si>
    <t>Artificial Intelligence Algorithms in Diabetic Retinopathy Screening</t>
  </si>
  <si>
    <t>CURRENT DIABETES REPORTS</t>
  </si>
  <si>
    <t>Diabetic retinopathy; Artificial intelligence; Deep learning; Machine learning</t>
  </si>
  <si>
    <t>CONVOLUTIONAL NEURAL-NETWORKS; RISK-FACTORS; PREVALENCE; VALIDATION; GUIDELINES; MELLITUS; YOUTHS; IMPACT; CARE</t>
  </si>
  <si>
    <t>Purpose of Review In this review, we focus on artificial intelligence (AI) algorithms for diabetic retinopathy (DR) screening and risk stratification and factors to consider when implementing AI algorithms in the clinic. Recent Findings AI algorithms have been adopted, and have received regulatory approval, for automated detection of referable DR with clinically acceptable diagnostic performance. While these metrics are an important first step, performance metrics that go beyond measures of technical accuracy are needed to fully evaluate the impact of AI algorithm on patient outcomes. Recent advances in AI present an exciting opportunity to improve patient care. Using DR as an example, we have reviewed factors to consider in the implementation of AI algorithms in real-world clinical practice. These include real-world evaluation of safety, efficacy, and equity (bias); impact on patient outcomes; ethical, logistical, and regulatory factors.</t>
  </si>
  <si>
    <t>[Zafar, Sidra; Mahjoub, Heba] Johns Hopkins Univ, Sch Med, Johns Hopkins Hosp, Wilmer Eye Inst, Baltimore, MD USA; [Mehta, Nitish] New York Univ Sch Med, Dept Ophthalmol, New York, NY USA; [Domalpally, Amitha; Channa, Roomasa] Univ Wisconsin, Dept Ophthalmol &amp; Visual Sci, Madison, WI 53706 USA</t>
  </si>
  <si>
    <t>Johns Hopkins University; Johns Hopkins Medicine; New York University; University of Wisconsin System; University of Wisconsin Madison</t>
  </si>
  <si>
    <t>Channa, R (corresponding author), Univ Wisconsin, Dept Ophthalmol &amp; Visual Sci, Madison, WI 53706 USA.</t>
  </si>
  <si>
    <t>rchanna@wisc.edu</t>
  </si>
  <si>
    <t>Domalpally, Amitha/B-2367-2015</t>
  </si>
  <si>
    <t>Channa, Roomasa/0000-0003-0755-6901</t>
  </si>
  <si>
    <t>1534-4827</t>
  </si>
  <si>
    <t>1539-0829</t>
  </si>
  <si>
    <t>CURR DIABETES REP</t>
  </si>
  <si>
    <t>Curr. Diabetes Rep.</t>
  </si>
  <si>
    <t>10.1007/s11892-022-01467-y</t>
  </si>
  <si>
    <t>Endocrinology &amp; Metabolism</t>
  </si>
  <si>
    <t>1O2KJ</t>
  </si>
  <si>
    <t>WOS:000784826900001</t>
  </si>
  <si>
    <t>Sharkey, MJ; Checkley, EW; Swift, AJ</t>
  </si>
  <si>
    <t>Sharkey, Michael J.; Checkley, Elliot W.; Swift, Andrew J.</t>
  </si>
  <si>
    <t>Applications of artificial intelligence in computed tomography imaging for phenotyping pulmonary hypertension</t>
  </si>
  <si>
    <t>artificial intelligence; computer tomography; pulmonary hypertension</t>
  </si>
  <si>
    <t>CT</t>
  </si>
  <si>
    <t>Purpose of reviewPulmonary hypertension is a heterogeneous condition with significant morbidity and mortality. Computer tomography (CT) plays a central role in determining the phenotype of pulmonary hypertension, informing treatment strategies. Many artificial intelligence tools have been developed in this modality for the assessment of pulmonary hypertension. This article reviews the latest CT artificial intelligence applications in pulmonary hypertension and related diseases.Recent findingsMultistructure segmentation tools have been developed in both pulmonary hypertension and nonpulmonary hypertension cohorts using state-of-the-art UNet architecture. These segmentations correspond well with those of trained radiologists, giving clinically valuable metrics in significantly less time. Artificial intelligence lung parenchymal assessment accurately identifies and quantifies lung disease patterns by integrating multiple radiomic techniques such as texture analysis and classification. This gives valuable information on disease burden and prognosis. There are many accurate artificial intelligence tools to detect acute pulmonary embolism. Detection of chronic pulmonary embolism proves more challenging with further research required.SummaryThere are numerous artificial intelligence tools being developed to identify and quantify many clinically relevant parameters in both pulmonary hypertension and related disease cohorts. These potentially provide accurate and efficient clinical information, impacting clinical decision-making.</t>
  </si>
  <si>
    <t>[Sharkey, Michael J.; Checkley, Elliot W.; Swift, Andrew J.] Univ Sheffield, Dept Clin Med, Sheffield, England; [Sharkey, Michael J.] Sheffield Teaching Hosp NHS Fdn Trust, Imaging Lab 3D, Sheffield, England; [Swift, Andrew J.] Univ Sheffield, Insigneo Inst Sil Med, Sheffield, England; [Swift, Andrew J.] Natl Inst Hlth &amp; Care Res, Sheffield Biomed Res Ctr, Sheffield, England</t>
  </si>
  <si>
    <t>University of Sheffield; University of Sheffield; University of Sheffield</t>
  </si>
  <si>
    <t>Swift, AJ (corresponding author), Univ Sheffield, Dept Clin Med, Sheffield, England.</t>
  </si>
  <si>
    <t>a.j.swift@sheffield.ac.uk</t>
  </si>
  <si>
    <t>Wellcome Trust [223521/Z/21/Z]; NIHR Sheffield Biomedical Research Centre [NIHR203321]; Wellcome Trust [223521/Z/21/Z] Funding Source: Wellcome Trust</t>
  </si>
  <si>
    <t>Wellcome Trust(Wellcome Trust); NIHR Sheffield Biomedical Research Centre; Wellcome Trust(Wellcome Trust)</t>
  </si>
  <si>
    <t>M.J.S. was funded by the Wellcome Trust 223521/Z/21/Z. E.W.C has received no financial support or sponsorship relating to this article. A.J.S. has received no financial support or sponsorship relating to this article.Disclosure of funding: this research was funded in whole, or in part, by the Wellcome Trust 223521/Z/21/Z. NIHR Sheffield Biomedical Research Centre NIHR203321. For the purpose of open access, the author has applied a CC BY public copyright licence to any Author Accepted Manuscript version arising from this submission.</t>
  </si>
  <si>
    <t>10.1097/MCP.0000000000001103</t>
  </si>
  <si>
    <t>C0K6D</t>
  </si>
  <si>
    <t>WOS:001286337200005</t>
  </si>
  <si>
    <t>Soliman, A; Li, ZB; Parwani, AV</t>
  </si>
  <si>
    <t>Soliman, Amr; Li, Zaibo; Parwani, Anil V.</t>
  </si>
  <si>
    <t>Artificial intelligence's impact on breast cancer pathology: a literature review</t>
  </si>
  <si>
    <t>DIAGNOSTIC PATHOLOGY</t>
  </si>
  <si>
    <t>Artificial intelligence; Machine learning; Digital pathology; Breast cancer</t>
  </si>
  <si>
    <t>TUMOR-INFILTRATING LYMPHOCYTES; CARCINOMA IN-SITU; PATTERNS; TILS</t>
  </si>
  <si>
    <t>This review discusses the profound impact of artificial intelligence (AI) on breast cancer (BC) diagnosis and management within the field of pathology. It examines the various applications of AI across diverse aspects of BC pathology, highlighting key findings from multiple studies. Integrating AI into routine pathology practice stands to improve diagnostic accuracy, thereby contributing to reducing avoidable errors. Additionally, AI has excelled in identifying invasive breast tumors and lymph node metastasis through its capacity to process large whole-slide images adeptly. Adaptive sampling techniques and powerful convolutional neural networks mark these achievements. The evaluation of hormonal status, which is imperative for BC treatment choices, has also been enhanced by AI quantitative analysis, aiding interobserver concordance and reliability. Breast cancer grading and mitotic count evaluation also benefit from AI intervention. AI-based frameworks effectively classify breast carcinomas, even for moderately graded cases that traditional methods struggle with. Moreover, AI-assisted mitotic figures quantification surpasses manual counting in precision and sensitivity, fostering improved prognosis. The assessment of tumor-infiltrating lymphocytes in triple-negative breast cancer using AI yields insights into patient survival prognosis. Furthermore, AI-powered predictions of neoadjuvant chemotherapy response demonstrate potential for streamlining treatment strategies. Addressing limitations, such as preanalytical variables, annotation demands, and differentiation challenges, is pivotal for realizing AI's full potential in BC pathology. Despite the existing hurdles, AI's multifaceted contributions to BC pathology hold great promise, providing enhanced accuracy, efficiency, and standardization. Continued research and innovation are crucial for overcoming obstacles and fully harnessing AI's transformative capabilities in breast cancer diagnosis and assessment.</t>
  </si>
  <si>
    <t>[Soliman, Amr; Li, Zaibo; Parwani, Anil V.] Ohio State Univ, Dept Pathol, Columbus, OH 43210 USA</t>
  </si>
  <si>
    <t>University System of Ohio; Ohio State University</t>
  </si>
  <si>
    <t>Parwani, AV (corresponding author), Ohio State Univ, Dept Pathol, Columbus, OH 43210 USA.</t>
  </si>
  <si>
    <t>anil.parwani@osumc.edu</t>
  </si>
  <si>
    <t>parwani, anil/AAH-5464-2020</t>
  </si>
  <si>
    <t>Parwani, Anil/0009-0007-7224-6682</t>
  </si>
  <si>
    <t>1746-1596</t>
  </si>
  <si>
    <t>DIAGN PATHOL</t>
  </si>
  <si>
    <t>Diagn. Pathol.</t>
  </si>
  <si>
    <t>FEB 22</t>
  </si>
  <si>
    <t>10.1186/s13000-024-01453-w</t>
  </si>
  <si>
    <t>JQ6S3</t>
  </si>
  <si>
    <t>WOS:001174676200005</t>
  </si>
  <si>
    <t>Arshad, MF; Burrai, GP; Varcasia, A; Sini, MF; Ahmed, F; Lai, G; Polinas, M; Antuofermo, E; Tamponi, C; Cocco, R; Corda, A; Parpaglia, MLP</t>
  </si>
  <si>
    <t>Arshad, Muhammad Furqan; Burrai, Giovanni Pietro; Varcasia, Antonio; Sini, Maria Francesca; Ahmed, Fahad; Lai, Giovanni; Polinas, Marta; Antuofermo, Elisabetta; Tamponi, Claudia; Cocco, Raffaella; Corda, Andrea; Parpaglia, Maria Luisa Pinna</t>
  </si>
  <si>
    <t>The groundbreaking impact of digitalization and artificial intelligence in sheep farming</t>
  </si>
  <si>
    <t>RESEARCH IN VETERINARY SCIENCE</t>
  </si>
  <si>
    <t>Artificial intelligence (AI); Sheep farming; Digitalization; Precision livestock farming (PLF)</t>
  </si>
  <si>
    <t>VIRTUAL FENCES; MOBILE; SYSTEM; FUTURE</t>
  </si>
  <si>
    <t>The integration of digitalization and Artificial Intelligence (AI) has marked the onset of a new era of efficient sheep farming in multiple aspects ranging from the general well-being of sheep to advanced web-based management applications. The resultant improvement in sheep health and consequently better farming yield has already started to benefit both farmers and veterinarians. The predictive analytical models embedded with machine learning (giving sense to machines) has helped better decision-making and has enabled farmers to derive most out of their farms. This is evident in the ability of farmers to remotely monitor livestock health by wearable devices that keep track of animal vital signs and behaviour. Additionally, veterinarians now employ advanced AI-based diagnostics for efficient parasite detection and control. Overall, digitalization and AI have completely transformed traditional farming practices in livestock animals. However, there is a pressing need to optimize digital sheep farming, allowing sheep farmers to appreciate and adopt these innovative systems. To fill this gap, this review aims to provide available digital and AI-based systems designed to aid precision farming of sheep, offering an up-to-date understanding on the subject. Various contemporary techniques, such as sky shepherding, virtual fencing, advanced parasite detection, automated counting and behaviour tracking, anomaly detection, precision nutrition, breeding support, and several mobile-based management applications are currently being utilized in sheep farms and appear to be promising. Although artificial intelligence and machine learning may represent key features in the sustainable development of sheep farming, they present numerous challenges in application.</t>
  </si>
  <si>
    <t>[Arshad, Muhammad Furqan; Burrai, Giovanni Pietro; Varcasia, Antonio; Sini, Maria Francesca; Lai, Giovanni; Polinas, Marta; Antuofermo, Elisabetta; Tamponi, Claudia; Cocco, Raffaella; Corda, Andrea; Parpaglia, Maria Luisa Pinna] Univ Sassari, Dept Vet Med, Sassari, Italy; [Ahmed, Fahad] Ulster Univ, Nutr Innovat Ctr Food &amp; Hlth NICHE, Sch Biomed Sci, Coleraine BT52 1SA, North Ireland</t>
  </si>
  <si>
    <t>University of Sassari; Ulster University</t>
  </si>
  <si>
    <t>Varcasia, A (corresponding author), Univ Sassari, Dept Vet Med, Sassari, Italy.</t>
  </si>
  <si>
    <t>varcasia@uniss.it</t>
  </si>
  <si>
    <t>Burrai, Giovanni/R-5459-2016; Lai, Giovanni/LSJ-1340-2024; Corda, Andrea/KYP-3289-2024; Varcasia, Antonio/B-7939-2013</t>
  </si>
  <si>
    <t>Polinas, Marta/0000-0003-4364-4802; Sini, Maria Francesca/0000-0003-2407-4357; Ahmed, Fahad/0000-0002-6469-3358</t>
  </si>
  <si>
    <t>0034-5288</t>
  </si>
  <si>
    <t>1532-2661</t>
  </si>
  <si>
    <t>RES VET SCI</t>
  </si>
  <si>
    <t>Res. Vet. Sci.</t>
  </si>
  <si>
    <t>10.1016/j.rvsc.2024.105197</t>
  </si>
  <si>
    <t>Veterinary Sciences</t>
  </si>
  <si>
    <t>OE6J4</t>
  </si>
  <si>
    <t>WOS:001205624400001</t>
  </si>
  <si>
    <t>Karakas, Ü; Özdemir, V</t>
  </si>
  <si>
    <t>Karakas, Umit; Ozdemir, Vural</t>
  </si>
  <si>
    <t>Artificial Intelligence and Environmental Impact: Moving Beyond Humanizing Vocabulary and Anthropocentrism</t>
  </si>
  <si>
    <t>OMICS-A JOURNAL OF INTEGRATIVE BIOLOGY</t>
  </si>
  <si>
    <t>artificial intelligence; environment; energy and water governance; queering AI; anthropocentrism; digital health</t>
  </si>
  <si>
    <t>INTERNET; THINGS</t>
  </si>
  <si>
    <t>Artificial intelligence (AI) and its applications in digital health, bioengineering, and society have significant material impacts on the environment owing to AI's vast energy demands and energy consumption, carbon footprints, and water usage to cool data centers and generate electricity to power the data centers. Yet, the environmental footprints of AI remain underappreciated and inadequately acknowledged. This is significant, particularly in this era of climate emergency and ongoing threats to planetary energy and water supplies. The vocabulary attached to AI often aims to mimic positive human capacities such as warmness and care. However, these attempts to humanize AI and digital technology come with an anthropocentric gaze and blind spots that bracket out the environmental impacts and footprints of AI and privilege humans and technology over nonhuman animals and planetary ecological limits. In medicine, the environmental impacts of large language models range from water consumption and carbon emission to rare mineral usage. This commentary and innovation analysis question and queer the popular imagination of AI and digital technology as things that only exist in the immaterial world of cyberspace. In the course of research on AI in planetary health, we must be cognizant of its materiality, ecological impacts, and massive energy and water demands. We argue that moving away from anthropocentric narratives and vocabulary in AI design and praxis would bode well to live within planetary ecological limits so that AI and emerging digital technologies best serve robust and responsible science and all life on the planet Earth.</t>
  </si>
  <si>
    <t>[Karakas, Umit] Bayburt Univ, Pharm Serv Dept, TR-69000 Bayburt, Turkiye; [Ozdemir, Vural] OMICS Journal Integrat Biol, New Rochelle, NY 10801 USA</t>
  </si>
  <si>
    <t>Bayburt University</t>
  </si>
  <si>
    <t>Karakas, Ü (corresponding author), Bayburt Univ, Pharm Serv Dept, TR-69000 Bayburt, Turkiye.;Özdemir, V (corresponding author), OMICS Journal Integrat Biol, New Rochelle, NY 10801 USA.</t>
  </si>
  <si>
    <t>umitk.kas@gmail.com; vural.ozdemir@protonmail.com</t>
  </si>
  <si>
    <t>MARY ANN LIEBERT, INC</t>
  </si>
  <si>
    <t>NEW ROCHELLE</t>
  </si>
  <si>
    <t>140 HUGUENOT STREET, 3RD FL, NEW ROCHELLE, NY 10801 USA</t>
  </si>
  <si>
    <t>1536-2310</t>
  </si>
  <si>
    <t>1557-8100</t>
  </si>
  <si>
    <t>OMICS</t>
  </si>
  <si>
    <t>JAN 1</t>
  </si>
  <si>
    <t>10.1089/omi.2024.0197</t>
  </si>
  <si>
    <t>Biotechnology &amp; Applied Microbiology; Genetics &amp; Heredity</t>
  </si>
  <si>
    <t>S5V7G</t>
  </si>
  <si>
    <t>WOS:001379785000001</t>
  </si>
  <si>
    <t>The Malicious use of Artificial Intelligence Through Agenda Setting: Challenges to Political Stability</t>
  </si>
  <si>
    <t>malicious use of artificial intelligence; agenda setting; risks; media; manipulation</t>
  </si>
  <si>
    <t>The role of the news media in defining the important issues of the day, also known as agenda setting, has a strong effect on social and political life. In recent years, agenda setting has been influenced more and more powerfully by rapidly developing AI technologies. The news production process, the collection, processing, and analysis of information, the production of photo and video materials, storytelling, and news distribution are increasingly affected by these algorithms. AI is also widely used in searches for broadcast content, content production and management. Snackable video services, automated caption generation, topic-based profile enrichment, AI news anchors, the creation of new programs through the mining of archives and even the automated studio system utilizing the power of AI and that does not require camera people or an onsite director. The implementation of AI in agenda setting is reducing costs and boosting revenues both to the media industry itself and to its customers. At the same time, due to the crisis in the world economy, the degradation of democratic institutions in many countries, and increasingly acute geopolitical rivalries, there is a growing trend towards the malicious use of artificial intelligence (MUAI) through agenda setting at the national and global levels. Reactionary regimes can focus the entire range of AI technologies on agenda setting in order to keep populations under their control and to pursue psychological aggression against other nations, thereby turning agenda setting into an important element of hybrid warfare. Self-interest in terms of making money by any means can also turn some global information resources, not least social networks, into dangerous MUAI tools. The current paper focuses on the following issues: the role of AI in the provision of agenda setting, the social and political context, and the technologies, current practices and implications of MUAI in shaping the important issues of the day. Specific recommendations are offered for minimizing the damage from MUAI and organizing international cooperation to counter such practices. Through the application of systemic analysis to this subject, we seek to avoid one-sided assessments, instead seeking to give an objective vision of the interrelated aspects of the development and double use of AI technologies in agenda setting.</t>
  </si>
  <si>
    <t>[Pashentsev, Evgeny] Minist Foreign Affairs Russian Federat, Diplomat Acad, Inst Contemporary Int Studies, Moscow, Russia; [Pashentsev, Evgeny] Ctr Social &amp; Polit Studies &amp; Consulting, Moscow, Russia</t>
  </si>
  <si>
    <t>Pashentsev, E (corresponding author), Minist Foreign Affairs Russian Federat, Diplomat Acad, Inst Contemporary Int Studies, Moscow, Russia.;Pashentsev, E (corresponding author), Ctr Social &amp; Polit Studies &amp; Consulting, Moscow, Russia.</t>
  </si>
  <si>
    <t>Russian Foundation for Basic Research [N 21-514-92001]</t>
  </si>
  <si>
    <t>Russian Foundation for Basic Research(Russian Foundation for Basic Research (RFBR)Spanish Government)</t>
  </si>
  <si>
    <t>The reported study was funded by the Russian Foundation for Basic Research under number N 21-514-92001 Malicious Use of Artificial Intelligence and Challenges to Psychological Security in Northeast Asia.</t>
  </si>
  <si>
    <t>10.34190/EAIR.21.007</t>
  </si>
  <si>
    <t>WOS:000838033200018</t>
  </si>
  <si>
    <t>Park, Y; Kim, J; Jiang, Q; Kim, KH</t>
  </si>
  <si>
    <t>Park, Yunho; Kim, Jaehun; Jiang, Qi; Kim, Kyung Hoon</t>
  </si>
  <si>
    <t>Impact of artificial intelligence (AI) chatbot characteristics on customer experience and customer satisfaction</t>
  </si>
  <si>
    <t>JOURNAL OF GLOBAL SCHOLARS OF MARKETING SCIENCE</t>
  </si>
  <si>
    <t>artificial intelligence (AI); chatbot; anthropomorphism; personalization; product knowledge</t>
  </si>
  <si>
    <t>INFORMATION-TECHNOLOGY; PERCEIVED USEFULNESS; USER ACCEPTANCE; SERVICE QUALITY; E-COMMERCE; ADOPTION; ANTECEDENTS; DIMENSIONS; CONSUMERS; LOYALTY</t>
  </si>
  <si>
    <t>This study analyzed the characteristics affecting the consumer's intention to use the chatbot service and customer satisfaction, which is a representative artificial intelligence (AI) technology in the banking industry. The theoretical model was based on the technology acceptance model (TAM). The anthropomorphism and personalization of chatbots were proposed as important characteristics that lead to the intention to use the chatbot service. A research model was constructed and demonstrated whether the characteristics of these chatbots had a significant effect on product knowledge, perceived ease of use, perceived usefulness, and customer satisfaction. The empirical study was conducted on customers with experience in using chatbots. The data were analyzed using Smart PLS 3.0 structural equation modeling (PLS-SEM). As a result of the analysis, the anthropomorphism and personalization characteristics of the chatbot had a significant direct or indirect influence on the consumer's intention to use and customer satisfaction. This study is expected to provide meaningful insights in discovering innovative services that provide new customer value experiences by artificial intelligence (AI) chatbot services, which are evaluated as innovative technologies in the next stage of online banking and mobile banking.</t>
  </si>
  <si>
    <t>[Park, Yunho; Kim, Jaehun; Jiang, Qi; Kim, Kyung Hoon] Changwon Natl Univ, Dept Business Adm, Chang Won, South Korea</t>
  </si>
  <si>
    <t>Changwon National University</t>
  </si>
  <si>
    <t>Kim, J (corresponding author), Changwon Natl Univ, Dept Business Adm, Chang Won, South Korea.</t>
  </si>
  <si>
    <t>superhero1212@gmail.com</t>
  </si>
  <si>
    <t>Park, Yunho/0009-0000-8299-9724</t>
  </si>
  <si>
    <t>This research was supported by Changwon National University in 2023 ~ 2024.</t>
  </si>
  <si>
    <t>2163-9159</t>
  </si>
  <si>
    <t>2163-9167</t>
  </si>
  <si>
    <t>J GLOB SCHOLARS MARK</t>
  </si>
  <si>
    <t>J. Glob. Scholars Mark. Sci.</t>
  </si>
  <si>
    <t>JUL 2</t>
  </si>
  <si>
    <t>10.1080/21639159.2024.2362654</t>
  </si>
  <si>
    <t>UJ1A6</t>
  </si>
  <si>
    <t>WOS:001247586900004</t>
  </si>
  <si>
    <t>Rondina, J; Nachev, P</t>
  </si>
  <si>
    <t>Rondina, Jane; Nachev, Parashkev</t>
  </si>
  <si>
    <t>Artificial intelligence and stroke imaging</t>
  </si>
  <si>
    <t>CURRENT OPINION IN NEUROLOGY</t>
  </si>
  <si>
    <t>artificial intelligence; generative modelling; stroke imaging</t>
  </si>
  <si>
    <t>FUNCTIONAL OUTCOME PREDICTION</t>
  </si>
  <si>
    <t>Purpose of reviewThough simple in its fundamental mechanism - a critical disruption of local blood supply - stroke is complicated by the intricate nature of the neural substrate, the neurovascular architecture, and their complex interactions in generating its clinical manifestations. This complexity is adequately described by high-resolution imaging with sensitivity not only to parenchymal macrostructure but also microstructure and functional tissue properties, in conjunction with detailed characterization of vascular topology and dynamics. Such descriptive richness mandates models of commensurate complexity only artificial intelligence could plausibly deliver, if we are to achieve the goal of individually precise, personalized care.Recent findingsAdvances in machine vision technology, especially deep learning, are delivering higher fidelity predictive, descriptive, and inferential tools, incorporating increasingly rich imaging information within ever more flexible models. Impact at the clinical front line remains modest, however, owing to the challenges of delivering models robust to the noisy, incomplete, biased, and comparatively small-scale data characteristic of real-world practice.SummaryThe potential benefit of introducing AI to stroke, in imaging and elsewhere, is now unquestionable, but the optimal approach - and the path to real-world application - remain unsettled. Deep generative models offer a compelling solution to current obstacles and are predicted powerfully to catalyse innovation in the field.</t>
  </si>
  <si>
    <t>[Rondina, Jane; Nachev, Parashkev] UCL, UCL Queen Sq Inst Neurol, High Dimens Neurol Grp, Russell Sq House, London, England</t>
  </si>
  <si>
    <t>University of London; University College London</t>
  </si>
  <si>
    <t>Rondina, J (corresponding author), UCL, UCL Queen Sq Inst Neurol, Russell Sq House, London WC1B 5EH, England.</t>
  </si>
  <si>
    <t>j.rondina@ucl.ac.uk</t>
  </si>
  <si>
    <t>Wellcome Trust; UCLH NIHR Biomedical Research Centre</t>
  </si>
  <si>
    <t>Wellcome Trust(Wellcome Trust); UCLH NIHR Biomedical Research Centre</t>
  </si>
  <si>
    <t>Wellcome Trust and the UCLH NIHR Biomedical Research Centre.</t>
  </si>
  <si>
    <t>1350-7540</t>
  </si>
  <si>
    <t>1473-6551</t>
  </si>
  <si>
    <t>CURR OPIN NEUROL</t>
  </si>
  <si>
    <t>Curr. Opin. Neurol.</t>
  </si>
  <si>
    <t>10.1097/WCO.0000000000001333</t>
  </si>
  <si>
    <t>R4H9L</t>
  </si>
  <si>
    <t>WOS:001391090500011</t>
  </si>
  <si>
    <t>Chuan, CH; Tsai, WHS; Cho, SY</t>
  </si>
  <si>
    <t>Chuan, Ching-Hua; Tsai, Wan-Hsiu Sunny; Cho, Su Yeon</t>
  </si>
  <si>
    <t>Framing Artificial Intelligence in American Newspapers</t>
  </si>
  <si>
    <t>Artificial intelligence; news framing; content analysis; public perception</t>
  </si>
  <si>
    <t>NANOTECHNOLOGY; COVERAGE; MEDIA</t>
  </si>
  <si>
    <t>Publics' perceptions of new scientific advances such as AI are often informed and influenced by news coverage. To understand how artificial intelligence (AI) was framed in U.S. newspapers, a content analysis based on framing theory in journalism and science communication was conducted. This study identified the dominant topics and frames, as well as the risks and benefits of AI covered in five major American newspapers from 2009 to 2018. Results indicated that business and technology were the primary topics in news coverage of AI. The benefits of AI were discussed more frequently than its risks, but risks of AI were generally discussed with greater specificity. Additionally, episodic issue framing and societal impact framing were more frequently used.</t>
  </si>
  <si>
    <t>[Chuan, Ching-Hua] Univ Miami, Cinema &amp; Interact Media, Coral Gables, FL 33124 USA; [Tsai, Wan-Hsiu Sunny] Univ Miami, Strateg Commun, Coral Gables, FL USA; [Cho, Su Yeon] Univ Miami, Sch Commun, Coral Gables, FL 33124 USA</t>
  </si>
  <si>
    <t>University of Miami; University of Miami; University of Miami</t>
  </si>
  <si>
    <t>Chuan, CH (corresponding author), Univ Miami, Cinema &amp; Interact Media, Coral Gables, FL 33124 USA.</t>
  </si>
  <si>
    <t>c.chuan@miami.edu; wanhsiu@miami.edu; sxc1584@miami.edu</t>
  </si>
  <si>
    <t>10.1145/3306618.3314285</t>
  </si>
  <si>
    <t>WOS:000556121100047</t>
  </si>
  <si>
    <t>Mendoza, JG; Quispe, MB; Muñoz, SP</t>
  </si>
  <si>
    <t>Mendoza, Jorge G.; Quispe, Mitzi B.; Munoz, Socrates P.</t>
  </si>
  <si>
    <t>A review on the role of artificial intelligence in the construction industry</t>
  </si>
  <si>
    <t>INGENIERIA Y COMPETITIVIDAD</t>
  </si>
  <si>
    <t>Artificial intelligence; Construction; Technology</t>
  </si>
  <si>
    <t>BIM; INTEGRATION</t>
  </si>
  <si>
    <t>The construction industry and artificial intelligence are very important topics that, if we merge them, would generate a very important impact in terms of construction, due to the fact that many tasks and work time would be optimized, however, the human capacity for the management of technology must be taken into account. In this paper the objective is to investigate and obtain a systematic understanding of the importance, challenges and solutions in the different phases of construction offered by artificial intelligence, for this purpose a review of 86 duly indexed articles from the last 7 years between 2015 and 2021 was carried out, which are divided as follows: 39 from ScienceDirect, 24 from Scopus and 23 from EBSCO, documents in which they point out the importance of working artificial intelligence and the construction industry, giving good results in terms of progress, safety, quality and performance in the works, so it can be concluded that the technology optimizes time, costs and efforts in construction so implementing it is a potentially viable alternative.</t>
  </si>
  <si>
    <t>[Mendoza, Jorge G.; Quispe, Mitzi B.; Munoz, Socrates P.] Univ Senor Sipan, Escuela Ingn Civil, Pimentel, Peru</t>
  </si>
  <si>
    <t>Universidad Senor de Sipan</t>
  </si>
  <si>
    <t>Mendoza, JG (corresponding author), Univ Senor Sipan, Escuela Ingn Civil, Pimentel, Peru.</t>
  </si>
  <si>
    <t>mpenajorgegusta@crece.uss.edu.pe; qvilchezmitzibr@crece.uss.edu.pe; msocrates@crece.uss.edu.pe</t>
  </si>
  <si>
    <t>UNIV VALLE, FAC INGENIERIA</t>
  </si>
  <si>
    <t>CALI</t>
  </si>
  <si>
    <t>CIUDAD UNIV MELENDEX, CALLE 13 NO 100-00, CALI, 25360, COLOMBIA</t>
  </si>
  <si>
    <t>0123-3033</t>
  </si>
  <si>
    <t>ING COMPET</t>
  </si>
  <si>
    <t>Ing. Compet.</t>
  </si>
  <si>
    <t>e30511727</t>
  </si>
  <si>
    <t>10.25100/iyc.v24i2.11727</t>
  </si>
  <si>
    <t>8R1AX</t>
  </si>
  <si>
    <t>WOS:000927631700030</t>
  </si>
  <si>
    <t>du Toit, E</t>
  </si>
  <si>
    <t>du Toit, Elda</t>
  </si>
  <si>
    <t>Can artificial intelligence produce a convincing accounting research article?</t>
  </si>
  <si>
    <t>ACCOUNTING RESEARCH JOURNAL</t>
  </si>
  <si>
    <t>Meta-analysis; Accounting research; Artificial intelligence; ChatGPT</t>
  </si>
  <si>
    <t>SOCIAL PERFORMANCE; DISCLOSURE; COST; SUSTAINABILITY; HETEROGENEITY; METAANALYSIS; LEGITIMACY</t>
  </si>
  <si>
    <t>PurposeThis study aims to establish whether accounting research articles can be potentially generated by artificial intelligence. If artificial intelligence can produce quality work, the integrity of academic research may be compromised.Design/methodology/approachChatGPT was used to create a paper on a meta-analysis of the relationship between sustainability reporting and value relevance. After the paper was generated, references had to be added by hand based on the citations created by ChatGPT. The paper was then presented as-is for review.FindingsChatGPT was able to create a relatively good-quality research paper that received two major revisions from independent specialists in the field of accounting and finance. Even though there is uncertainty regarding the appropriateness of all the references and the results cannot be confirmed, there is a risk that a reviewer may find the paper publishable because reviewers are not compelled to check references and the accuracy of results if proper methods were used that appear to be sufficient at face value.Originality/valueArtificial intelligence for academic writing is still relatively new, and there is still significant uncertainty as to the impact it may have on scholarly research. This is especially problematic because artificial intelligence applications improve by the second.</t>
  </si>
  <si>
    <t>[du Toit, Elda] Univ Pretoria, Dept Financial Management, Pretoria, South Africa</t>
  </si>
  <si>
    <t>du Toit, E (corresponding author), Univ Pretoria, Dept Financial Management, Pretoria, South Africa.</t>
  </si>
  <si>
    <t>elda.dutoit@up.ac.za</t>
  </si>
  <si>
    <t>du Toit, Elda/D-5304-2013</t>
  </si>
  <si>
    <t>1030-9616</t>
  </si>
  <si>
    <t>1839-5465</t>
  </si>
  <si>
    <t>ACCOUNT RES J</t>
  </si>
  <si>
    <t>Account. Res. J.</t>
  </si>
  <si>
    <t>AUG 6</t>
  </si>
  <si>
    <t>10.1108/ARJ-04-2023-0105</t>
  </si>
  <si>
    <t>A6I2D</t>
  </si>
  <si>
    <t>WOS:001263881900001</t>
  </si>
  <si>
    <t>Belue, MJ; Turkbey, B</t>
  </si>
  <si>
    <t>Belue, Mason J.; Turkbey, Baris</t>
  </si>
  <si>
    <t>Tasks for artificial intelligence in prostate MRI</t>
  </si>
  <si>
    <t>EUROPEAN RADIOLOGY EXPERIMENTAL</t>
  </si>
  <si>
    <t>Artificial intelligence; Deep learning; Machine learning; Magnetic resonance imaging; Prostatic neoplasms</t>
  </si>
  <si>
    <t>MULTI-PARAMETRIC MRI; SEGMENTATION; CANCER; DIAGNOSIS</t>
  </si>
  <si>
    <t>The advent of precision medicine, increasing clinical needs, and imaging availability among many other factors in the prostate cancer diagnostic pathway has engendered the utilization of artificial intelligence (AI). AI carries a vast number of potential applications in every step of the prostate cancer diagnostic pathway from classifying/improving prostate multiparametric magnetic resonance image quality, prostate segmentation, anatomically segmenting cancer suspicious foci, detecting and differentiating clinically insignificant cancers from clinically significant cancers on a voxel-level, and classifying entire lesions into Prostate Imaging Reporting and Data System categories/Gleason scores. Multiple studies in all these areas have shown many promising results approximating accuracies of radiologists. Despite this flourishing research, more prospective multicenter studies are needed to uncover the full impact and utility of AI on improving radiologist performance and clinical management of prostate cancer. In this narrative review, we aim to introduce emerging medical imaging AI paper quality metrics such as the Checklist for Artificial Intelligence in Medical Imaging (CLAIM) and Field-Weighted Citation Impact (FWCI), dive into some of the top AI models for segmentation, detection, and classification.</t>
  </si>
  <si>
    <t>[Belue, Mason J.; Turkbey, Baris] NCI, Mol Imaging Branch, Natl Inst Hlth Bethesda, 10 Ctr Dr,MSC 1182,Bldg 10,Room B3B85, Bethesda, MD 20892 USA</t>
  </si>
  <si>
    <t>National Institutes of Health (NIH) - USA; NIH National Cancer Institute (NCI)</t>
  </si>
  <si>
    <t>Turkbey, B (corresponding author), NCI, Mol Imaging Branch, Natl Inst Hlth Bethesda, 10 Ctr Dr,MSC 1182,Bldg 10,Room B3B85, Bethesda, MD 20892 USA.</t>
  </si>
  <si>
    <t>turkbeyi@mail.nih.gov</t>
  </si>
  <si>
    <t>National Institutes of Health (NIH); National Cancer Institute, National Institutes of Health (NIH), USA; NIH Medical Research Scholars Program; NIH; Doris Duke Charitable Foundation; American Association for Dental Research; Colgate-Palmolive Company</t>
  </si>
  <si>
    <t>National Institutes of Health (NIH)(United States Department of Health &amp; Human ServicesNational Institutes of Health (NIH) - USA); National Cancer Institute, National Institutes of Health (NIH), USA; NIH Medical Research Scholars Program(United States Department of Health &amp; Human ServicesNational Institutes of Health (NIH) - USAOffice of the Administrator (NIH)); NIH(United States Department of Health &amp; Human ServicesNational Institutes of Health (NIH) - USA); Doris Duke Charitable Foundation(Doris Duke Charitable Foundation (DDCF)); American Association for Dental Research; Colgate-Palmolive Company</t>
  </si>
  <si>
    <t>Open Access funding provided by the National Institutes of Health (NIH). This project has been funded in whole or in part with federal funds from the National Cancer Institute, National Institutes of Health (NIH), USA. The content of this publication does not necessarily reflect the views or policies of the Department of Health and Human Services, nor does mention of trade names, commercial products, or organizations imply endorsement by the U.S. Government. Additional research support was provided by the NIH Medical Research Scholars Program, a public-private partnership supported jointly by the NIH and contributions to the Foundation for the NIH from the Doris Duke Charitable Foundation, the American Association for Dental Research, and the Colgate-Palmolive Company.</t>
  </si>
  <si>
    <t>2509-9280</t>
  </si>
  <si>
    <t>EUR RADIOL EXP</t>
  </si>
  <si>
    <t>Eur. Radiol. Exp.</t>
  </si>
  <si>
    <t>10.1186/s41747-022-00287-9</t>
  </si>
  <si>
    <t>3J6EL</t>
  </si>
  <si>
    <t>WOS:000833486500001</t>
  </si>
  <si>
    <t>Costin, LI; Vasluianu, RI; Baciu, RE; Agop-Forna, D; Catalin, TS; Forna, CN</t>
  </si>
  <si>
    <t>Costin, Lupu Iulian; Vasluianu, Roxana Ionela; Baciu, Raluca-Elena; Agop-Forna, Doriana; Catalin, Tibeica Silviu; Forna, Consuela Norina</t>
  </si>
  <si>
    <t>THE INTEGRATION OF ARTIFICIAL INTELLIGENCE IN DENTAL PRACTICE</t>
  </si>
  <si>
    <t>ROMANIAN JOURNAL OF ORAL REHABILITATION</t>
  </si>
  <si>
    <t>Artificial intelligence (AI); machine learning (ML); integration; dental practice; digital workflow</t>
  </si>
  <si>
    <t>Artificial intelligence (AI) is making a significant impact on the healthcare industry, transforming the way we approach diagnosis, treatment, and patient care. It can be helpful in many fields where the human may be assisted and helped by new technologies. Neural networks are a part of artificial intelligence, and are similar to the human brain in their work and can solve given problems and make fast decisions. The field of dentistry has experienced significant advancements with the integration of artificial intelligence (AI) technologies. AI has revolutionized various aspects of dental care. The integration of AI in dentistry has the potential to enhance diagnostic accuracy, treatment planning, workflow efficiency, and patient access to care. However, it is important to remember that AI should be viewed as a supportive tool that complements the expertise and clinical judgment of dentists. The collaboration between AI and dental professionals leads to improved patient outcomes, personalized care, and advancements in the field of dentistry.</t>
  </si>
  <si>
    <t>[Costin, Lupu Iulian; Catalin, Tibeica Silviu] Gr T Popa UMPh, Fac Dent, Publ Hlth &amp; Management, Iasi, Romania; Grigore T Popa UMPh, Fac Dent, Iasi, Romania; [Vasluianu, Roxana Ionela; Baciu, Raluca-Elena; Agop-Forna, Doriana; Forna, Consuela Norina] Gr T Popa UMPh, Fac Dent, Implantol, Removable Dentures,Dent Technol, Iasi, Romania</t>
  </si>
  <si>
    <t>Grigore T Popa University of Medicine &amp; Pharmacy; Grigore T Popa University of Medicine &amp; Pharmacy; Grigore T Popa University of Medicine &amp; Pharmacy</t>
  </si>
  <si>
    <t>Vasluianu, RI; Baciu, RE; Agop-Forna, D (corresponding author), Gr T Popa UMPh, Fac Dent, Implantol, Removable Dentures,Dent Technol, Iasi, Romania.</t>
  </si>
  <si>
    <t>roxana.vasluianu@umfiasi.ro; elena.baciu@umfiasi.ro; drdorianaforna@gmail.com</t>
  </si>
  <si>
    <t>Tibeica, Silviu Catalin/IUQ-0095-2023; Lupu, Iulian Costin/HGA-8117-2022</t>
  </si>
  <si>
    <t>Lupu, Iulian Costin/0000-0002-9940-4237</t>
  </si>
  <si>
    <t>ROMANIAN SOC ORAL REHABILITATION ASSOC</t>
  </si>
  <si>
    <t>KOGALNICEANU ST, NR 2, IASI, 00000, ROMANIA</t>
  </si>
  <si>
    <t>2066-7000</t>
  </si>
  <si>
    <t>ROM J ORAL REHABIL</t>
  </si>
  <si>
    <t>Rom. J. Oral Rehabil.</t>
  </si>
  <si>
    <t>APR-JUN</t>
  </si>
  <si>
    <t>N2OI4</t>
  </si>
  <si>
    <t>WOS:001035463900027</t>
  </si>
  <si>
    <t>Gemenis, K</t>
  </si>
  <si>
    <t>Gemenis, Kostas</t>
  </si>
  <si>
    <t>Artificial intelligence and voting advice applications</t>
  </si>
  <si>
    <t>FRONTIERS IN POLITICAL SCIENCE</t>
  </si>
  <si>
    <t>voting advice applications; artificial intelligence; text mining; recommender systems; chatbots</t>
  </si>
  <si>
    <t>AUTOMATIC CONTENT-ANALYSIS; POLITICAL KNOWLEDGE; APPLICATIONS VAAS; POLICY POSITIONS; PARTY POSITIONS; VOTE; IMPACT; INFORMATION; MANIFESTOS; ELECTIONS</t>
  </si>
  <si>
    <t>The voter information tools collectively known as Voting Advice Applications (VAAs) have emerged as particularly popular tools in the realm of E-participation. Today, VAAs are integral parts of election campaigns in many countries around the world as they routinely engage millions of citizens, in addition to political actors and the media. This contribution assesses the integration of Artificial Intelligence (AI) in the design and dissemination of VAAs, considering normative, ethical, and methodological challenges. The study provides a comprehensive overview of AI applications in VAA development, from formulating questions to disseminating information, and concludes by highlighting areas where AI can serve as a valuable tool for enhancing the positive impact of VAAs on democratic processes.</t>
  </si>
  <si>
    <t>[Gemenis, Kostas] Cyprus Univ Technol, Limassol, Cyprus</t>
  </si>
  <si>
    <t>Cyprus University of Technology</t>
  </si>
  <si>
    <t>Gemenis, K (corresponding author), Cyprus Univ Technol, Limassol, Cyprus.</t>
  </si>
  <si>
    <t>k.gemenis@cut.ac.cy</t>
  </si>
  <si>
    <t>Gemenis, Kostas/K-1410-2019</t>
  </si>
  <si>
    <t>2673-3145</t>
  </si>
  <si>
    <t>FRONT POLIT SCI</t>
  </si>
  <si>
    <t>Front. Polit. Sci.</t>
  </si>
  <si>
    <t>JAN 30</t>
  </si>
  <si>
    <t>10.3389/fpos.2024.1286893</t>
  </si>
  <si>
    <t>HL2M7</t>
  </si>
  <si>
    <t>WOS:001159594500001</t>
  </si>
  <si>
    <t>Nensa, F; Demircioglu, A; Rischpler, C</t>
  </si>
  <si>
    <t>Nensa, Felix; Demircioglu, Aydin; Rischpler, Christoph</t>
  </si>
  <si>
    <t>Artificial Intelligence in Nuclear Medicine</t>
  </si>
  <si>
    <t>JOURNAL OF NUCLEAR MEDICINE</t>
  </si>
  <si>
    <t>artificial intelligence; machine learning; deep learning; nuclear medicine; medical imaging</t>
  </si>
  <si>
    <t>CONVOLUTIONAL NEURAL-NETWORK; MODEL; CLASSIFICATION; RECONSTRUCTION; RADIOLOGY; DISEASE; CANCER; IMAGES; PET/CT; CT</t>
  </si>
  <si>
    <t>Despite the great media attention for artificial intelligence (AI), for many health care professionals the term and the functioning of AI remain a black box,leading to exaggerated expectations on the one hand and unfounded fears on the other. In this review, we provide a conceptual classification and a brief summary of the technical fundamentals of AI. Possible applications are discussed on the basis of a typical work flow in medical imaging, grouped by planning, scanning, interpretation, and reporting. The main limitations of current AI techniques, such as issues with interpretability or the need for large amounts of annotated data, are briefly addressed. Finally, we highlight the possible impact of AI on the nuclear medicine profession, the associated challenges and, last but not least, the opportunities.</t>
  </si>
  <si>
    <t>[Nensa, Felix; Demircioglu, Aydin] Univ Duisburg Essen, Univ Hosp Essen, Dept Diagnost &amp; Intervent Radiol &amp; Neuroradiol, Hufelandstr 55, D-45147 Essen, Germany; [Rischpler, Christoph] Univ Duisburg Essen, Univ Hosp Essen, Dept Nucl Med, Essen, Germany</t>
  </si>
  <si>
    <t>University of Duisburg Essen; University of Duisburg Essen</t>
  </si>
  <si>
    <t>Nensa, F (corresponding author), Univ Duisburg Essen, Univ Hosp Essen, Dept Diagnost &amp; Intervent Radiol &amp; Neuroradiol, Hufelandstr 55, D-45147 Essen, Germany.</t>
  </si>
  <si>
    <t>felix.nensa@uk-essen.de</t>
  </si>
  <si>
    <t>SOC NUCLEAR MEDICINE INC</t>
  </si>
  <si>
    <t>RESTON</t>
  </si>
  <si>
    <t>1850 SAMUEL MORSE DR, RESTON, VA 20190-5316 USA</t>
  </si>
  <si>
    <t>0161-5505</t>
  </si>
  <si>
    <t>1535-5667</t>
  </si>
  <si>
    <t>J NUCL MED</t>
  </si>
  <si>
    <t>J. Nucl. Med.</t>
  </si>
  <si>
    <t>SEP 1</t>
  </si>
  <si>
    <t>29S</t>
  </si>
  <si>
    <t>37S</t>
  </si>
  <si>
    <t>10.2967/jnumed.118.220590</t>
  </si>
  <si>
    <t>IZ7DF</t>
  </si>
  <si>
    <t>WOS:000487245900006</t>
  </si>
  <si>
    <t>Chen, H; Li, L; Chen, Y</t>
  </si>
  <si>
    <t>Chen, Hong; Li, Ling; Chen, Yong</t>
  </si>
  <si>
    <t>Explore success factors that impact artificial intelligence adoption on telecom industry in China</t>
  </si>
  <si>
    <t>JOURNAL OF MANAGEMENT ANALYTICS</t>
  </si>
  <si>
    <t>Artificial intelligence (AI); adoption; telecom industry; TOE; DOI; structural equation modeling</t>
  </si>
  <si>
    <t>INFORMATION; TECHNOLOGY; IMPLEMENTATION; DETERMINANTS; CAPABILITY; INNOVATION; SYSTEMS; AI</t>
  </si>
  <si>
    <t>As the core driving force of the new round of informatization development and industrial revolution, the disruptive achievements of artificial intelligence (AI) are rapidly and comprehensively infiltrating into various fields of human activities. Although technologies and applications of AI have been widely studied and factors that affect AI adoption are identified in existing literature, the impact of success factors on AI adoption remains unknown. Accordingly, this paper proposes a framework to explore the impacts of success factors on AI adoption in telecom industry by integrating the technology, organization, and environment (TOE) framework and diffusion of innovation (DOI) theory. Particularly, this framework consists of factors regarding external environment, organizational capabilities, and innovation attributes of AI. The framework is empirically tested with data collected by surveying telecom companies in China. Structural equation modeling is applied to analyze the data. The study provides support for firms' decision-making and resource allocation regarding AI adoption.</t>
  </si>
  <si>
    <t>[Chen, Hong] Indiana Univ East, Richmond, IN 47374 USA; [Li, Ling] Old Dominion Univ, Strome Coll Business, Norfolk, VA 23529 USA; [Chen, Yong] Texas A&amp;M Int Univ, Laredo, TX 78041 USA</t>
  </si>
  <si>
    <t>Indiana University System; Indiana University East; Old Dominion University; Texas A&amp;M University System; Texas A&amp;M International University</t>
  </si>
  <si>
    <t>Chen, H (corresponding author), Indiana Univ East, Richmond, IN 47374 USA.</t>
  </si>
  <si>
    <t>hch2@iu.edu</t>
  </si>
  <si>
    <t>Chen, Hong/AGQ-7975-2022</t>
  </si>
  <si>
    <t>2327-0012</t>
  </si>
  <si>
    <t>2327-0039</t>
  </si>
  <si>
    <t>J MANAG ANAL</t>
  </si>
  <si>
    <t>J. Manag. Anal.</t>
  </si>
  <si>
    <t>10.1080/23270012.2020.1852895</t>
  </si>
  <si>
    <t>Business; Management; Social Sciences, Mathematical Methods</t>
  </si>
  <si>
    <t>Business &amp; Economics; Mathematical Methods In Social Sciences</t>
  </si>
  <si>
    <t>QH0RN</t>
  </si>
  <si>
    <t>WOS:000601049800001</t>
  </si>
  <si>
    <t>Bélisle-Pipon, JC; Victor, G</t>
  </si>
  <si>
    <t>Belisle-Pipon, Jean-Christophe; Victor, Gavin</t>
  </si>
  <si>
    <t>Ethics dumping in artificial intelligence</t>
  </si>
  <si>
    <t>artificial intelligence; AI ethics; ethics dumping; ethical guidelines; accountability; AI governance</t>
  </si>
  <si>
    <t>HEALTH-CARE; AI</t>
  </si>
  <si>
    <t>Artificial Intelligence (AI) systems encode not just statistical models and complex algorithms designed to process and analyze data, but also significant normative baggage. This ethical dimension, derived from the underlying code and training data, shapes the recommendations given, behaviors exhibited, and perceptions had by AI. These factors influence how AI is regulated, used, misused, and impacts end-users. The multifaceted nature of AI's influence has sparked extensive discussions across disciplines like Science and Technology Studies (STS), Ethical, Legal and Social Implications (ELSI) studies, public policy analysis, and responsible innovation-underscoring the need to examine AI's ethical ramifications. While the initial wave of AI ethics focused on articulating principles and guidelines, recent scholarship increasingly emphasizes the practical implementation of ethical principles, regulatory oversight, and mitigating unforeseen negative consequences. Drawing from the concept of ethics dumping in research ethics, this paper argues that practices surrounding AI development and deployment can, unduly and in a very concerning way, offload ethical responsibilities from developers and regulators to ill-equipped users and host environments. Four key trends illustrating such ethics dumping are identified: (1) AI developers embedding ethics through coded value assumptions, (2) AI ethics guidelines promoting broad or unactionable principles disconnected from local contexts, (3) institutions implementing AI systems without evaluating ethical implications, and (4) decision-makers enacting ethical governance frameworks disconnected from practice. Mitigating AI ethics dumping requires empowering users, fostering stakeholder engagement in norm-setting, harmonizing ethical guidelines while allowing flexibility for local variation, and establishing clear accountability mechanisms across the AI ecosystem.</t>
  </si>
  <si>
    <t>[Belisle-Pipon, Jean-Christophe] Simon Fraser Univ, Hlth Sci Dept, Burnaby, BC, Canada; [Victor, Gavin] Simon Fraser Univ, Philosophy Dept, Burnaby, BC, Canada</t>
  </si>
  <si>
    <t>Simon Fraser University; Simon Fraser University</t>
  </si>
  <si>
    <t>Bélisle-Pipon, JC (corresponding author), Simon Fraser Univ, Hlth Sci Dept, Burnaby, BC, Canada.</t>
  </si>
  <si>
    <t>jean-christophe_belisle-pipon@sfu.ca</t>
  </si>
  <si>
    <t>Simon Fraser University (SFU) Central Open Access Fund</t>
  </si>
  <si>
    <t>The author(s) declare that financial support was received for the research, authorship, and/or publication of this article. This study was supported by Simon Fraser University (SFU) Central Open Access Fund.</t>
  </si>
  <si>
    <t>NOV 8</t>
  </si>
  <si>
    <t>10.3389/frai.2024.1426761</t>
  </si>
  <si>
    <t>M9E9G</t>
  </si>
  <si>
    <t>WOS:001360501200001</t>
  </si>
  <si>
    <t>Montezuma, JRM; Chong, M</t>
  </si>
  <si>
    <t>Brito, CD; Ciampi, MM</t>
  </si>
  <si>
    <t>Martinez Montezuma, Julio Ricardo; Chong, Mario</t>
  </si>
  <si>
    <t>Generative Artificial Intelligence Impact on Education and Industry: An Ethical Dimension</t>
  </si>
  <si>
    <t>VIII IEEE WORLD ENGINEERING EDUCATION CONFERENCE, EDUNINE 2024</t>
  </si>
  <si>
    <t>IEEE World Engineering Education Conference (EDUNINE)</t>
  </si>
  <si>
    <t>MAR 10-13, 2024</t>
  </si>
  <si>
    <t>Guatemala City, GUATEMALA</t>
  </si>
  <si>
    <t>Generative Artificial Intelligence; Ethics in Technology; Educational Innovation; Industrial Automation; Ethical Challenges</t>
  </si>
  <si>
    <t>This research stresses the importance of ethics in addressing ethical challenges and serving as a crucial guide in industry and education. It is recommended that organizations integrate ethical principles into their guiding documents and encourage ethical reflection among students. Ethics plays a crucial role in the generative artificial intelligence (GAI) responsible application for the benefit of society. The ethics use is essential in weighing up GAI's strengths and weaknesses.</t>
  </si>
  <si>
    <t>[Martinez Montezuma, Julio Ricardo] Corp Univ Comfacauca, Sch Engn, Popayan, Colombia; [Chong, Mario] Univ Pacifico, Fac Ingn, Lima, Peru</t>
  </si>
  <si>
    <t>Universidad del Pacifico Peru</t>
  </si>
  <si>
    <t>Montezuma, JRM (corresponding author), Corp Univ Comfacauca, Sch Engn, Popayan, Colombia.</t>
  </si>
  <si>
    <t>rmartinez@unicomfacauca.edu.co; m.chong@up.edu.pe</t>
  </si>
  <si>
    <t>979-8-3503-4872-9; 979-8-3503-4873-6</t>
  </si>
  <si>
    <t>10.1109/EDUNINE60625.2024.10500608</t>
  </si>
  <si>
    <t>Education, Scientific Disciplines</t>
  </si>
  <si>
    <t>BW9IU</t>
  </si>
  <si>
    <t>WOS:001215053500046</t>
  </si>
  <si>
    <t>Martini, B; Bellisario, D; Coletti, P</t>
  </si>
  <si>
    <t>Martini, Barbara; Bellisario, Denise; Coletti, Paola</t>
  </si>
  <si>
    <t>Human-Centered and Sustainable Artificial Intelligence in Industry 5.0: Challenges and Perspectives</t>
  </si>
  <si>
    <t>human-centered artificial intelligence; Industry 5.0; enabling technologies; additive manufacturing; customization; regulation; public policy</t>
  </si>
  <si>
    <t>DESIGN; FRAMEWORK; NEEDS</t>
  </si>
  <si>
    <t>The aim of this position paper is to identify a specific focus and the major challenges related to the human-centered artificial intelligence (HCAI) approach in the field of Industry 5.0 and the circular economy. A first step towards the opening of a line of research is necessary to aggregate multidisciplinary and interdisciplinary skills to promote and take into consideration the different aspects related to this topic, from the more technical and engineering aspects to the social ones and the repercussions in terms of sustainability. The proposal and vision of this preliminary work is to identify and discuss a suitable field for such interaction. This field has been identified, specifically, within additive manufacturing (AM) in the context of Industry 5.0. Additive manufacturing (AM), is a disruptive opportunity for more sustainable production systems that can be better optimized with AI, becoming an ideal platform for interconnection between different levels of application and integration of HCAI concepts, and at the same time able to prove them. In this context, two prospective areas with a high application impact of HCAI are those of AM-oriented supply chain and product customization in the AM field, enabled by a plethora of recently emerging technologies such as the internet of things, cloud and edge computing, and next-generation networks (5G). The paper concludes with the challenges HCAI poses to public policymakers, who face significant policy challenges in regulating artificial intelligence, and addressing the socioeconomic and technological impacts. Decision-makers are required to address these challenges by adopting some tentative policy recommendations.</t>
  </si>
  <si>
    <t>[Martini, Barbara; Bellisario, Denise] Univ Mercatorum, Fac Technol &amp; Innovat Sci, I-00186 Rome, Italy; [Coletti, Paola] Univ Mercatorum, Fac Soc &amp; Commun, I-00186 Rome, Italy</t>
  </si>
  <si>
    <t>Universita Telematica Mercatorum; Universita Telematica Mercatorum</t>
  </si>
  <si>
    <t>Bellisario, D (corresponding author), Univ Mercatorum, Fac Technol &amp; Innovat Sci, I-00186 Rome, Italy.</t>
  </si>
  <si>
    <t>barbara.martini@unimercatorum.it; denise.bellisario@unimercatorum.it; paola.coletti@unimercatorum.it</t>
  </si>
  <si>
    <t>Coletti, Paola/JXL-6000-2024</t>
  </si>
  <si>
    <t>Martini, Barbara/0000-0002-0413-591X; Coletti, Paola/0000-0002-4659-8293; BELLISARIO, DENISE/0000-0001-5588-8738</t>
  </si>
  <si>
    <t>University Project HUMan centered and SustAinable artificial iNtelligence in InduSTry 5.0 era by Universitas Mercatorum</t>
  </si>
  <si>
    <t>This research was funded by the University Project HUMan centered and SustAinable artificial iNtelligence in InduSTry 5.0 era financed by Universitas Mercatorum. A pre-publication version of this manuscript has been reviewed by the Chambers of Commerce Center.</t>
  </si>
  <si>
    <t>10.3390/su16135448</t>
  </si>
  <si>
    <t>YP4T9</t>
  </si>
  <si>
    <t>WOS:001269683300001</t>
  </si>
  <si>
    <t>Necula, CV; Dumulescu, D</t>
  </si>
  <si>
    <t>Necula, Constantin Valer; Dumulescu, Daniela</t>
  </si>
  <si>
    <t>ARTIFICIAL INTELLIGENCE AND RELIGION: BETWEEN SLAVERY AND THE PATH TO SALVATION</t>
  </si>
  <si>
    <t>JOURNAL FOR THE STUDY OF RELIGIONS AND IDEOLOGIES</t>
  </si>
  <si>
    <t>artificial intelligence; Christian theology; digital theology; counseling</t>
  </si>
  <si>
    <t>The people of the XXI century seem to search for salvation in the hands of technology such as artificial intelligence, nanotechnology, internet of things etc. There is an increasing trust in the capacity of artificial intelligence to transform and transcend life and death. Unfortunately, post-humanist technologies aimed to liberate humans from all existential burdens and dilemmas challenge the liberation and salvation itself. One big question that arises in the minds of modern Christians is: Where is the hand of God in the world conquered by technology? The current paper explores the specificity of using Artificial intelligence for religious and spiritual needs and activities, focusing on the implication and limitations of AI tools in religious life. The main questions that our study addresses are: Which aspects of religious life are and may be impacted by Artificial Intelligence? What are the main limitations of AI-tools regarding individuals' spiritual needs? Can conversational AI-agents redefine the relationship with the priest? The analysis revealed that artificial intelligence needs to be addressed as a tool. It is neither ultimate doom nor the way to salvation. The wisdom of human beings has the power to liberate themselves from all the slaveries, including technology. The salvation brought by repentance and forgiveness can only be revealed through religious and spiritual development.</t>
  </si>
  <si>
    <t>[Necula, Constantin Valer] Lucian Blaga Univ, Fac Theol St Andrei Saguna, Sibiu, Romania; [Dumulescu, Daniela] Lucian Blaga Univ, Fac Social Sci &amp; Humanities, Sibiu, Romania</t>
  </si>
  <si>
    <t>Lucian Blaga University of Sibiu; Lucian Blaga University of Sibiu</t>
  </si>
  <si>
    <t>Necula, CV (corresponding author), Lucian Blaga Univ, Fac Theol St Andrei Saguna, Sibiu, Romania.</t>
  </si>
  <si>
    <t>constantin.necula@ulbsibiu.ro; daniela.dumulescu@ulbsibiu.ro</t>
  </si>
  <si>
    <t>UNIV BABES-BOLYAI</t>
  </si>
  <si>
    <t>CLUJ-NAPOCA</t>
  </si>
  <si>
    <t>MIHAIL KOGALNICEANU NR. 1, CLUJ-NAPOCA RO-3400, ROMANIA</t>
  </si>
  <si>
    <t>1583-0039</t>
  </si>
  <si>
    <t>J STUDY RELIG IDEOL</t>
  </si>
  <si>
    <t>J. Study Relig. Ideol</t>
  </si>
  <si>
    <t>SUM</t>
  </si>
  <si>
    <t>UW2U8</t>
  </si>
  <si>
    <t>WOS:001251043200004</t>
  </si>
  <si>
    <t>McGovern, A; Gagne, DJ; Wirz, CD; Ebert-Uphoff, I; Bostrom, A; Rao, YH; Schumacher, A; Flora, M; Chase, R; Mamalakis, A; McGraw, M; Lagerquist, R; Redmon, RJ; Peterson, T</t>
  </si>
  <si>
    <t>McGovern, Amy; Gagne, David John; Wirz, Christopher D.; Ebert-Uphoff, Imme; Bostrom, Ann; Rao, Yuhan; Schumacher, Andrea; Flora, Montgomery; Chase, Randy; Mamalakis, Antonios; McGraw, Marie; Lagerquist, Ryan; Redmon, Robert J.; Peterson, Taysia</t>
  </si>
  <si>
    <t>Trustworthy Artificial Intelligence for Environmental Sciences An Innovative Approach for Summer School</t>
  </si>
  <si>
    <t>BULLETIN OF THE AMERICAN METEOROLOGICAL SOCIETY</t>
  </si>
  <si>
    <t>KEYWORDS; Education; Artificial intelligence; Machine learning</t>
  </si>
  <si>
    <t>Many of our generation's most pressing environmental science problems are wicked problems, which means they cannot be cleanly isolated and solved with a single correct answer. (AI2ES) seeks to address such problems by developing synergistic approaches with a team of scientists from three disciplines: environmental science (including atmospheric, ocean, and other physical sciences), artificial intelligence (AI), and social science including risk communication. As part of our work, we developed a novel approach to summer school, held from 27 to 30 June 2022. The goal of this summer school was to teach a new generation of environmental scientists how to cross disciplines and develop approaches that integrate all three disciplinary perspectives and approaches in order to solve environmental science problems. In addition to a lecture series that focused on the synthesis of AI, environmental science, and risk communication, this year's summer school included a unique trust-a-thon component where participants gained hands-on experience applying both risk communication and explainable AI techniques to pretrained machine learning models. We had 677 participants from 63 countries register and attend online. Lecture topics included trust and trustworthiness (day 1), explainability and interpretability (day 2), data and workflows (day 3), and uncertainty quantification (day 4). For the trust-a-thon, we developed challenge problems for three different application domains: 1) severe storms, 2) tropical cyclones, and 3) space weather. Each domain had associated user persona to guide user-centered development.</t>
  </si>
  <si>
    <t>[McGovern, Amy; Chase, Randy] Univ Oklahoma, Norman, OK 73019 USA; [Gagne, David John; Wirz, Christopher D.; Peterson, Taysia] Natl Ctr Atmospher Res, Boulder, CO USA; [Ebert-Uphoff, Imme; Schumacher, Andrea; Mamalakis, Antonios; McGraw, Marie; Lagerquist, Ryan] Colorado State Univ, Ft Collins, CO USA; [Bostrom, Ann] Univ Washington, Seattle, WA USA; [Rao, Yuhan] North Carolina State Univ, Cooperat Inst Satellite Earth Syst Studies, Asheville, NC USA; [Flora, Montgomery] Univ Oklahoma, Cooperat Inst Severe &amp; High Impact Weather Res &amp; O, Norman, OK USA; [Redmon, Robert J.] NOAA Ctr Artificial Intelligence, Boulder, CO USA</t>
  </si>
  <si>
    <t>University of Oklahoma System; University of Oklahoma - Norman; National Center Atmospheric Research (NCAR) - USA; Colorado State University; University of Washington; University of Washington Seattle; North Carolina State University; University of Oklahoma System; University of Oklahoma - Norman</t>
  </si>
  <si>
    <t>McGovern, A (corresponding author), Univ Oklahoma, Norman, OK 73019 USA.</t>
  </si>
  <si>
    <t>amcgovern@ou.edu</t>
  </si>
  <si>
    <t>McGovern, Amy/AAC-8132-2022; Boström, Azize/IUO-0974-2023; Ebert-Uphoff, Imme/Y-3389-2019; Gagne, David/H-7070-2019; Wirz, Christopher/L-3675-2019; Rao, Yuhan/K-8717-2018; Redmon, Robert/A-7688-2011</t>
  </si>
  <si>
    <t>Bostrom, Ann/0000-0002-6399-3404; Rao, Yuhan/0000-0001-6850-3403; Ebert-Uphoff, Imme/0000-0001-6470-1947; Redmon, Robert/0000-0001-5585-2719; Schumacher, Andrea/0000-0002-6368-2032; Gagne, David/0000-0002-0469-2740; Wirz, Christopher/0000-0002-8990-5505; McGovern, Amy/0000-0001-6675-7119; McGraw, Marie/0000-0002-4469-226X</t>
  </si>
  <si>
    <t>National Science Foundation [1852977, ICER-2019758]; Radiant Earth Foundation; Learning the Earth with Artificial Intelligence and Physics (LEAP) Science Technology Center</t>
  </si>
  <si>
    <t>National Science Foundation(National Science Foundation (NSF)); Radiant Earth Foundation; Learning the Earth with Artificial Intelligence and Physics (LEAP) Science Technology Center</t>
  </si>
  <si>
    <t>This material is based upon work supported by the National Science Foundation under Grant ICER-2019758. AI2ES summer school was a collaboration between AI2ES, the NOAA Center for AI (NCAI) , the National Center for Atmospheric Research (NCAR) , Radiant Earth Foundation, and the Learning the Earth with Artificial Intelligence and Physics (LEAP) Science Technology Center. NCAR is a major facility sponsored by the National Science Foundation under Cooperative Agreement 1852977. Computing credits for the trust-a-thon Jupyterhub platform were provided by Google Cloud Platform. The authors would like to acknowledge the contributions of many additional people who worked tirelessly on making this summer school a success. For the trust-a-thon, major contributors are Rob Redmon, Manoj Nair, and LiYin Young for the space weather application; Hamed Alemohammad, Renee Pieschke, Jason Stock, Marie McGraw, Akansha Singh Bansal, Kate Musgrave and Imme Ebert-Uphoff for the tropical cyclone application; and Randy Chase and Monte Flora for the severe weather application. For the lecture materials, additional contributors are Mariana Cains, Julie Demuth, Katherine Haynes, and Philippe Tissot.</t>
  </si>
  <si>
    <t>AMER METEOROLOGICAL SOC</t>
  </si>
  <si>
    <t>BOSTON</t>
  </si>
  <si>
    <t>45 BEACON ST, BOSTON, MA 02108-3693, UNITED STATES</t>
  </si>
  <si>
    <t>0003-0007</t>
  </si>
  <si>
    <t>1520-0477</t>
  </si>
  <si>
    <t>B AM METEOROL SOC</t>
  </si>
  <si>
    <t>Bull. Amer. Meteorol. Soc.</t>
  </si>
  <si>
    <t>E1222</t>
  </si>
  <si>
    <t>E1231</t>
  </si>
  <si>
    <t>10.1175/BAMS-D-22-0225.1</t>
  </si>
  <si>
    <t>Meteorology &amp; Atmospheric Sciences</t>
  </si>
  <si>
    <t>L8MB9</t>
  </si>
  <si>
    <t>WOS:001025739900002</t>
  </si>
  <si>
    <t>Qin, M; Chang, HL; Su, CW; Racataian, RI; Craciun, AF</t>
  </si>
  <si>
    <t>Qin, Meng; Chang, Hsu-Ling; Su, Chi-Wei; Racataian, Raluca-Ioana; Craciun, Andreea-Florentina</t>
  </si>
  <si>
    <t>SUBSTITUTION OR CREATION? IDENTIFYING THE ROLE OF ARTIFICIAL INTELLIGENCE IN EMPLOYMENT</t>
  </si>
  <si>
    <t>TECHNOLOGICAL AND ECONOMIC DEVELOPMENT OF ECONOMY</t>
  </si>
  <si>
    <t>artificial intelligence; employment; mixed frequency data; China</t>
  </si>
  <si>
    <t>GRANGER CAUSALITY; ECONOMIC-GROWTH; UNEMPLOYMENT; GDP</t>
  </si>
  <si>
    <t>Recognising the significant role of artificial intelligence in the labour market is essential for China to develop sustainably. The research utilises the mixed frequency vector auto-regression (MF-VAR) technique, which would innovatively incorporate data at different frequencies into one model to identify the intricate correlation between the monthly artificial intelligence index (AII) and the quarterly unemployment rate (UR) in China. Through comparison, the MF-VAR method has a more substantial explanatory power than the low-frequency VAR (LF-VAR) model, the impulse responses of the former reveal that AII exerts favourable and adverse influences on UR. Among them, the positive effect occurs on the AII in the first and second months. In contrast, the negative one appears on the AII in the third month, highlighting that artificial intelligence has both stimulating and inhibiting effects on the labour market in China. By analysing UR's predictive error variance decomposition, the total impact of China's artificial intelligence technology on employment is a substitution; this outcome is accordant with the theoretical discussion. In the new round of scientific and technological revolution and industrial transformation, meaningful recommendations for China would be put forward to avert the wave of unemployment brought by the development of artificial intelligence technology.</t>
  </si>
  <si>
    <t>[Qin, Meng] Qingdao Univ, Sch Marxism, Qingdao, Shandong, Peoples R China; [Chang, Hsu-Ling] Wuchang Univ Technol, Sch Business, Wuchang, Peoples R China; [Su, Chi-Wei] Yunnan Univ Finance &amp; Econ, Sch Finance, Kunming, Yunnan, Peoples R China; [Su, Chi-Wei] Qingdao Univ, Sch Econ, Qingdao, Shandong, Peoples R China; [Qin, Meng; Racataian, Raluca-Ioana; Craciun, Andreea-Florentina] West Univ Timisoara, Doctoral Sch Econ &amp; Business Adm, Timisoara, Romania</t>
  </si>
  <si>
    <t>Qingdao University; Wuchang University of Technology; Yunnan University of Finance &amp; Economics; Qingdao University; West University of Timisoara</t>
  </si>
  <si>
    <t>Su, CW (corresponding author), Yunnan Univ Finance &amp; Econ, Sch Finance, Kunming, Yunnan, Peoples R China.;Su, CW (corresponding author), Qingdao Univ, Sch Econ, Qingdao, Shandong, Peoples R China.</t>
  </si>
  <si>
    <t>cwsu7137@gmail.com</t>
  </si>
  <si>
    <t>Qin, Meng/LXA-1730-2024; Su, Chi/ABE-4976-2021</t>
  </si>
  <si>
    <t>Shandong Social Science Planning Research Project Shandong Data Resource Application Efficiency Evaluation and Improvement Path Research [23CSDJ15]</t>
  </si>
  <si>
    <t>Shandong Social Science Planning Research Project Shandong Data Resource Application Efficiency Evaluation and Improvement Path Research</t>
  </si>
  <si>
    <t>This paper is supported by Shandong Social Science Planning Research Project Shandong Data Resource Application Efficiency Evaluation and Improvement Path Research (23CSDJ15) .</t>
  </si>
  <si>
    <t>2029-4913</t>
  </si>
  <si>
    <t>2029-4921</t>
  </si>
  <si>
    <t>TECHNOL ECON DEV ECO</t>
  </si>
  <si>
    <t>Technol. Econ. Dev. Econ.</t>
  </si>
  <si>
    <t>2024 SEP 9</t>
  </si>
  <si>
    <t>10.3846/tede.2024.21929</t>
  </si>
  <si>
    <t>F5D6O</t>
  </si>
  <si>
    <t>WOS:001310025400001</t>
  </si>
  <si>
    <t>Lim, JI; Rachitskaya, AV; Hallak, JA; Gholami, S; Alam, MN</t>
  </si>
  <si>
    <t>Lim, Jennifer I.; Rachitskaya, Aleksandra V.; Hallak, Joelle A.; Gholami, Sina; Alam, Minhaj N.</t>
  </si>
  <si>
    <t>Artificial intelligence for retinal diseases</t>
  </si>
  <si>
    <t>ASIA-PACIFIC JOURNAL OF OPHTHALMOLOGY</t>
  </si>
  <si>
    <t>Artificial intelligence; Algorithms; Screening; Biomarkers; Deep learning</t>
  </si>
  <si>
    <t>OPTICAL COHERENCE TOMOGRAPHY; SICKLE-CELL RETINOPATHY; DIABETIC-RETINOPATHY; FLUID VOLUMES; NEOVASCULAR AMD; VISUAL-ACUITY; AV-NET; AI; CLASSIFICATION; OPHTHALMOLOGY</t>
  </si>
  <si>
    <t>Purpose: To discuss the worldwide applications and potential impact of artificial intelligence (AI) for the diagnosis, management and analysis of treatment outcomes of common retinal diseases. Methods: We performed an online literature review, using PubMed Central (PMC), of AI applications to evaluate and manage retinal diseases. Search terms included AI for screening, diagnosis, monitoring, management, and treatment outcomes for age-related macular degeneration (AMD), diabetic retinopathy (DR), retinal surgery, retinal vascular disease, retinopathy of prematurity (ROP) and sickle cell retinopathy (SCR). Additional search terms included AI and color fundus photographs, optical coherence tomography (OCT), and OCT angiography (OCTA). We included original research articles and review articles. Results: Research studies have investigated and shown the utility of AI for screening for diseases such as DR, AMD, ROP, and SCR. Research studies using validated and labeled datasets confirmed AI algorithms could predict disease progression and response to treatment. Studies showed AI facilitated rapid and quantitative interpretation of retinal biomarkers seen on OCT and OCTA imaging. Research articles suggest AI may be useful for planning and performing robotic surgery. Studies suggest AI holds the potential to help lessen the impact of socioeconomic disparities on the outcomes of retinal diseases. Conclusions: AI applications for retinal diseases can assist the clinician, not only by disease screening and monitoring for disease recurrence but also in quantitative analysis of treatment outcomes and prediction of treatment response. The public health impact on the prevention of blindness from DR, AMD, and other retinal vascular diseases remains to be determined.</t>
  </si>
  <si>
    <t>[Lim, Jennifer I.; Hallak, Joelle A.] Univ Illinois, Coll Med, Dept Ophthalmol &amp; Visual Sci, 1855 W Taylor St,Suite 2 50,Mail Code 648, Chicago, IL 60612 USA; [Rachitskaya, Aleksandra V.] Case Western Reserve Univ, Cleveland Clin, Dept Ophthalmol, Cole Eye Inst,Lerner Coll Med, Cleveland, OH USA; [Hallak, Joelle A.] Univ Illinois, Coll Med, Dept Ophthalmol &amp; Visual Sci, Chicago, IL USA; [Gholami, Sina; Alam, Minhaj N.] Univ N Carolina, Charlotte, NC USA</t>
  </si>
  <si>
    <t>University of Illinois System; University of Illinois Chicago; University of Illinois Chicago Hospital; University System of Ohio; Case Western Reserve University; Cleveland Clinic Foundation; University of Illinois System; University of Illinois Chicago; University of Illinois Chicago Hospital; University of North Carolina; University of North Carolina Charlotte</t>
  </si>
  <si>
    <t>Lim, JI (corresponding author), Univ Illinois, Coll Med, Dept Ophthalmol &amp; Visual Sci, 1855 W Taylor St,Suite 2 50,Mail Code 648, Chicago, IL 60612 USA.</t>
  </si>
  <si>
    <t>jennylim@uic.edu</t>
  </si>
  <si>
    <t>Alam, Minhaj/AAU-3307-2020</t>
  </si>
  <si>
    <t>Alam, Minhaj/0000-0003-3095-2232</t>
  </si>
  <si>
    <t>Research to Prevent Blindness; University of Illinois at Chicago, Department of Ophthalmology [EY01792]</t>
  </si>
  <si>
    <t>Research to Prevent Blindness(Research to Prevent Blindness (RPB)); University of Illinois at Chicago, Department of Ophthalmology</t>
  </si>
  <si>
    <t>Supported by an unrestricted grant from Research to Prevent Blindness and University of Illinois at Chicago, Department of Ophthalmology Core Grant EY01792.</t>
  </si>
  <si>
    <t>2162-0989</t>
  </si>
  <si>
    <t>ASIA-PAC J OPHTHALMO</t>
  </si>
  <si>
    <t>Asia-Pac. J. Ophthalmol.</t>
  </si>
  <si>
    <t>10.1016/j.apjo.2024.100096</t>
  </si>
  <si>
    <t>F3M2H</t>
  </si>
  <si>
    <t>WOS:001308891200001</t>
  </si>
  <si>
    <t>Fernandes, ER; Graglia, MAV</t>
  </si>
  <si>
    <t>Fernandes, Erika Ribeiro; Graglia, Marcelo Augusto Vieira</t>
  </si>
  <si>
    <t>HUMAN INTELLIGENCE AND ARTIFICIAL INTELLIGENCE AND THE CHALLENGES OF BIASES IN AI ALGORITHMS</t>
  </si>
  <si>
    <t>RISUS-JOURNAL ON INNOVATION AND SUSTAINABILITY</t>
  </si>
  <si>
    <t>artificial intelligence; machine learning; algorithmic bias; social impacts; ethical design</t>
  </si>
  <si>
    <t>This article acknowledges the profound transformations that Artificial Intelligence imposes on society. A descriptive -exploratory study aims to discuss algorithmic biases and understand their impacts on society. The article starts from the understanding of human intelligence and learning from a pluralistic perspective, based on the analysis of literary works and scientific articles. This approach provides a context in which AI and machine learning can be conceived from an innovation perspective for the common good. The critical analysis emphasizes the need for ethical approaches in the development of these systems. The topics discussed highlight the importance of a multidimensional approach in mitigating algorithmic biases. From data selection to audits and accountability, diversity of perspectives, both in datasets and development teams, is crucial. The implementation of continuous training and human supervision reflects a continuous commitment to transparency and fairness in artificial intelligence. These integrated strategies are essential for the ethical, transparent, and equitable development of AI. This holistic approach, involving diverse skills and people, continuous training, and vigilant oversight, is vital to ensure the ethical use of AI for the collective well-being.</t>
  </si>
  <si>
    <t>[Fernandes, Erika Ribeiro; Graglia, Marcelo Augusto Vieira] Pontificia Univ Catolica Sao Paulo PUCSP, Tecnol Inteligencia &amp; Design Digital, Sao Paulo, Brazil</t>
  </si>
  <si>
    <t>Fernandes, ER (corresponding author), Pontificia Univ Catolica Sao Paulo PUCSP, Tecnol Inteligencia &amp; Design Digital, Sao Paulo, Brazil.</t>
  </si>
  <si>
    <t>erikarflearn@gmail.com; mgraglia@pucsp.br</t>
  </si>
  <si>
    <t>Graglia, Marcelo/AAN-8666-2021</t>
  </si>
  <si>
    <t>PONTIFICIA UNIV CATOLICA SAO PAULO-PUC-SP</t>
  </si>
  <si>
    <t>RUA LUIS FELIPE ATALHA 9, ALTO MOOCA, SAO PAULO, SP 03180-070, BRAZIL</t>
  </si>
  <si>
    <t>2179-3565</t>
  </si>
  <si>
    <t>RISUS</t>
  </si>
  <si>
    <t>FEB-MAR</t>
  </si>
  <si>
    <t>10.23925/2179-3565.2023v15i1p133-142</t>
  </si>
  <si>
    <t>PW9A6</t>
  </si>
  <si>
    <t>WOS:001217224600001</t>
  </si>
  <si>
    <t>Vijayan, RSK; Kihlberg, J; Cross, JB; Poongavanam, V</t>
  </si>
  <si>
    <t>Vijayan, R. S. K.; Kihlberg, Jan; Cross, Jason B.; Poongavanam, Vasanthanathan</t>
  </si>
  <si>
    <t>Enhancing preclinical drug discovery with artificial intelligence</t>
  </si>
  <si>
    <t>DRUG DISCOVERY TODAY</t>
  </si>
  <si>
    <t>Artificial intelligence; Machine learning; Deep learning; Drug discovery</t>
  </si>
  <si>
    <t>LIGAND BINDING-AFFINITY; ACCURATE PREDICTION; NEURAL-NETWORKS; DOCKING; COMPUTER; OPTIMIZATION; QUALITY; DESIGN; MODELS; GUIDE</t>
  </si>
  <si>
    <t>Artificial intelligence (AI) is becoming an integral part of drug discovery. It has the potential to deliver across the drug discovery and development value chain, starting from target identification and reaching through clinical development. In this review, we provide an overview of current AI technologies and a glimpse of how AI is reimagining preclinical drug discovery by highlighting examples where AI has made a real impact. Considering the excitement and hyperbole surrounding AI in drug discovery, we aim to present a realistic view by discussing both opportunities and challenges in adopting AI in drug discovery.</t>
  </si>
  <si>
    <t>[Vijayan, R. S. K.; Cross, Jason B.] Univ Texas MD Anderson Canc Ctr, Inst Appl Canc Sci, Houston, TX 77030 USA; [Kihlberg, Jan; Poongavanam, Vasanthanathan] Uppsala Univ, Dept Chem BMC, Uppsala, Sweden</t>
  </si>
  <si>
    <t>University of Texas System; UTMD Anderson Cancer Center; Uppsala University</t>
  </si>
  <si>
    <t>Cross, JB (corresponding author), Univ Texas MD Anderson Canc Ctr, Inst Appl Canc Sci, Houston, TX 77030 USA.;Poongavanam, V (corresponding author), Uppsala Univ, Dept Chem BMC, Uppsala, Sweden.</t>
  </si>
  <si>
    <t>jbcross@mdanderson.org; vasanthanathan.poongavanam@kemi.uu.se</t>
  </si>
  <si>
    <t>Kihlberg, Jan/S-4739-2019; Poongavanam, Vasanthanathan/O-3945-2017</t>
  </si>
  <si>
    <t>Poongavanam, Vasanthanathan/0000-0002-8880-9247</t>
  </si>
  <si>
    <t>1359-6446</t>
  </si>
  <si>
    <t>1878-5832</t>
  </si>
  <si>
    <t>DRUG DISCOV TODAY</t>
  </si>
  <si>
    <t>Drug Discov. Today</t>
  </si>
  <si>
    <t>10.1016/j.drudis.2021.11.023</t>
  </si>
  <si>
    <t>0O1TE</t>
  </si>
  <si>
    <t>WOS:000783311100005</t>
  </si>
  <si>
    <t>Xiang, JJ; Mao, HT; Yang, B</t>
  </si>
  <si>
    <t>Xiang, Junjie; Mao, Haitao; Yang, Bin</t>
  </si>
  <si>
    <t>Impact assessment and mechanism of water conservancy policy on carbon emission performance under the background of artificial intelligence</t>
  </si>
  <si>
    <t>EXPERT SYSTEMS</t>
  </si>
  <si>
    <t>artificial intelligence; carbon emissions performance; difference in difference; water policy</t>
  </si>
  <si>
    <t>CONSUMPTION; CHINA; GAS</t>
  </si>
  <si>
    <t>Artificial intelligence technology is constantly developing and changing. Due to the continuous development of technology and production of carbon emissions, various problems have occurred, forcing various regions to start promoting low-carbon work. What kind of method can effectively and quickly improve the performance of carbon emissions has become one of the current research topics that has attracted much attention. In response to this problem, it is of great significance to study in the field of carbon emission performance improvement methods. With the in-depth research on carbon emissions, the research on the intervention of water conservancy policies in carbon emissions has gradually been carried out, and its functional effects are of great significance to solve the problem of improving carbon emissions performance. This paper has aimed to study the impact and mechanism of water conservancy policy on carbon emission performance in the context of artificial intelligence. Through the analysis and research of the water conservancy policy under artificial intelligence, the double difference model (DID) is used to evaluate it, so that it can show the impact and mechanism on carbon emission performance, so as to solve the problem of improving carbon emission performance. This paper has analysed water policy, carbon emission performance and DID model under artificial intelligence. Its influence and mechanism have been experimentally analysed, and related theoretical formulas have been used to explain. The results have shown that the water conservancy policy has a significant and continuous driving effect on the reduction of carbon emission intensity, and its interaction coefficient under the control variable is -0.934, which is significantly negative. Further analysis of variables has shown that the energy intensity coefficient is 0.714, and the secondary industry coefficient is 0.924, which are both positive and significant. Water conservancy policies mainly reduce carbon intensity through the improvement of energy efficiency and industrial structure upgrading. It can be seen that water conservancy policies under artificial intelligence can meet the needs of improving carbon emission performance, and the level of economic growth and green development has been greatly improved.</t>
  </si>
  <si>
    <t>[Xiang, Junjie] Shanxi Agr Univ, Coll Publ Adm, Jinzhong, Shanxi, Peoples R China; [Mao, Haitao; Yang, Bin] Shanxi Agr Univ, Coll Urban &amp; Rural Construct, Jinzhong, Shanxi, Peoples R China; [Mao, Haitao] Shanxi Agr Univ, Coll Urban &amp; Rural Construct, Jinzhong 030801, Shanxi, Peoples R China</t>
  </si>
  <si>
    <t>Shanxi Agricultural University; Shanxi Agricultural University; Shanxi Agricultural University</t>
  </si>
  <si>
    <t>Mao, HT (corresponding author), Shanxi Agr Univ, Coll Urban &amp; Rural Construct, Jinzhong 030801, Shanxi, Peoples R China.</t>
  </si>
  <si>
    <t>maohaitao1234@163.com</t>
  </si>
  <si>
    <t>Xing, Jun-jie/LSI-7039-2024</t>
  </si>
  <si>
    <t>, MAO/0000-0002-5891-5620</t>
  </si>
  <si>
    <t>Provincial Natural Science Foundation of Shanxi, China [202103021224151]; Shanxi AgriculturalUniversity 211 Provincial Reform High LevelTalent Introduction Project [2021XG009]; Shanxi ProvinceExcellent Doctoral Work Award-ScientificResearch Project [SXBYKY2021069]</t>
  </si>
  <si>
    <t>Provincial Natural Science Foundation of Shanxi, China; Shanxi AgriculturalUniversity 211 Provincial Reform High LevelTalent Introduction Project; Shanxi ProvinceExcellent Doctoral Work Award-ScientificResearch Project</t>
  </si>
  <si>
    <t>Provincial Natural Science Foundation of Shanxi, China, Grant/Award Number:202103021224151; Shanxi AgriculturalUniversity 211 Provincial Reform High LevelTalent Introduction Project, Grant/AwardNumber: 2021XG009; Shanxi ProvinceExcellent Doctoral Work Award-ScientificResearch Project, Grant/Award Number: SXBYKY2021069</t>
  </si>
  <si>
    <t>0266-4720</t>
  </si>
  <si>
    <t>1468-0394</t>
  </si>
  <si>
    <t>EXPERT SYST</t>
  </si>
  <si>
    <t>Expert Syst.</t>
  </si>
  <si>
    <t>10.1111/exsy.13190</t>
  </si>
  <si>
    <t>MX4L6</t>
  </si>
  <si>
    <t>WOS:000888870800001</t>
  </si>
  <si>
    <t>Clark-Fookes, T</t>
  </si>
  <si>
    <t>Clark-Fookes, Tricia</t>
  </si>
  <si>
    <t>To fear or not to fear: generative artificial intelligence in drama education</t>
  </si>
  <si>
    <t>RIDE-THE JOURNAL OF APPLIED THEATRE AND PERFORMANCE</t>
  </si>
  <si>
    <t>Editorial Material; Early Access</t>
  </si>
  <si>
    <t>Drama education; 'artificial intelligence'; 'generative artificial intelligence'; technology</t>
  </si>
  <si>
    <t>Generative Artificial Intelligence (GenAI) has arrived. Its impacts are touted to be profound on all aspects of society, including the arts and education. This article poses questions about the use of GenAI in drama education with the hope of inspiring a critical discussion that moves beyond binaries of acceptance or rejection of the technology. These questions go to the core of what defines our practice, our values and our purpose in the GenAI era.</t>
  </si>
  <si>
    <t>[Clark-Fookes, Tricia] Queensland Univ Technol, Creat Ind Educ &amp; Social Justice Fac, Sch Creat Practice, Brisbane, Australia</t>
  </si>
  <si>
    <t>Queensland University of Technology (QUT)</t>
  </si>
  <si>
    <t>Clark-Fookes, T (corresponding author), Queensland Univ Technol, Creat Ind Educ &amp; Social Justice Fac, Sch Creat Practice, Brisbane, Australia.</t>
  </si>
  <si>
    <t>tricia.clarkfookes@qut.edu.au</t>
  </si>
  <si>
    <t>Clark-Fookes, Tricia/0000-0002-8424-2327</t>
  </si>
  <si>
    <t>1356-9783</t>
  </si>
  <si>
    <t>1470-112X</t>
  </si>
  <si>
    <t>RIDE-J APPL THEATRE</t>
  </si>
  <si>
    <t>RIDE-J. Appl. Theatre Perform.</t>
  </si>
  <si>
    <t>2024 SEP 12</t>
  </si>
  <si>
    <t>10.1080/13569783.2024.2401335</t>
  </si>
  <si>
    <t>Education &amp; Educational Research; Theater</t>
  </si>
  <si>
    <t>Social Science Citation Index (SSCI); Arts &amp; Humanities Citation Index (A&amp;HCI)</t>
  </si>
  <si>
    <t>F8Y9O</t>
  </si>
  <si>
    <t>WOS:001312616300001</t>
  </si>
  <si>
    <t>Murahwi, T; Mashinini, N</t>
  </si>
  <si>
    <t>Murahwi, Tadiwanashe; Mashinini, Nomalanga</t>
  </si>
  <si>
    <t>The Legal Nature of Systems of Artificial Intelligence in South Africa</t>
  </si>
  <si>
    <t>artificial intelligence; legal subjectivity; legal status; legal personality; personhood</t>
  </si>
  <si>
    <t>Systems of Artificial Intelligence (SAI) continue to pervade different aspects of life in South Africa. Despite such growth, there is no definitive legal position as to the legal nature of complex forms of SAI in South Africa. The unforeseeable human-like behaviour of SAI questions the effectiveness of the established areas of law in regulating SAI. This paper investigates the legal nature of SAI and explores the feasibility of granting legal personality to SAI under South African law. The paper employs a doctrinal research approach, exploring some examples established in jurisdictions such as the United States of America, Saudi Arabia, Nigeria and the European Union. This paper argues that flexible development in common law and legislation will effectively regulate the fast-paced advancement of SAI and promote innovation in South Africa. This approach will also be conducive for South African law to cultivate an indigenous approach to determine the legal nature of SAI. This is a call for proactive thinking to match the exponential growth of SAI, the risks it poses, and the need for certainty to allow innovation and development in South Africa.</t>
  </si>
  <si>
    <t>[Murahwi, Tadiwanashe; Mashinini, Nomalanga] Rhodes Univ, Fac Law, Makhanda, South Africa</t>
  </si>
  <si>
    <t>Rhodes University</t>
  </si>
  <si>
    <t>Murahwi, T (corresponding author), Rhodes Univ, Fac Law, Makhanda, South Africa.</t>
  </si>
  <si>
    <t>tadiwamurahwi@gmail.com; n.mashini@ru.ac.za</t>
  </si>
  <si>
    <t>Mashinini, Nomalanga/AAP-4683-2021</t>
  </si>
  <si>
    <t>Mashinini, Nomalanga/0000-0003-3265-4220</t>
  </si>
  <si>
    <t>National Research Foundation (NRF) of South Africa [121887]; Academy of Finland (AKA) [121887] Funding Source: Academy of Finland (AKA)</t>
  </si>
  <si>
    <t>National Research Foundation (NRF) of South Africa(National Research Foundation - South Africa); Academy of Finland (AKA)(Research Council of Finland)</t>
  </si>
  <si>
    <t>This work is based on the research supported in part by the National Research Foundation (NRF) of South Africa (Grant Number: 121887). The opinions, findings and recommendations expressed in this research are that of the author. The NRF accepts no liability whatsoever in this regard.</t>
  </si>
  <si>
    <t>10.34190/EAIR.21.027</t>
  </si>
  <si>
    <t>WOS:000838033200015</t>
  </si>
  <si>
    <t>Van Slyke, C; Johnson, RD; Sarabadani, J</t>
  </si>
  <si>
    <t>Van Slyke, Craig; Johnson, Richard D.; Sarabadani, Jalal</t>
  </si>
  <si>
    <t>Generative Artificial Intelligence in Information Systems Education: Challenges, Consequences, and Responses</t>
  </si>
  <si>
    <t>COMMUNICATIONS OF THE ASSOCIATION FOR INFORMATION SYSTEMS</t>
  </si>
  <si>
    <t>Information Systems Education; Artificial Intelligence; Generative Artificial Intelligence; ChatGPT</t>
  </si>
  <si>
    <t>TECHNOLOGY; COMPUTER; EXPERT; IMPACT; AI</t>
  </si>
  <si>
    <t>ChatGPT, an interactive, generative artificial intelligence (AI) system, was introduced in late 2022, quickly becoming one of the most rapidly adopted technologies in history. The rapid emergence of ChatGPT and similar AI tools, such as Google's Bard, and GPT-enabled Bing from Microsoft have led to intense discussions about how they will affect various aspects of society, including higher education. Information systems (IS) education will not escape the impact of AI tools. Our goal for this paper is to develop a better understanding of the range of possible impacts of ChatGPT on IS education and to describe how IS educators might respond to these potential impacts. To that end, we discuss challenges for IS education brought on by generative AI tools, and discuss potential future scenarios based on the emergence of such tools, ranging from AI having little impact on IS education to AI serving as competition for IS educators. We examine the challenges and consequences of each scenario. We also discuss potential responses, ranging from doing nothing to embracing AI tools as legitimate learning aids. We then provide several specific recommendations that will allow IS educators to effectively respond to the rise of AI tools.</t>
  </si>
  <si>
    <t>[Van Slyke, Craig] Louisiana Tech Univ, Comp Informat Syst, Ruston, LA 71272 USA; [Johnson, Richard D.] Washington State Univ, Management Informat Syst &amp; Entrepreneurship, Pullman, WA USA; [Sarabadani, Jalal] San Jose State Univ, Lucas Coll, San Jose, CA USA; [Sarabadani, Jalal] San Jose State Univ, Grad Sch Business, San Jose, CA USA</t>
  </si>
  <si>
    <t>University of Louisiana System; Louisiana Technical University; Washington State University; California State University System; San Jose State University; California State University System; San Jose State University</t>
  </si>
  <si>
    <t>Van Slyke, C (corresponding author), Louisiana Tech Univ, Comp Informat Syst, Ruston, LA 71272 USA.</t>
  </si>
  <si>
    <t>vanslyke@latech.edu</t>
  </si>
  <si>
    <t>Sarabadani, Jalal/AAU-8582-2020; Van Slyke, Craig/F-3712-2014; Johnson, Richard/R-4628-2018</t>
  </si>
  <si>
    <t>Van Slyke, Craig/0000-0003-3924-1859; Johnson, Richard/0000-0001-9367-8889</t>
  </si>
  <si>
    <t>1529-3181</t>
  </si>
  <si>
    <t>COMMUN ASSOC INF SYS</t>
  </si>
  <si>
    <t>Commun. Assoc. Inf. Syst.</t>
  </si>
  <si>
    <t>10.17705/1CAIS.05301</t>
  </si>
  <si>
    <t>L3ZP8</t>
  </si>
  <si>
    <t>WOS:001022678600001</t>
  </si>
  <si>
    <t>Imam, M; Soliman, HY; Abdel-Atty, HM</t>
  </si>
  <si>
    <t>Imam, Mohamed; Soliman, Heba Y.; Abdel-Atty, Heba M.</t>
  </si>
  <si>
    <t>Future Applications of Artificial Intelligence for the Egyptian Universal Health Insurance System</t>
  </si>
  <si>
    <t>JOURNAL OF HEALTH MANAGEMENT</t>
  </si>
  <si>
    <t>Artificial intelligence; Egypt; Universal Health Insurance System</t>
  </si>
  <si>
    <t>Artificial intelligence refers to simulating the human intelligence in machines. As it is present in all aspects of life, it has a great impact on the healthcare systems. In this article, the concept of artificial intelligence and its expected role on healthcare systems are presented. The Egyptian Universal Health Insurance system is presented as a case study.</t>
  </si>
  <si>
    <t>[Imam, Mohamed] Natl Heart Inst, Agouza, Giza Governorat, Egypt; [Soliman, Heba Y.; Abdel-Atty, Heba M.] Port Said Univ, Wireless Commun, Port Fouad City 42526, Port Said Gover, Egypt</t>
  </si>
  <si>
    <t>Egyptian Knowledge Bank (EKB); Port Said University</t>
  </si>
  <si>
    <t>Soliman, HY (corresponding author), Port Said Univ, Wireless Commun, Port Fouad City 42526, Port Said Gover, Egypt.</t>
  </si>
  <si>
    <t>hebayms@eng.psu.edu.eg</t>
  </si>
  <si>
    <t>0972-0634</t>
  </si>
  <si>
    <t>0973-0729</t>
  </si>
  <si>
    <t>J HEALTH MANAG</t>
  </si>
  <si>
    <t>J. Health Manag.</t>
  </si>
  <si>
    <t>10.1177/09720634231215139</t>
  </si>
  <si>
    <t>Health Policy &amp; Services</t>
  </si>
  <si>
    <t>DT3P6</t>
  </si>
  <si>
    <t>WOS:001130195400001</t>
  </si>
  <si>
    <t>Wang, YL; Shi, XM; Li, L; Efferth, T; Shang, D</t>
  </si>
  <si>
    <t>Wang, Yulin; Shi, Xiuming; Li, Li; Efferth, Thomas; Shang, Dong</t>
  </si>
  <si>
    <t>The Impact of Artificial Intelligence on Traditional Chinese Medicine</t>
  </si>
  <si>
    <t>AMERICAN JOURNAL OF CHINESE MEDICINE</t>
  </si>
  <si>
    <t>Artificial Intelligence; Diagnostics; Machine Learning; Traditional Chinese Medicine; Review</t>
  </si>
  <si>
    <t>KNOWLEDGE DISCOVERY; NEURAL-NETWORK; DIAGNOSIS; TONGUE; PRESCRIPTIONS; MODEL; CLASSIFICATION; ACTIVATION; PATTERN</t>
  </si>
  <si>
    <t>Traditional Chinese Medicine (TCM) is a well-established medical system with a long history. Currently, artificial intelligence (AI) is rapidly expanding in many fields including TCM. AI will significantly improve the reliability and accuracy of diagnostics, thus increasing the use of effective therapeutic methods for patients. This systematic review provides an updated overview on the major breakthroughs in the field of AI-assisted TCM four diagnostic methods, syndrome differentiation, and treatment. AI-assisted TCM diagnosis is mainly based on digital data collected by modern electronic instruments, which makes TCM diagnosis more quantitative, objective, and standardized. As a result, the diagnosis decisions made by different TCM doctors exhibit more consistency, accuracy, and reliability. Meanwhile, the therapeutic efficacy of TCM can be evaluated objectively. Therefore, AI is promoting TCM from experience to evidence-based medicine, a genuine scientific revolution. Furthermore, huge and non-uniform knowledge on formula-syndrome relationships and the combination rules of herbal TCM formulae could be better standardized with the help of AI analysis, which is necessary for the clinical efficacy evaluation and further optimization on the standardized TCM formulae. AI bridges the gap between TCM and modern science and technology. AI may bring clinical TCM diagnostics closer to western medicine. With the help of AI, more scientific evidence about TCM will be discovered. It can be expected that more unified guidelines for specific TCM syndromes will be issued with the development of AI-assisted TCM therapies in the future.</t>
  </si>
  <si>
    <t>[Wang, Yulin; Li, Li] Dalian Med Univ, Coll Pharm, 9 South Lvshun Rd Western Sect, Dalian 116044, Peoples R China; [Shang, Dong] Dalian Med Univ, Coll Integrat Med, Dalian 116044, Peoples R China; [Shi, Xiuming] Univ New Brunswick, Renaissance Coll, 3 Bailey Dr,POB 4400, Fredericton, NB E3B 5A3, Canada; [Efferth, Thomas] Johannes Gutenberg Univ Mainz, Inst Pharmaceut &amp; Biomed Sci, Dept Pharmaceut Biol, D-55128 Mainz, Germany; [Shang, Dong] Dalian Med Univ, Affiliated Hosp 1, Clin Lab Integrat Med, 222 Zhongshan Rd, Dalian 116011, Peoples R China</t>
  </si>
  <si>
    <t>Dalian Medical University; Dalian Medical University; University of New Brunswick; Johannes Gutenberg University of Mainz; Dalian Medical University</t>
  </si>
  <si>
    <t>Wang, YL (corresponding author), Dalian Med Univ, Coll Pharm, 9 South Lvshun Rd Western Sect, Dalian 116044, Peoples R China.;Shang, D (corresponding author), Dalian Med Univ, Affiliated Hosp 1, Clin Lab Integrat Med, 222 Zhongshan Rd, Dalian 116011, Peoples R China.</t>
  </si>
  <si>
    <t>wangyulin1971@126.com; shangdong@dmu.edu.cn</t>
  </si>
  <si>
    <t>Efferth, Thomas/0000-0002-2637-1681; Wang, Yulin/0000-0002-3195-7978</t>
  </si>
  <si>
    <t>WORLD SCIENTIFIC PUBL CO PTE LTD</t>
  </si>
  <si>
    <t>5 TOH TUCK LINK, SINGAPORE 596224, SINGAPORE</t>
  </si>
  <si>
    <t>0192-415X</t>
  </si>
  <si>
    <t>1793-6853</t>
  </si>
  <si>
    <t>AM J CHINESE MED</t>
  </si>
  <si>
    <t>Am. J. Chin. Med.</t>
  </si>
  <si>
    <t>10.1142/S0192415X21500622</t>
  </si>
  <si>
    <t>Integrative &amp; Complementary Medicine; Medicine, General &amp; Internal</t>
  </si>
  <si>
    <t>Integrative &amp; Complementary Medicine; General &amp; Internal Medicine</t>
  </si>
  <si>
    <t>TP9ZS</t>
  </si>
  <si>
    <t>WOS:000677950800002</t>
  </si>
  <si>
    <t>Sadeghi, RK; Ojha, D; Kaur, P; Mahto, R; Dhir, A</t>
  </si>
  <si>
    <t>Sadeghi, R. Kiarash; Ojha, Divesh; Kaur, Puneet; Mahto, Raj, V; Dhir, Amandeep</t>
  </si>
  <si>
    <t>Explainable artificial intelligence and agile decision-making in supply chain cyber resilience</t>
  </si>
  <si>
    <t>DECISION SUPPORT SYSTEMS</t>
  </si>
  <si>
    <t>Explainable artificial intelligence; Agile decision making; Cyber resilience; Experiments; Data mining</t>
  </si>
  <si>
    <t>SYSTEMS; MANAGEMENT; VIGNETTE; SERVICE</t>
  </si>
  <si>
    <t>Although artificial intelligence can contribute to decision-making processes, many industry players lag behind pioneering companies in utilizing artificial intelligence-driven technologies, which is a significant problem. Explainable artificial intelligence can be a viable solution to mitigate this problem. This paper proposes a research model to address how explainable artificial intelligence can impact decision-making processes. Using an experimental design, empirical data is collected to test the research model. This paper is one of the pioneer papers providing empirical evidence about the impact of explainable artificial intelligence on supply chain decision-making processes. We propose a serial mediation path, which includes transparency and agile decisionmaking. Findings reveal that explainable artificial intelligence enhances transparency, thereby significantly contributing to agile decision-making for improving cyber resilience during supply chain cyberattacks. Moreover, we conduct a post hoc analysis using text analysis to explore the themes present in tweets discussing explainable artificial intelligence in decision support systems. The results indicate a predominantly positive attitude towards explainable artificial intelligence within these systems. Furthermore, the text analysis reveals two main themes that emphasize the importance of transparency, explainability, and interpretability in explainable artificial intelligence.</t>
  </si>
  <si>
    <t>[Sadeghi, R. Kiarash] North Carolina Agr &amp; Tech State Univ, Willie A Deese Coll Business &amp; Econ, Dept Mkt &amp; Supply Chain Management, Greensboro, NC 27401 USA; [Ojha, Divesh] Univ North Texas, G Brint Ryan Coll Business, Dept Supply Chain Management, Denton, TX 76203 USA; [Kaur, Puneet] Univ Bergen, Dept Psychosocial Sci, Bergen, Norway; [Kaur, Puneet] North West Univ, Optentia Res Focus Area, Vanderbijlpark, South Africa; [Mahto, Raj, V] Univ New Mexico, Anderson Sch Management, Albuquerque, NM 87131 USA; [Dhir, Amandeep] Univ Agder, Sch Business &amp; Law, Dept Management, Kristiansand, Norway</t>
  </si>
  <si>
    <t>University of North Carolina; North Carolina A&amp;T State University; University of North Texas System; University of North Texas Denton; University of Bergen; North West University - South Africa; University of New Mexico; University of Agder</t>
  </si>
  <si>
    <t>Dhir, A (corresponding author), Univ Agder, Sch Business &amp; Law, Dept Management, Kristiansand, Norway.</t>
  </si>
  <si>
    <t>jsadeghi@ncat.edu; divesh.ojha@unt.edu; puneet.kaur@uib.no; amandeep.dhir@uia.no</t>
  </si>
  <si>
    <t>Dhir, Amandeep/F-1826-2013; Kaur, Puneet/KEI-1425-2024</t>
  </si>
  <si>
    <t>0167-9236</t>
  </si>
  <si>
    <t>1873-5797</t>
  </si>
  <si>
    <t>DECIS SUPPORT SYST</t>
  </si>
  <si>
    <t>Decis. Support Syst.</t>
  </si>
  <si>
    <t>10.1016/j.dss.2024.114194</t>
  </si>
  <si>
    <t>Computer Science, Artificial Intelligence; Computer Science, Information Systems; Operations Research &amp; Management Science</t>
  </si>
  <si>
    <t>Computer Science; Operations Research &amp; Management Science</t>
  </si>
  <si>
    <t>OW5W5</t>
  </si>
  <si>
    <t>WOS:001210337700001</t>
  </si>
  <si>
    <t>Khalaf, K; Rizkala, T; Repici, A</t>
  </si>
  <si>
    <t>Khalaf, Kareem; Rizkala, Tommy; Repici, Alessandro</t>
  </si>
  <si>
    <t>The use of artificial intelligence in colonoscopic evaluations</t>
  </si>
  <si>
    <t>artificial intelligence; colonoscopy; computer aided diagnosis - characterization (CADx); computer aided diagnosis - detection (CADe)</t>
  </si>
  <si>
    <t>COMPUTER-AIDED DETECTION; DETECTION-ASSISTED COLONOSCOPY; CLASSIFICATION; PERFORMANCE; DIAGNOSIS; DISCARD; SOCIETY; RESECT</t>
  </si>
  <si>
    <t>Purpose of reviewThis review aims to highlight the transformative impact of artificial intelligence in the field of gastrointestinal endoscopy, particularly in the detection and characterization of colorectal polyps.Recent findingsOver the past decade, artificial intelligence has significantly advanced the medical industry, including gastrointestinal endoscopy. Computer aided diagnosis - detection (CADe) systems have shown notable success in increasing ADR. Recent meta-analyses of RCTs have demonstrated that patients undergoing colonoscopy with CADe assistance had a higher ADR compared with conventional methods. Similarly, computer aided diagnosis - characterization (CADx) systems have proven effective in distinguishing between adenomatous and nonadenomatous polyps, enhancing diagnostic confidence and supporting cost-saving measures like the resect-and-discard strategy. Despite the high performance of these systems, the variability in real-world adoption highlights the importance of integrating artificial intelligence as an assistive tool rather than a replacement for human expertise.SummaryArtificial intelligence integration in colonoscopy, through CADe and CADx systems, marks a significant advancement in gastroenterology. These systems enhance lesion detection and characterization, leading to improved diagnostic accuracy, training outcomes, and clinical workflow efficiency. While artificial intelligence offers substantial benefits, the optimal approach involves using artificial intelligence to augment the expertise of endoscopists, ensuring that clinical decisions remain under human oversight.</t>
  </si>
  <si>
    <t>[Rizkala, Tommy; Repici, Alessandro] Human Univ, Dept Biomed Sci, Pieve Emanuele, Italy; [Rizkala, Tommy; Repici, Alessandro] Human Clin &amp; Res Ctr IRCCS, Endoscopy Unit, Milan, Italy; [Khalaf, Kareem] Univ Toronto, St Michaels Hosp, Div Gastroenterol, Toronto, ON, Canada</t>
  </si>
  <si>
    <t>University of Toronto; Saint Michaels Hospital Toronto</t>
  </si>
  <si>
    <t>Repici, A (corresponding author), Human Univ, Dept Gastroenterol, Via Manzoni 56, I-20089 Rozzano, Milano, Italy.;Repici, A (corresponding author), Human Res Hosp, Via Manzoni 56, I-20089 Rozzano, Milano, Italy.</t>
  </si>
  <si>
    <t>alessandro.repici@hunimed.eu</t>
  </si>
  <si>
    <t>10.1097/MOG.0000000000001063</t>
  </si>
  <si>
    <t>O6B0C</t>
  </si>
  <si>
    <t>WOS:001371943700005</t>
  </si>
  <si>
    <t>Das, A; Ranjan, B</t>
  </si>
  <si>
    <t>Das, Abhishek; Ranjan, Bhanu</t>
  </si>
  <si>
    <t>ASSESSING THE IMPACT OF ARTIFICIAL INTELLIGENCE ON THE ARBITRATION PROCESS</t>
  </si>
  <si>
    <t>artificial intelligence in arbitration; AI assisted arbitration; impact ofAI on dispute resolution process; arbitration with AI; ethical and legal boundaries for AI; risks and limitations; AI in arbitration; traditional arbitration; AI models used in arbitration</t>
  </si>
  <si>
    <t>This research paper investigates the integration of Artificial Intelligence (hereinafter AI) in the arbitration process. The motivation stems from the researcher's firsthand experience in the industry and their contemplation on the accessibility and cost of justice. The transformative impact of AI across various domains prompts an exploration of its potential to make arbitration more affordable and efficient. The paper examines both traditional and AI-assisted arbitration, contrasting their benefits and challenges. Ethical and legal considerations are evaluated to ascertain the compatibility of existing frameworks with AI incorporation. The investigation also involves gathering insights and feedback from the law and arbitration community to gauge real-world perspectives. The paper advocates for a cautious yet ambitious integration of AI in arbitration, harmonizing it with human cognitive processes. By synergizing AI's capabilities with human expertise, a balanced and equitable arbitration landscape can be fostered. The paper concludes by calling for continued exploration, collaboration, and innovation to ensure continuous development in this evolving field.</t>
  </si>
  <si>
    <t>[Das, Abhishek] AECOM, Singapore, Singapore; [Ranjan, Bhanu] SP Jain Sch Global Management, Execut MBA program, Singapore, Singapore</t>
  </si>
  <si>
    <t>Das, A (corresponding author), AECOM, Singapore, Singapore.</t>
  </si>
  <si>
    <t>abhishek.ef22onl002@gmail.com; bhanu.ranjan@spjain.org</t>
  </si>
  <si>
    <t>R3G8K</t>
  </si>
  <si>
    <t>WOS:001390383600001</t>
  </si>
  <si>
    <t>Assié, G; Allassonnière, S</t>
  </si>
  <si>
    <t>Assie, Guillaume; Allassonniere, Stephanie</t>
  </si>
  <si>
    <t>Artificial Intelligence in Endocrinology: On Track Toward Great Opportunities</t>
  </si>
  <si>
    <t>JOURNAL OF CLINICAL ENDOCRINOLOGY &amp; METABOLISM</t>
  </si>
  <si>
    <t>artificial intelligence; perspectives; endocrinology</t>
  </si>
  <si>
    <t>In endocrinology, the types and quantity of digital data are increasing rapidly. Computing capabilities are also developing at an incredible rate, as illustrated by the recent expansion in the use of popular generative artificial intelligence (AI) applications. Numerous diagnostic and therapeutic devices using AI have already entered routine endocrine practice, and developments in this field are expected to continue to accelerate. Endocrinologists will need to be supported in managing AI applications. Beyond technological training, interdisciplinary vision is needed to encompass the ethical and legal aspects of AI, to manage the profound impact of AI on patient/provider relationships, and to maintain an optimal balance between human input and AI in endocrinology.</t>
  </si>
  <si>
    <t>[Assie, Guillaume] Univ Paris Cite, Inst Cochin, CNRS, INSERM,U1016,UMR8104, F-75014 Paris, France; [Assie, Guillaume] Hop Cochin, AP HP, Ctr Rare Adrenal Dis, Serv Endocrinol, F-75014 Paris, France; [Allassonniere, Stephanie] Univ Paris Cite, UFR Med, F-75006 Paris, France; [Allassonniere, Stephanie] Univ Paris Cite, Ctr Rech Cordeliers Paris, INSERM, INRIA Paris,HeKA, F-75006 Paris, France</t>
  </si>
  <si>
    <t>Centre National de la Recherche Scientifique (CNRS); CNRS - National Institute for Biology (INSB); Universite Paris Cite; Institut National de la Sante et de la Recherche Medicale (Inserm); Assistance Publique Hopitaux Paris (APHP); Universite Paris Cite; Hopital Universitaire Cochin - APHP; Universite Paris Cite; Sorbonne Universite; Universite Paris Cite; Institut National de la Sante et de la Recherche Medicale (Inserm)</t>
  </si>
  <si>
    <t>Assié, G (corresponding author), Hop Cochin, Serv Endocrinol, 27 Rue Fg St Jacques, F-75014 Paris, France.</t>
  </si>
  <si>
    <t>Guillaume.assie@aphp.fr</t>
  </si>
  <si>
    <t>ENDOCRINE SOC</t>
  </si>
  <si>
    <t>2055 L ST NW, SUITE 600, WASHINGTON, DC 20036 USA</t>
  </si>
  <si>
    <t>0021-972X</t>
  </si>
  <si>
    <t>1945-7197</t>
  </si>
  <si>
    <t>J CLIN ENDOCR METAB</t>
  </si>
  <si>
    <t>J. Clin. Endocrinol. Metab.</t>
  </si>
  <si>
    <t>MAY 17</t>
  </si>
  <si>
    <t>e1462</t>
  </si>
  <si>
    <t>e1467</t>
  </si>
  <si>
    <t>10.1210/clinem/dgae154</t>
  </si>
  <si>
    <t>RF2Z9</t>
  </si>
  <si>
    <t>WOS:001205143100001</t>
  </si>
  <si>
    <t>Uchikov, P; Khalid, U; Kraev, K; Hristov, B; Kraeva, M; Tenchev, T; Chakarov, D; Sandeva, M; Dragusheva, S; Taneva, D; Batashki, A</t>
  </si>
  <si>
    <t>Uchikov, Petar; Khalid, Usman; Kraev, Krasimir; Hristov, Bozhidar; Kraeva, Maria; Tenchev, Tihomir; Chakarov, Dzhevdet; Sandeva, Milena; Dragusheva, Snezhanka; Taneva, Daniela; Batashki, Atanas</t>
  </si>
  <si>
    <t>Artificial Intelligence in the Diagnosis of Colorectal Cancer: A Literature Review</t>
  </si>
  <si>
    <t>artificial intelligence; colorectal cancer; diagnosis; autonomous learning; advanced neural software</t>
  </si>
  <si>
    <t>MICROSATELLITE INSTABILITY; PREDICTION; NETWORK; MODEL</t>
  </si>
  <si>
    <t>Background: The aim of this review is to explore the role of artificial intelligence in the diagnosis of colorectal cancer, how it impacts CRC morbidity and mortality, and why its role in clinical medicine is limited. Methods: A targeted, non-systematic review of the published literature relating to colorectal cancer diagnosis was performed with PubMed databases that were scouted to help provide a more defined understanding of the recent advances regarding artificial intelligence and their impact on colorectal-related morbidity and mortality. Articles were included if deemed relevant and including information associated with the keywords. Results: The advancements in artificial intelligence have been significant in facilitating an earlier diagnosis of CRC. In this review, we focused on evaluating genomic biomarkers, the integration of instruments with artificial intelligence, MR and hyperspectral imaging, and the architecture of neural networks. We found that these neural networks seem practical and yield positive results in initial testing. Furthermore, we explored the use of deep-learning-based majority voting methods, such as bag of words and PAHLI, in improving diagnostic accuracy in colorectal cancer detection. Alongside this, the autonomous and expansive learning ability of artificial intelligence, coupled with its ability to extract increasingly complex features from images or videos without human reliance, highlight its impact in the diagnostic sector. Despite this, as most of the research involves a small sample of patients, a diversification of patient data is needed to enhance cohort stratification for a more sensitive and specific neural model. We also examined the successful application of artificial intelligence in predicting microsatellite instability, showcasing its potential in stratifying patients for targeted therapies. Conclusions: Since its commencement in colorectal cancer, artificial intelligence has revealed a multitude of functionalities and augmentations in the diagnostic sector of CRC. Given its early implementation, its clinical application remains a fair way away, but with steady research dedicated to improving neural architecture and expanding its applicational range, there is hope that these advanced neural software could directly impact the early diagnosis of CRC. The true promise of artificial intelligence, extending beyond the medical sector, lies in its potential to significantly influence the future landscape of CRC's morbidity and mortality.</t>
  </si>
  <si>
    <t>[Uchikov, Petar; Tenchev, Tihomir; Batashki, Atanas] Med Univ Plovdiv, Fac Med, Dept Special Surg, Plovdiv 4002, Bulgaria; [Khalid, Usman] Med Univ Plovdiv, Fac Med, Plovdiv 4002, Bulgaria; [Kraev, Krasimir] Med Univ Plovdiv, Fac Med, Dept Propaedeut Internal Dis Prof Dr Anton Mitov, Plovdiv 4002, Bulgaria; [Hristov, Bozhidar] Med Univ Plovdiv, Med Fac, Dept Internal Dis 2, Sect Gastroenterol, Plovdiv 4002, Bulgaria; [Kraeva, Maria] Med Univ Plovdiv, Med Fac, Dept Otorhinolaryngol, Plovdiv 4002, Bulgaria; [Chakarov, Dzhevdet] Med Univ Plovdiv, Fac Med, Dept Propaedeut Surg Dis, Sect Gen Surg, Plovdiv 4002, Bulgaria; [Sandeva, Milena] Med Univ Plovdiv, Fac Publ Hlth, Dept Midwifery, Plovdiv 4000, Bulgaria; [Dragusheva, Snezhanka; Taneva, Daniela] Med Univ Plovdiv, Fac Publ Hlth, Dept Nursing Care, Plovdiv 4000, Bulgaria</t>
  </si>
  <si>
    <t>Medical University Plovdiv; Medical University Plovdiv; Medical University Plovdiv; Medical University Plovdiv; Medical University Plovdiv; Medical University Plovdiv; Medical University Plovdiv; Medical University Plovdiv</t>
  </si>
  <si>
    <t>Kraev, K (corresponding author), Med Univ Plovdiv, Fac Med, Dept Propaedeut Internal Dis Prof Dr Anton Mitov, Plovdiv 4002, Bulgaria.</t>
  </si>
  <si>
    <t>puchikov@yahoo.com; usmankhalid957@gmail.com; kkraev@hotmail.com; hristov.bozhidar@abv.bg; kraevamaria93@gmail.com; tihomir.tenchev88@gmail.com; dchakarov@mail.bg; sandewa@abv.bg; sdragusheva68@gmail.com; taneva.daniela@abv.bg; a_batashki@yahoo.com</t>
  </si>
  <si>
    <t>Kraev, Krasimir/AAU-7544-2020; Kraeva, Maria/LUY-6860-2024; Batashki, Atanas/KBB-1848-2024</t>
  </si>
  <si>
    <t>Kraev, Krasimir/0000-0002-1155-117X; Hristov, Bozhidar/0000-0002-2943-1766; Khalid, Usman/0009-0004-9425-2539; Taneva, Daniela/0000-0002-1278-1372; Batashki, Atanas/0000-0003-2958-353X</t>
  </si>
  <si>
    <t>10.3390/diagnostics14050528</t>
  </si>
  <si>
    <t>KV4J1</t>
  </si>
  <si>
    <t>WOS:001182721900001</t>
  </si>
  <si>
    <t>de Almeida, PGR; dos Santos, CD; Farias, JS</t>
  </si>
  <si>
    <t>de Almeida, Patricia Gomes Rego; dos Santos, Carlos Denner; Farias, Josivania Silva</t>
  </si>
  <si>
    <t>Artificial Intelligence Regulation: a framework for governance</t>
  </si>
  <si>
    <t>ETHICS AND INFORMATION TECHNOLOGY</t>
  </si>
  <si>
    <t>Ethics; Artificial Intelligence; Regulation; Governance; Framework</t>
  </si>
  <si>
    <t>ETHICAL DECISION-MAKING; AI; ROBOTS; SYSTEMS; LEGAL</t>
  </si>
  <si>
    <t>This article develops a conceptual framework for regulating Artificial Intelligence (AI) that encompasses all stages of modern public policy-making, from the basics to a sustainable governance. Based on a vast systematic review of the literature on Artificial Intelligence Regulation (AIR) published between 2010 and 2020, a dispersed body of knowledge loosely centred around the framework concept was organised, described, and pictured for better understanding. The resulting integrative framework encapsulates 21 prior depictions of the policy-making process, aiming to achieve gold-standard societal values, such as fairness, freedom and long-term sustainability. This challenge of integrating the AIR literature was matched by the identification of a structural common ground among different approaches. The AIR framework results from an effort to identify and later analytically deduce synthetic, and generic tool for a country-specific, stakeholder-aware analysis of AIR matters. Theories and principles as diverse as Agile and Ethics were combined in the AIR framework, which provides a conceptual lens for societies to think collectively and make informed policy decisions related to what, when, and how the uses and applications of AI should be regulated. Moreover, the AIR framework serves as a theoretically sound starting point for endeavours related to AI regulation, from legislation to research and development. As we know, the (potential) impacts of AI on society are immense, and therefore the discourses, social negotiations, and applications of this technology should be guided by common grounds based on contemporary governance techniques, and social values legitimated via dialogue and scientific research.</t>
  </si>
  <si>
    <t>[de Almeida, Patricia Gomes Rego; dos Santos, Carlos Denner; Farias, Josivania Silva] Univ Brasilia UnB, Dept Adm, Brasilia, DF, Brazil; [de Almeida, Patricia Gomes Rego] Chamber Deputies Brazil, Directorate Innovat &amp; Informat Technol, Brasilia, DF, Brazil; [dos Santos, Carlos Denner] Univ Quebec Montreal UQAM, LATECE, Montreal, PQ, Canada</t>
  </si>
  <si>
    <t>Universidade de Brasilia; University of Quebec; University of Quebec Montreal</t>
  </si>
  <si>
    <t>de Almeida, PGR (corresponding author), Univ Brasilia UnB, Dept Adm, Brasilia, DF, Brazil.;de Almeida, PGR (corresponding author), Chamber Deputies Brazil, Directorate Innovat &amp; Informat Technol, Brasilia, DF, Brazil.</t>
  </si>
  <si>
    <t>patricia.almeida@camara.leg.br; carlosdenner@unb.br; josivania@unb.br</t>
  </si>
  <si>
    <t>Almeida, Patricia/IVV-8325-2023; SILVA FARIAS, JOSIVANIA/F-8199-2015</t>
  </si>
  <si>
    <t>Santos, Carlos Denner dos/0000-0002-4481-0115; GOMES REGO DE ALMEIDA, PATRICIA/0000-0003-0187-8707; SILVA FARIAS, JOSIVANIA/0000-0002-1421-3280</t>
  </si>
  <si>
    <t>1388-1957</t>
  </si>
  <si>
    <t>1572-8439</t>
  </si>
  <si>
    <t>ETHICS INF TECHNOL</t>
  </si>
  <si>
    <t>Ethics Inf. Technol.</t>
  </si>
  <si>
    <t>10.1007/s10676-021-09593-z</t>
  </si>
  <si>
    <t>APR 2021</t>
  </si>
  <si>
    <t>Ethics; Information Science &amp; Library Science; Philosophy</t>
  </si>
  <si>
    <t>Social Sciences - Other Topics; Information Science &amp; Library Science; Philosophy</t>
  </si>
  <si>
    <t>XD7GP</t>
  </si>
  <si>
    <t>WOS:000642029700001</t>
  </si>
  <si>
    <t>Prats, EP; García, MEC</t>
  </si>
  <si>
    <t>Prats, Eloi Puertas; Garcia, Maria Elena Cano</t>
  </si>
  <si>
    <t>CAN ARTIFICIAL INTELLIGENCE HELP PROVIDE MORE SUSTAINABLE FEEDBACK?</t>
  </si>
  <si>
    <t>DIGITAL EDUCATION REVIEW</t>
  </si>
  <si>
    <t>Artificial Intelligence; Assessment; Feedback; Higher Education</t>
  </si>
  <si>
    <t>Peer assessment is a strategy wherein students evaluate the level, value, or quality of their peers' work within the same educational setting. Research has demonstrated that peer evaluation processes positively impact skill development and academic performance. By applying evaluation criteria to their peers' work and offering comments, corrections, and suggestions for improvement, students not only enhance their own work but also cultivate critical thinking skills. To effectively nurture students' role as evaluators, deliberate and structured opportunities for practice, along with training and guidance, are essential. Artificial Intelligence (AI) can offer a means to assess peer evaluations automatically, ensuring their quality and assisting students in executing assessments with precision. This approach allows educators to focus on evaluating student productions without necessitating specialized training in feedback evaluation. This paper presents the process developed to automate the assessment of feedback quality. Through the utilization of feedback fragments evaluated by researchers based on preestablished criteria, an Artificial Intelligence (AI) Large Language Model (LM) was trained to achieve automated evaluation. The findings show the similarity between human evaluation and automated evaluation, which allows expectations to be generated regarding the possibilities of AI for this purpose. The challenges and prospects of this process are discussed, along with recommendations for optimizing results.</t>
  </si>
  <si>
    <t>[Prats, Eloi Puertas] Univ Barcelona, Dept Matemat &amp; Informat, Barcelona, Spain; [Garcia, Maria Elena Cano] Univ Barcelona, Fac Educ, Barcelona, Spain</t>
  </si>
  <si>
    <t>University of Barcelona; University of Barcelona</t>
  </si>
  <si>
    <t>Prats, EP (corresponding author), Univ Barcelona, Dept Matemat &amp; Informat, Barcelona, Spain.</t>
  </si>
  <si>
    <t>epuertas@ub.edu; ecano@ub.edu</t>
  </si>
  <si>
    <t>Puertas Prats, Eloi/F-9425-2016; Cano, Elena/F-4082-2016</t>
  </si>
  <si>
    <t>Puertas Prats, Eloi/0000-0001-6292-6448; Cano, Elena/0000-0003-2866-5058</t>
  </si>
  <si>
    <t>UNIV BARCELONA, RES GROUP EDUC &amp; VIRTUAL LEARNING, DIGITAL EDUC OBSERVATORY</t>
  </si>
  <si>
    <t>BARCELONA</t>
  </si>
  <si>
    <t>PASSEIG DE LA VALL D HEBRON, 171, BARCELONA, 08035, SPAIN</t>
  </si>
  <si>
    <t>2013-9144</t>
  </si>
  <si>
    <t>DIGIT EDUC REV</t>
  </si>
  <si>
    <t>Digit. Educ. Rev.</t>
  </si>
  <si>
    <t>10.1344/der.2024.45.50-58</t>
  </si>
  <si>
    <t>YS4X5</t>
  </si>
  <si>
    <t>WOS:001270470900008</t>
  </si>
  <si>
    <t>Gontijo, MCA; de Araújo, RF</t>
  </si>
  <si>
    <t>Andrade Gontijo, Manilla Catarina; de Araujo, Ronaldo Ferreira</t>
  </si>
  <si>
    <t>Academic impact and on-line attention of papers on artificial intelligence in health field: bibliometric and altmetric analysis</t>
  </si>
  <si>
    <t>ENCONTROS BIBLI-REVISTA ELETRONICA DE BIBLIOTECONOMIA E CIENCIA DA INFORMACAO</t>
  </si>
  <si>
    <t>Altmetrics; Bibliometrics; Scientific production; Artificial intelligence; Health</t>
  </si>
  <si>
    <t>CITATIONS</t>
  </si>
  <si>
    <t>Objective: Artificial intelligence, as an interdisciplinary field, presents its literature in several areas of knowledge, and its applications offers important contributions for the scientific fields that it dedicates. This study aim is to analyze the scientific production on artificial intelligence in open access scientific articles in the health field and understand its indicators of impact. Methods: It is a descriptive, exploratory and quantitative research, that uses bibliometric and altmetric techniques in complementarity with the aim of ascertaining academic impact through citations data and the on-line attention through the mentions found in the sources of the Social Web. The production data and its metrics were obtained in consultation in Dimensions; and altmetric data retrieved via Altmetric Explorer. Results: In total, 3,121 articles published between 2014 and 2019 were analyzed. The temporal distribution shows increase, with 2019 showing the highest concentration of articles. The academic impact was considered moderate, 70.81% have citation data and, for the visibility, 61.93% presented altmetric data regarding the mentions in the sources of the Social Web. Citations are frequent in old articles and on-line attention is greater for recent publications. Social media as sources with a greater number of mentions, followed by news portals and blogs. Conclusions: It is considered that, by complementing traditional metric studies, such as bibliometrics and citations, altmetrics and its alternative indicators enable a broader understanding of the real impact caused by scientific productions.</t>
  </si>
  <si>
    <t>[Andrade Gontijo, Manilla Catarina] Univ Fed Minas Gerais, Escola Ciencia Informacao, Gestao &amp; Org Conhecimento, Belo Horizonte, MG, Brazil; [de Araujo, Ronaldo Ferreira] Univ Fed Minas Gerais, Escola Ciencia Informacao, Ciencia Informacao, Belo Horizonte, MG, Brazil</t>
  </si>
  <si>
    <t>Universidade Federal de Minas Gerais; Universidade Federal de Minas Gerais</t>
  </si>
  <si>
    <t>Gontijo, MCA (corresponding author), Univ Fed Minas Gerais, Escola Ciencia Informacao, Gestao &amp; Org Conhecimento, Belo Horizonte, MG, Brazil.</t>
  </si>
  <si>
    <t>mariliacgontijo@gmail.com; ronaldo.araujo@ichca.ufal.br</t>
  </si>
  <si>
    <t>UNIV FEDERAL SANTA CATARINA</t>
  </si>
  <si>
    <t>FLORIANOPOLIS</t>
  </si>
  <si>
    <t>CAMPUS UNIVERSITARIO REITOR JOAO DAVID FERREIRA LIMA, FLORIANOPOLIS, SC 88010-970, BRAZIL</t>
  </si>
  <si>
    <t>1518-2924</t>
  </si>
  <si>
    <t>ENCONTROS BIBLI</t>
  </si>
  <si>
    <t>Encontros Bibli</t>
  </si>
  <si>
    <t>e76249</t>
  </si>
  <si>
    <t>10.5007/1518-2924.2021.e76249</t>
  </si>
  <si>
    <t>WG9ZX</t>
  </si>
  <si>
    <t>WOS:000707350300009</t>
  </si>
  <si>
    <t>Sharifi, A; Ahmadi, M; Ala, A</t>
  </si>
  <si>
    <t>Sharifi, Abbas; Ahmadi, Mohsen; Ala, Ali</t>
  </si>
  <si>
    <t>The impact of artificial intelligence and digital style on industry and energy post-COVID-19 pandemic</t>
  </si>
  <si>
    <t>Artificial intelligence; Digital style; Energy; Industries; COVID-19 pandemic</t>
  </si>
  <si>
    <t>COVID-19; TECHNOLOGY</t>
  </si>
  <si>
    <t>The SARS-CoV-2 virus caused crises in social, economic, and energy areas and medical life worldwide throughout 2020. This crisis had many direct and indirect effects on all areas of society. In the meantime, the digital and artificial intelligence industry can be used as a professional assistant to manage and control the outbreak of the virus. The present article's objective is to investigate the effects of COVID-19 on each of the various fields of medicine, industry, and energy. What sets this article apart is studying the impact of artificial intelligence and digital style on reducing the damage of this fatal virus. Energy and related industries are of the areas affected by the SARS-CoV-2 virus. The most exciting approach in this article is to encourage countries with economies based on non-renewable energy to develop solar and wind energies. Renewable energies can operate well in the event of another phenomenon such as COVID-19 and reduce the virus's destructive effects and lead to economic prosperity.</t>
  </si>
  <si>
    <t>[Sharifi, Abbas] Urmia Univ Technol UUT, Dept Mech Engn, Orumiyeh, Iran; [Ahmadi, Mohsen] Urmia Univ Technol UUT, Dept Ind Engn, Orumiyeh, Iran; [Ala, Ali] Shanghai Jiao Tong Univ, Dept Ind Engn &amp; Management, Shanghai, Peoples R China</t>
  </si>
  <si>
    <t>Urmia University of Technology; Urmia University of Technology; Shanghai Jiao Tong University</t>
  </si>
  <si>
    <t>Sharifi, A (corresponding author), Urmia Univ Technol UUT, Dept Mech Engn, Orumiyeh, Iran.</t>
  </si>
  <si>
    <t>Abbas.Sharifi@mee.uut.ac.ir</t>
  </si>
  <si>
    <t>Sharifi, Abbas/O-8093-2016; Ahmadi, Mohsen/U-5376-2019; Sharifi, Abbas/M-5679-2019</t>
  </si>
  <si>
    <t>Ahmadi, Mohsen/0000-0003-1550-110X; Ala, Ali/0000-0003-4552-4732; Sharifi, Abbas/0000-0002-2915-2740</t>
  </si>
  <si>
    <t>10.1007/s11356-021-15292-5</t>
  </si>
  <si>
    <t>UE9IL</t>
  </si>
  <si>
    <t>WOS:000673205200003</t>
  </si>
  <si>
    <t>Shukla, S; Lakhmani, A; Agarwal, AK</t>
  </si>
  <si>
    <t>Shukla, Shruti; Lakhmani, Ashish; Agarwal, Ambuj Kumar</t>
  </si>
  <si>
    <t>APPROACHES OF ARTIFICIAL INTELLIGENCE IN BIOMEDICAL IMAGE PROCESSING</t>
  </si>
  <si>
    <t>2016 INTERNATIONAL CONFERENCE ON ADVANCES IN COMPUTING, COMMUNICATION AND AUTOMATION (ICACCA 2016)</t>
  </si>
  <si>
    <t>IEEE International Conference on Advances in Computing, Communication and Automation (ICACCA)</t>
  </si>
  <si>
    <t>APR 08-09, 2016</t>
  </si>
  <si>
    <t>Tulas Inst, Engn &amp; Management Coll, Dehradun, INDIA</t>
  </si>
  <si>
    <t>IEEE,IEEE UP Sect</t>
  </si>
  <si>
    <t>Tulas Inst, Engn &amp; Management Coll</t>
  </si>
  <si>
    <t>Artificial intelligence; fuzzy logic; medical imaging; medical tools; neural networks; segmentation methods</t>
  </si>
  <si>
    <t>Artificial Intelligence or AI is a subfield of computer science, which can be defined as the intelligence exhibited by a machine or a software having a remarkable impact on the field of biology and medicine. Imaging, on the other hand has become an essential component of many fields in medicine, biomedical applications, biotechnology and laboratory research by which images are processed and analysed. Putting together AI and imaging, the tools and techniques of artificial intelligence are useful for solving many biomedical problems and using a computer based equipped hardware software application for understanding images, researchers and clinicians can enhance their ability to study, diagnose, monitor, understand and treat medical disorders. Therefore the main idea behind this research paper is to focus on understanding the artificial intelligence, its concepts and various models available for the segmentation(or classification) of medical images, its applications, advantages and disadvantages and results and more.</t>
  </si>
  <si>
    <t>[Shukla, Shruti] Babu Banarsi Das Northern India Engn Coll, Dept Biomed Engn, Faizabad Rd, Lucknow 226028, Uttar Pradesh, India; [Lakhmani, Ashish] Babu Banarsi Das Natl Inst Technol &amp; Management, Dept Comp Sci Engn, Faizabad Rd, Lucknow 226028, Uttar Pradesh, India; [Agarwal, Ambuj Kumar] Teerthankar Mahaveer Univ, Coll Comp Sci &amp; Informat Technol, Moradabad, India</t>
  </si>
  <si>
    <t>Teerthanker Mahaveer University</t>
  </si>
  <si>
    <t>Shukla, S (corresponding author), Babu Banarsi Das Northern India Engn Coll, Dept Biomed Engn, Faizabad Rd, Lucknow 226028, Uttar Pradesh, India.</t>
  </si>
  <si>
    <t>shrutishukla.281290@gmail.com; ashishlakhmani@hotmail.com; ambuj4u@gmail.com</t>
  </si>
  <si>
    <t>AGARWAL, AMBUJ/E-5653-2019; shukla, shruti/GXG-7547-2022</t>
  </si>
  <si>
    <t>AGARWAL, AMBUJ/0000-0001-5181-5750</t>
  </si>
  <si>
    <t>978-1-5090-0673-1</t>
  </si>
  <si>
    <t>Automation &amp; Control Systems; Computer Science, Interdisciplinary Applications</t>
  </si>
  <si>
    <t>Automation &amp; Control Systems; Computer Science</t>
  </si>
  <si>
    <t>BG7DT</t>
  </si>
  <si>
    <t>WOS:000391239500049</t>
  </si>
  <si>
    <t>Fortune-Ely, M; Achanta, M; Song, MSH</t>
  </si>
  <si>
    <t>Fortune-Ely, Mariella; Achanta, Mohit; Song, Marie S. H.</t>
  </si>
  <si>
    <t>The future of artificial intelligence in facial plastic surgery</t>
  </si>
  <si>
    <t>JPRAS OPEN</t>
  </si>
  <si>
    <t>Facial plastic surgery; Artificial intelligence; Machine learning</t>
  </si>
  <si>
    <t>The role of artificial intelligence is emergent in facial plastic surgery. It offers specialists a potentially precise and efficient method of understanding our technical skills and pathways, and their impacts on patient outcomes and error rates. Algorithms have given life to personalised pre-operative assessment, surgical planning and outcome simulation, and post-operative monitoring. Despite these benefits, limitations at this time include the ethical acquisition of large datasets, biases produced by human input and trust in novel technologies. Careful consideration should be given to the role artificial intelligence may play in shaping the patientsurgeon relationship in the near future. (c) 2023 The Authors. Published by Elsevier Ltd on behalf of British Association of Plastic, Reconstructive and Aesthetic Surgeons. This is an open access article under the CC BY-NC-ND license ( http://creativecommons.org/licenses/by-nc-nd/4.0/ )</t>
  </si>
  <si>
    <t>[Fortune-Ely, Mariella; Achanta, Mohit] Imperial Coll Healthcare NHS Trust, Charing Cross Hosp, Dept Otolaryngol &amp; Head &amp; Neck Surg, Fulham Palace Rd, London W6 8RF, England; [Song, Marie S. H.] Guys &amp; St Thomas NHS Fdn Trust, St Thomas Hosp, Westminster Bridge Rd, London SE1 7EH, England</t>
  </si>
  <si>
    <t>Imperial College London; Guy's &amp; St Thomas' NHS Foundation Trust</t>
  </si>
  <si>
    <t>Fortune-Ely, M (corresponding author), Imperial Coll Healthcare NHS Trust, Charing Cross Hosp, Dept Otolaryngol &amp; Head &amp; Neck Surg, Fulham Palace Rd, London W6 8RF, England.</t>
  </si>
  <si>
    <t>m.fortune-ely@nhs.net</t>
  </si>
  <si>
    <t>Fortune-Ely, Mariella/0000-0002-1425-762X</t>
  </si>
  <si>
    <t>2352-5878</t>
  </si>
  <si>
    <t>JPRAS Open</t>
  </si>
  <si>
    <t>10.1016/j.jpra.2023.11.016</t>
  </si>
  <si>
    <t>EL2U1</t>
  </si>
  <si>
    <t>WOS:001139023800001</t>
  </si>
  <si>
    <t>Chong, YW; Villanueva-Libunao, K; Chee, SY; Alvarez, MJ; Yau, KLA; Keoh, SL</t>
  </si>
  <si>
    <t>Chong, Yung-Wey; Villanueva-Libunao, Kris; Chee, Su-Yin; Alvarez, Mary Jane; Yau, Kok-Lim Alvin; Keoh, Sye Loong</t>
  </si>
  <si>
    <t>Artificial Intelligence Policies to Enhance Urban Mobility in Southeast Asia</t>
  </si>
  <si>
    <t>FRONTIERS IN SUSTAINABLE CITIES</t>
  </si>
  <si>
    <t>artificial intelligence policy; urban mobility; implementation; sustainable cities; strategies</t>
  </si>
  <si>
    <t>Artificial intelligence (AI) is a powerful tool for technological progress with profound impacts on governments, industries, universities, and societies. In Southeast Asia, AI has presented both opportunities and challenges. Local governments are increasingly experimenting and piloting AI technology to create smart, sustainable, and inclusive cities. Nevertheless, the adoption of artificial intelligence in cities requires proper planning, management, and implementation. Consequently, there is a need for a concerted effort to establish collaboration between industries, governments, academics, and societies in Southeast Asia. This policy brief aims to provide an overview of how artificial intelligence can be implemented to enhance urban mobility in Southeast Asia. To maximize the relevance of the policy brief, experts from various fields have been consulted in its preparation.</t>
  </si>
  <si>
    <t>[Chong, Yung-Wey] Univ Sains Malaysia, Natl Adv Ctr IPv6, George Town, Malaysia; [Villanueva-Libunao, Kris] SmartCitiesPh Inc, Manila, Philippines; [Chee, Su-Yin] Univ Sains Malaysia, Ctr Marine &amp; Coastal Studies, George Town, Malaysia; [Chee, Su-Yin] Univ Sains Malaysia, Ctr Global Sustainabil Studies, George Town, Malaysia; [Alvarez, Mary Jane] Local Govt Sustainabil ICLEI South East Asia, Manila, Philippines; [Yau, Kok-Lim Alvin] Univ Tunku Abdul Rahman UTAR, Lee Kong Chian Fac Engn &amp; Sci LKCFES, Petaling, Selangor, Malaysia; [Keoh, Sye Loong] Univ Glasgow, Sch Comp Sci, Glasgow City, Scotland</t>
  </si>
  <si>
    <t>Universiti Sains Malaysia; Universiti Sains Malaysia; Universiti Sains Malaysia; University of Glasgow</t>
  </si>
  <si>
    <t>Chong, YW (corresponding author), Univ Sains Malaysia, Natl Adv Ctr IPv6, George Town, Malaysia.</t>
  </si>
  <si>
    <t>chong@usm.my</t>
  </si>
  <si>
    <t>Keoh, Sye/ABH-1430-2020; Yau, Kok/AFO-7004-2022; Chong, Yung-Wey/N-4638-2017; Yau, Kok Lim/B-1672-2012</t>
  </si>
  <si>
    <t>Yau, Kok Lim/0000-0003-3110-2782</t>
  </si>
  <si>
    <t>Royal Academy of Engineering (UK) - Frontiers' Champion Award [FC-2021-1-11, 304/PNAV/6501131/R125]; University of Glasgow, Singapore</t>
  </si>
  <si>
    <t>Royal Academy of Engineering (UK) - Frontiers' Champion Award; University of Glasgow, Singapore</t>
  </si>
  <si>
    <t>This work was supported in part by the Royal Academy of Engineering (UK) under Frontiers' Champion Award FC-2021-1-11 (304/PNAV/6501131/R125) and publication fund of the University of Glasgow, Singapore.</t>
  </si>
  <si>
    <t>2624-9634</t>
  </si>
  <si>
    <t>FRONT SUSTAIN CITIES</t>
  </si>
  <si>
    <t>Front. Sustain. Cities</t>
  </si>
  <si>
    <t>MAR 11</t>
  </si>
  <si>
    <t>10.3389/frsc.2022.824391</t>
  </si>
  <si>
    <t>Green &amp; Sustainable Science &amp; Technology; Environmental Sciences; Environmental Studies; Urban Studies</t>
  </si>
  <si>
    <t>Science &amp; Technology - Other Topics; Environmental Sciences &amp; Ecology; Urban Studies</t>
  </si>
  <si>
    <t>7V8JA</t>
  </si>
  <si>
    <t>Green Accepted, gold</t>
  </si>
  <si>
    <t>WOS:000913057600001</t>
  </si>
  <si>
    <t>Doherty, M; Esmaeili, B</t>
  </si>
  <si>
    <t>Doherty, Mike; Esmaeili, Behzad</t>
  </si>
  <si>
    <t>APPLICATION OF ARTIFICIAL INTELLIGENCE IN ELECTRICAL SAFETY</t>
  </si>
  <si>
    <t>2020 IEEE IAS ELECTRICAL SAFETY WORKSHOP (ESW)</t>
  </si>
  <si>
    <t>IEEE IAS Electrical Safety Workshop</t>
  </si>
  <si>
    <t>IEEE-Industry-Applications-Society (IAS) Electrical Safety Workshop (ESW)</t>
  </si>
  <si>
    <t>MAR 02-06, 2020</t>
  </si>
  <si>
    <t>Reno, NV</t>
  </si>
  <si>
    <t>IEEE Ind Applicat Soc</t>
  </si>
  <si>
    <t>Artificial Intelligence (AI); Machine Learning; Data Mining</t>
  </si>
  <si>
    <t>COMPUTER VISION; CIVIL INFRASTRUCTURE; DECISION; RISK</t>
  </si>
  <si>
    <t>As artificial intelligence (AI) becomes more sophisticated in imitating human cognitive processes (e.g., problem solving, object detection, and learning), it has transformed several industry sectors and has had a growing impact on the way construction projects are delivered. One of the areas that has great potential to advance breakthroughs for innovative improvements is in electrical safety. Data generated from images captured from mobile devices, unmanned aerial vehicles, wearable sensors, building information modeling (BIM), and others present an opportunity for construction safety professionals and in many other sectors to analyze and benefit from the insights generated from the data using AI, machine learning and deep learning systems. For example, AI-based algorithms can be used to scan images from jobsites for safety hazards, such as workers not wearing protective equipment, and correlate the images with accident records; identify unsafe worker behavior and suggest training and education priorities; or track the real-time interactions of workers, machinery, and objects on the site and alert supervisors of potential safety issues. Using AI to execute the existing Shock and Arc Flash Risk Assessment Procedure templates from CSA Z462 and NFPA 70E as real-world scenarios and the potential ethical factors from the workers perspectives will also be discussed. Considering AI's immense potential, this study aims to synthesize emerging trends of artificial intelligence in electrical safety.</t>
  </si>
  <si>
    <t>[Doherty, Mike] eHazard, Oshawa, ON, Canada; [Esmaeili, Behzad] George Mason Univ, Fairfax, VA 22030 USA</t>
  </si>
  <si>
    <t>George Mason University</t>
  </si>
  <si>
    <t>Doherty, M (corresponding author), eHazard, Oshawa, ON, Canada.</t>
  </si>
  <si>
    <t>mike.doherty@e-hazard.com; besmaeil@gmu.edu</t>
  </si>
  <si>
    <t>Esmaeili, Behzad/0000-0003-3858-1843</t>
  </si>
  <si>
    <t>2326-3288</t>
  </si>
  <si>
    <t>978-1-7281-6438-0</t>
  </si>
  <si>
    <t>IEEE IAS ELECTR SAFE</t>
  </si>
  <si>
    <t>10.1109/esw42757.2020.9188324</t>
  </si>
  <si>
    <t>BS1TN</t>
  </si>
  <si>
    <t>WOS:000696157100016</t>
  </si>
  <si>
    <t>Santos, JC; Wong, JHD; Pallath, V; Ng, KH</t>
  </si>
  <si>
    <t>Santos, Josilene C.; Wong, Jeannie Hsiu Ding; Pallath, Vinod; Ng, Kwan Hoong</t>
  </si>
  <si>
    <t>The perceptions of medical physicists towards relevance and impact of artificial intelligence</t>
  </si>
  <si>
    <t>PHYSICAL AND ENGINEERING SCIENCES IN MEDICINE</t>
  </si>
  <si>
    <t>Artificial intelligence; Perception; Medical physics; Educational training; Clinical practice</t>
  </si>
  <si>
    <t>Artificial intelligence (AI) is an innovative tool with the potential to impact medical physicists' clinical practices, research, and the profession. The relevance of AI and its impact on the clinical practice and routine of professionals in medical physics were evaluated by medical physicists and researchers in this field. An online survey questionnaire was designed for distribution to professionals and students in medical physics around the world. In addition to demographics questions, we surveyed opinions on the role of AI in medical physicists' practices, the possibility of AI threatening/disrupting the medical physicists' practices and career, the need for medical physicists to acquire knowledge on AI, and the need for teaching AI in postgraduate medical physics programmes. The level of knowledge of medical physicists on AI was also consulted. A total of 1019 respondents from 94 countries participated. More than 85% of the respondents agreed that AI would play an essential role in medical physicists' practices. AI should be taught in the postgraduate medical physics programmes, and that more applications such as quality control (QC), treatment planning would be performed by AI. Half of the respondents thought AI would not threaten/disrupt the medical physicists' practices. AI knowledge was mainly acquired through self-taught and work-related activities. Nonetheless, many (40%) reported that they have no skill in AI. The general perception of medical physicists was that AI is here to stay, influencing our practices. Medical physicists should be prepared with education and training for this new reality.</t>
  </si>
  <si>
    <t>[Santos, Josilene C.] Univ Fed Rio de Janeiro, Dept Nucl Phys, Rio De Janeiro, Brazil; [Wong, Jeannie Hsiu Ding; Ng, Kwan Hoong] Univ Malaya, Fac Med, Dept Biomed Imaging, Kuala Lumpur, Malaysia; [Pallath, Vinod] Univ Malaya, Fac Med, Med Educ &amp; Res Dev Unit, Kuala Lumpur, Malaysia</t>
  </si>
  <si>
    <t>Universidade Federal do Rio de Janeiro; Universiti Malaya; Universiti Malaya</t>
  </si>
  <si>
    <t>Wong, JHD (corresponding author), Univ Malaya, Fac Med, Dept Biomed Imaging, Kuala Lumpur, Malaysia.</t>
  </si>
  <si>
    <t>jeannie_wong80@um.edu.my</t>
  </si>
  <si>
    <t>Pallath, Vinod/K-1882-2016; WONG, JEANNIE HSIU DING/B-8705-2010</t>
  </si>
  <si>
    <t>Pallath, Vinod/0000-0001-6414-7552; WONG, JEANNIE HSIU DING/0000-0001-8080-1294; Santos, Josilene/0000-0002-0139-2208</t>
  </si>
  <si>
    <t>2662-4729</t>
  </si>
  <si>
    <t>2662-4737</t>
  </si>
  <si>
    <t>PHYS ENG SCI MED</t>
  </si>
  <si>
    <t>Phys. Eng. Sci. Med.</t>
  </si>
  <si>
    <t>10.1007/s13246-021-01036-9</t>
  </si>
  <si>
    <t>Engineering, Biomedical; Radiology, Nuclear Medicine &amp; Medical Imaging</t>
  </si>
  <si>
    <t>Engineering; Radiology, Nuclear Medicine &amp; Medical Imaging</t>
  </si>
  <si>
    <t>UL7JD</t>
  </si>
  <si>
    <t>WOS:000675064100001</t>
  </si>
  <si>
    <t>Leong, WY; Leong, YZ; Leong, WS</t>
  </si>
  <si>
    <t>Leong, Wai Yie; Leong, Yuan Zhi; Leong, Wai San</t>
  </si>
  <si>
    <t>The Intersection of Scammers and Artificial Intelligence</t>
  </si>
  <si>
    <t>2024 11TH INTERNATIONAL CONFERENCE ON CONSUMER ELECTRONICS-TAIWAN, ICCE-TAIWAN 2024</t>
  </si>
  <si>
    <t>IEEE International Conference on Consumer Electronics-Taiwan</t>
  </si>
  <si>
    <t>11th IEEE International Conference on Consumer Electronics - Taiwan (ICCE-Taiwan) - Empower of Innovative Consumer Technology</t>
  </si>
  <si>
    <t>JUL 09-11, 2024</t>
  </si>
  <si>
    <t>Taichung, TAIWAN</t>
  </si>
  <si>
    <t>Artificial Intelligence; scammer; industrial growth; fraudulent activities</t>
  </si>
  <si>
    <t>DESIGN</t>
  </si>
  <si>
    <t>The proliferation of Artificial Intelligence (AI) technology has revolutionized various aspects of our lives, including how scammers operate and perpetrate fraudulent activities. This paper explores the complex relationship between scammers and AI, highlighting the challenges posed by AI-driven scams and the opportunities for leveraging AI to combat fraudulent behavior. Through an analysis of automated scamming techniques, such as fake content generation and social engineering, as well as AI-powered detection and prevention strategies, this paper provides insights into the evolving landscape of online fraud. Furthermore, it discusses the role of education, awareness, and regulatory measures in mitigating the impact of scammers leveraging AI.</t>
  </si>
  <si>
    <t>[Leong, Wai Yie] INTI Int Univ, Persiaran Perdana BBN Putra Nilai, Nilai 71800, Negeri Sembilan, Malaysia; [Leong, Yuan Zhi; Leong, Wai San] Schneider Elect Singapore Pte Ltd, 50 Kallang Ave,Schneider Elect Bldg, Singapore 339505, Singapore</t>
  </si>
  <si>
    <t>INTI International University</t>
  </si>
  <si>
    <t>Leong, WY (corresponding author), INTI Int Univ, Persiaran Perdana BBN Putra Nilai, Nilai 71800, Negeri Sembilan, Malaysia.</t>
  </si>
  <si>
    <t>waiyie.leong@newinti.edu.my; yuan-zhi.leong@se.com; iet.industry4@gmail.com</t>
  </si>
  <si>
    <t>2575-8276</t>
  </si>
  <si>
    <t>979-8-3503-8685-1; 979-8-3503-8684-4</t>
  </si>
  <si>
    <t>IEEE INT C ELECTR TA</t>
  </si>
  <si>
    <t>BX7PA</t>
  </si>
  <si>
    <t>WOS:001324532300270</t>
  </si>
  <si>
    <t>Çerçi, ÜÖ</t>
  </si>
  <si>
    <t>Cerci, Ummu Ozlem</t>
  </si>
  <si>
    <t>An Innovative Communication Paradigm for the Future of Public Relations: Artificial Intelligence</t>
  </si>
  <si>
    <t>TURKIYE ILETISIM ARASTIRMALARI DERGISI-TURKISH REVIEW OF COMMUNICATION STUDIES</t>
  </si>
  <si>
    <t>Artificial Intelligence; Public Relations; Communication; Innovative Strategies; Paradigm</t>
  </si>
  <si>
    <t>This article examines the role of artificial intelligence, an innovative communication paradigm for the future of public relations. Artificial intelligence stands out as a factor that leads to significant changes and transformations in the communications industry. This article extensivelyexamines how artificial intelligence, utilized to optimize information processing, data analysis, and decision-making processes, can have a transformative impact within the field of public relations. The article focuses on how artificial intelligence changes and improves public relations practices in areas such as media monitoring, crisis management, reputation management, customer relationship management and content production. It also focuses on the potential of AI to help develop better targeting and communication strategies, with particular emphasis on its data analysis and predictive capabilities. This article provides a comprehensive evaluation that will help public relations professionals, businesses and communications industry stakeholders understand the potential of artificial intelligence technology. It also addresses future communications trends and current and potential questions regarding the ethical dimension of artificial intelligence, offering guidance on how public relations can be integrated with this innovative technology.</t>
  </si>
  <si>
    <t>[Cerci, Ummu Ozlem] Selcuk Univ, Silifke Tasucu Vocat Sch Higher Educ, Mersin, Turkiye</t>
  </si>
  <si>
    <t>Selcuk University</t>
  </si>
  <si>
    <t>Çerçi, ÜÖ (corresponding author), Selcuk Univ, Silifke Tasucu Vocat Sch Higher Educ, Mersin, Turkiye.</t>
  </si>
  <si>
    <t>ozlemcerci@selcuk.edu.tr</t>
  </si>
  <si>
    <t>MARMARA UNIV, FAC COMMUNICATION</t>
  </si>
  <si>
    <t>NISANTASI CAMPUS COMMUNICATION FAC, BUYUKCIFTLIK ST NO 6 NISANTASI, SISLI, ISTANBUL, 34365, Turkiye</t>
  </si>
  <si>
    <t>2630-6220</t>
  </si>
  <si>
    <t>TURK ILET ARASTIRMAL</t>
  </si>
  <si>
    <t>Turk. Ilet. Arastirmalari</t>
  </si>
  <si>
    <t>e128</t>
  </si>
  <si>
    <t>e147</t>
  </si>
  <si>
    <t>10.17829/turcom.1360264</t>
  </si>
  <si>
    <t>P3C3H</t>
  </si>
  <si>
    <t>WOS:001376727800007</t>
  </si>
  <si>
    <t>Chen, MY; Wang, ST; Wang, XW</t>
  </si>
  <si>
    <t>Chen, Mingyue; Wang, Shuting; Wang, Xiaowen</t>
  </si>
  <si>
    <t>How Does Artificial Intelligence Impact Green Development? Evidence from China</t>
  </si>
  <si>
    <t>artificial intelligence; green development; nonlinearity; spatial spillover; green technological innovation; sustainable development</t>
  </si>
  <si>
    <t>INDUSTRIAL-STRUCTURE; EMPIRICAL-EVIDENCE; ECONOMIC-GROWTH; ENERGY SECTOR; TECHNOLOGY; EFFICIENCY; PRODUCTIVITY; INNOVATION; INFORMATION; INTERNET</t>
  </si>
  <si>
    <t>Artificial intelligence not only changes the production methods of traditional industries but also provides an important opportunity to decouple industrial development from environmental degradation and promote green economic growth. In order to further explore the green value of AI, this paper constructs an indicator of industrial robot penetration at the regional level, based on the idea of Bartik's instrumental variable, and measures green development efficiency using the improved Super-SBM model. Based on a comprehensive explanation of the influence mechanism, a spatial measurement model and mediating effect model are constructed to test the spatial spillover effect and transmission mechanism between AI and green development. This study shows that (1) there is a significant inverted U shape in the impact of AI on green development; (2) the heterogeneity analysis finds that the structural dividend of AI is more obvious in capital-intensive and technology-intensive areas, which can more fully release its empowering effect on green development; (3) AI can not only directly affect green development but also indirectly affect green development by promoting green technology innovation and optimizing industrial structures, etc.; (4) AI has a significant inverted U-shaped spatial spillover effect on green development, and the development of local AI has a radiation-driven effect on the green development performance of its spatially related areas. The research methodology of this paper can be used for future research, and the results could provide support for the formulation of regional AI applications and green development policies.</t>
  </si>
  <si>
    <t>[Chen, Mingyue; Wang, Shuting; Wang, Xiaowen] Lanzhou Univ, Sch Econ, Lanzhou 730000, Peoples R China</t>
  </si>
  <si>
    <t>Lanzhou University</t>
  </si>
  <si>
    <t>Wang, XW (corresponding author), Lanzhou Univ, Sch Econ, Lanzhou 730000, Peoples R China.</t>
  </si>
  <si>
    <t>chenmy2021@lzu.edu.cn; shtwang21@lzu.edu.cn; wxwen@lzu.edu.cn</t>
  </si>
  <si>
    <t>Wang, Shuting/HQY-9992-2023; chen, mingyue/IUO-4649-2023</t>
  </si>
  <si>
    <t>Key Research and Development Plan of Gansu Province Science and Technology Plan 2020</t>
  </si>
  <si>
    <t>10.3390/su16031260</t>
  </si>
  <si>
    <t>HJ2K2</t>
  </si>
  <si>
    <t>WOS:001159064900001</t>
  </si>
  <si>
    <t>Andrade-Hidalgo, G; Mio-Cango, P; Iparraguirre-Villanueva, O</t>
  </si>
  <si>
    <t>Andrade-Hidalgo, Gabriel; Mio-Cango, Pedro; Iparraguirre-Villanueva, Orlando</t>
  </si>
  <si>
    <t>Exploring the Impact of Artificial Intelligence on Research Ethics - A Systematic Review</t>
  </si>
  <si>
    <t>JOURNAL OF ACADEMIC ETHICS</t>
  </si>
  <si>
    <t>Review; Early Access</t>
  </si>
  <si>
    <t>Artificial intelligence; Plagiarism; Ethics; Article; Writing</t>
  </si>
  <si>
    <t>AI; STUDENTS; CHATGPT; WEB</t>
  </si>
  <si>
    <t>The rapid advancement of artificial intelligence (AI) has profoundly transformed many people's lives, ChatGPT being a clear example, whose capabilities have substantially influenced the automation of tasks such as writing texts and providing information sources for researchers. This review article aims to understand the impact of AI on academic writing and why its use can be considered plagiarism. The Prism method was used to analyze the studies, which initially totaled 824, and after excluding them for duplicity and by title, a total of 137 were left, of which we proceeded to review those that were open access and those that were related to the study, obtaining a total of 54 manuscripts closely related to the research topic; the results were then segmented into three questions, What are the text-matching tools that help to identify the use of AI in article writing?, What strategies are used to regulate the use of AI in writing scientific articles? and What techniques are used to detect AI-generated text?, which were key to comparing the results of the review with the findings of the authors belonging to the literature review. The results showed that, from 2022 onwards, AI became a recurring topic among researchers in China and the United States, allowing the emergence of popular techniques and software such as Turnitin or GPTZero to identify when these linguistic models were used in writing tasks, as well as strategies to regulate their use in controlled environments. In the end, it was concluded that there is a fine line between ethics and abuse of AI capabilities, and further research and study of different techniques is recommended to recognize when these tools are blatantly used.</t>
  </si>
  <si>
    <t>[Andrade-Hidalgo, Gabriel; Mio-Cango, Pedro; Iparraguirre-Villanueva, Orlando] Univ Tecnol Peru, Fac Ingn, Lima, Peru</t>
  </si>
  <si>
    <t>Universidad Tecnologica del Peru</t>
  </si>
  <si>
    <t>Iparraguirre-Villanueva, O (corresponding author), Univ Tecnol Peru, Fac Ingn, Lima, Peru.</t>
  </si>
  <si>
    <t>oiparraguirre@ieee.org</t>
  </si>
  <si>
    <t>Iparraguirre, Orlando/AGP-1255-2022</t>
  </si>
  <si>
    <t>Iparraguirre Villanueva, Orlando C./0000-0001-8185-2034; Mio Cango, Pedro Giancarlos/0009-0008-3749-4805; Andrade Hidalgo, Gabriel Joaquin/0009-0002-4464-0504</t>
  </si>
  <si>
    <t>1570-1727</t>
  </si>
  <si>
    <t>1572-8544</t>
  </si>
  <si>
    <t>J ACAD ETHICS</t>
  </si>
  <si>
    <t>J. Acad. Ethics</t>
  </si>
  <si>
    <t>2024 OCT 23</t>
  </si>
  <si>
    <t>10.1007/s10805-024-09579-8</t>
  </si>
  <si>
    <t>J6I2H</t>
  </si>
  <si>
    <t>WOS:001338076300001</t>
  </si>
  <si>
    <t>Varsha, PS; Akter, S; Kumar, A; Gochhait, S; Patagundi, B</t>
  </si>
  <si>
    <t>Varsha, P. S.; Akter, Shahriar; Kumar, Amit; Gochhait, Saikat; Patagundi, Basanna</t>
  </si>
  <si>
    <t>The Impact of Artificial Intelligence on Branding: A Bibliometric Analysis (1982-2019)</t>
  </si>
  <si>
    <t>JOURNAL OF GLOBAL INFORMATION MANAGEMENT</t>
  </si>
  <si>
    <t>Artificial Intelligence; Bibliometric Analysis; Branding; Chatbot; Neural Network; VOS Viewer</t>
  </si>
  <si>
    <t>SOCIAL-MEDIA; NEURAL-NETWORKS; BIG DATA; BUSINESS; CHAIN; INDUSTRY; USER; AI; ENVIRONMENTS; MOTIVATIONS</t>
  </si>
  <si>
    <t>Understanding the growth paths of artificial intelligence (AI) and its impact on branding is extremely pertinent of technology-driven marketing. This explorative research covers a complete bibliometric analysis of the impact of AI on branding. The sample for this research included all 117 articles from the period of 1982-2019 in the Scopus database. A bibliometric study was conducted using co-occurrence, citation analysis and co-citation analysis. The empirical analysis investigates the value propositions of AI on branding. The study revealed the nine clusters of co-occurrence: Social Media Analytics and Brand Equity; Neural Networks and Brand Choice; Chat Bots-Brand Intimacy; Twitter, Facebook, Instagram-Luxury Brands; Interactive Agent-Brand Love and User Choice; Algorithm Recommendations and E-Brand Experience; User-Generated Content-Brand Sustainability; Brand Intelligence Analytics; and Digital Innovations and Brand Excellence. The findings also identify four clusters of citation analysis-Social Media Analysis and Brand Photos, Network Analysis and E-Commerce, Hybrid Simulating Modelling, and Real-time Knowledge-Based Systems-and four clusters of co-citation analysis: B2B Technology Brands, AI Fostered E-Brands, Information Cascades and Online Brand Ratings, and Voice Assistants-Brand Eureka Moments. Overall, the study presents the patterns of convergence and divergence of themes, narrowing to the specific topic, and multidisciplinary engagement in research, thus offering the recent insights in the field of AI on branding.</t>
  </si>
  <si>
    <t>[Varsha, P. S.; Patagundi, Basanna] Cambridge Inst Technol, Bangalore, Karnataka, India; [Akter, Shahriar] Univ Wollongong, Digital Mkt Analyt &amp; Innovat, Sch Management &amp; Mkt, Wollongong, NSW, Australia; [Kumar, Amit] Univ Newcastle, Newcastle Business Sch, Callaghan, NSW, Australia; [Gochhait, Saikat] Symbiosis Int Univ Deemed, Symbiosis Inst Digital &amp; Telecom Management, Pune, Maharashtra, India</t>
  </si>
  <si>
    <t>University of Wollongong; University of Newcastle; Symbiosis International University; Symbiosis Institute of Digital &amp; Telecom Management (SIDTM)</t>
  </si>
  <si>
    <t>Varsha, PS (corresponding author), Cambridge Inst Technol, Bangalore, Karnataka, India.</t>
  </si>
  <si>
    <t>Kumar, Amit/GQA-4556-2022; Gochhait (Honoris Causa), Saikat/AAP-4107-2021; Akter, Shahriar/S-2888-2019</t>
  </si>
  <si>
    <t>Akter, Shahriar/0000-0002-2050-9985; PS, Varsha/0000-0002-2194-0363; Kumar, Amit/0000-0002-8367-9981; Gochhait, Dr Saikat/0000-0003-4583-9208</t>
  </si>
  <si>
    <t>IGI GLOBAL</t>
  </si>
  <si>
    <t>HERSHEY</t>
  </si>
  <si>
    <t>701 E CHOCOLATE AVE, STE 200, HERSHEY, PA 17033-1240 USA</t>
  </si>
  <si>
    <t>1062-7375</t>
  </si>
  <si>
    <t>1533-7995</t>
  </si>
  <si>
    <t>J GLOB INF MANAG</t>
  </si>
  <si>
    <t>J. Glob. Inf. Manag.</t>
  </si>
  <si>
    <t>10.4018/JGIM.20210701.oa10</t>
  </si>
  <si>
    <t>SA7KG</t>
  </si>
  <si>
    <t>WOS:000649479400010</t>
  </si>
  <si>
    <t>Rubio, LMC; Torrijos, JLR</t>
  </si>
  <si>
    <t>Rubio, Luis Mauricio Calvo; Torrijos, Jose Luis Rojas</t>
  </si>
  <si>
    <t>Criteria for journalistic quality in the use of artificial intelligence</t>
  </si>
  <si>
    <t>Journalism; journalistic quality; artificial intelligence; newsmaking; automated content</t>
  </si>
  <si>
    <t>INNOVATION; FUTURE; IMPACT</t>
  </si>
  <si>
    <t>This study aims to assess the persistence of traditional journalistic quality features within the contemporary digital ecosystem. Digital advancements have fundamentally altered media creation, notably with the emergence of artificial intelligence (AI) in newsrooms. AI holds potential for substantial shifts in journalism, impacting business models, dissemination methods, and professional practices. Present in 75% of newsrooms, AI streamlines tasks, allowing more creative time for journalists. Ethical and quality concerns persist, particularly regarding AI's ability to meet journalism's established quality standards. This article aims to investigate the incorporation of these quality criteria in news articles generated by artificial intelligence (AI). Focus group and in-depth interviews were used as methodological techniques, involving ten experts. It is concluded that journalistic ethics have remained intact despite the disruptive technological advances in recent decades. However, there is a need to integrate these ethics with new criteria associated with the tools being used. Therefore, it is necessary to consider criteria from a dual perspective: both social and technological.</t>
  </si>
  <si>
    <t>[Rubio, Luis Mauricio Calvo] Univ Castilla La Mancha, La Mancha, Spain; [Torrijos, Jose Luis Rojas] Univ Seville, Seville, Spain</t>
  </si>
  <si>
    <t>Universidad de Castilla-La Mancha; University of Sevilla</t>
  </si>
  <si>
    <t>Rubio, LMC (corresponding author), Univ Castilla La Mancha, La Mancha, Spain.</t>
  </si>
  <si>
    <t>luismauricio.calvo@uclm.es; jlrojas@us.es</t>
  </si>
  <si>
    <t>Calvo-Rubio, Luis/ABH-6892-2020; Rojas Torrijos, Jose Luis/L-9682-2018</t>
  </si>
  <si>
    <t>Rojas Torrijos, Jose Luis/0000-0002-7390-9843; Calvo Rubio, Luis Mauricio/0000-0002-4707-5259</t>
  </si>
  <si>
    <t>10.15581/003.37.2.247-259</t>
  </si>
  <si>
    <t>WOS:001223517200007</t>
  </si>
  <si>
    <t>Papuc, M; Scheffler, P</t>
  </si>
  <si>
    <t>Papuc, Melissa; Scheffler, Patrick</t>
  </si>
  <si>
    <t>The impact of internet resources and artificial intelligence on information on myringotomy tubes</t>
  </si>
  <si>
    <t>EUROPEAN ARCHIVES OF OTO-RHINO-LARYNGOLOGY</t>
  </si>
  <si>
    <t>Artificial intelligence; ChatGPT; Google Gemini; Google search; Patient education; Myringotomy tubes</t>
  </si>
  <si>
    <t>PurposeTo compare the quality and readability of patient education materials on myringotomy tubes from artificial intelligence and Google search.MethodsThree questions were posed to ChatGPT and Google Gemini addressing Condition, Investigation, and Treatment domains. Google was queried for Ear tubes, Myringotomy and tubes, and Tympanostomy tubes. Text quality was assessed using the DISCERN instrument. Readability was assessed using the Flesch-Kincaid Grade Level, Flesch-Kincaid Reading Ease scores, and the Fry Readability Graph.ResultsThe average DISCERN score for websites was 52 (SD = 13.1, Median = 55.5), out of 80. The mean Flesch-Kincaid Reading Grade Level was 8 (SD = 3, Median = 7.1), and the mean Flesch-Kincaid Reading Ease score was 55 (SD = 12.3, Median = 57.7). ChatGPT and Google Gemini's Condition responses each had DISCERN scores of 46, Flesch-Kincaid Grade Levels of 13.1 and 9.5, and Reading Ease scores of 41 and 61. For Investigation, DISCERN scores were 46 (ChatGPT) and 66 (Google Gemini), Grade Levels were 13.9 and 12.4, and Reading Ease scores were 38.9 and 34.9. For Treatment, ChatGPT and Google Gemini had DISCERN scores of 45 and 34, Grade Levels of 15.7 and 9.8, and Reading Ease scores of 36.2 and 53.9.ConclusionSites and artificial intelligence providing patient education material regarding myringotomy tubes are of fair quality but have readability levels above the recommended 6th grade level. Google search results were superior to artificial intelligence in readability.</t>
  </si>
  <si>
    <t>[Papuc, Melissa] Univ Arizona, Coll Med Phoenix, 475 N 5th St, Phoenix, AZ 85004 USA; [Scheffler, Patrick] Cohen Childrens Med Ctr, Dept Otolaryngol, New Hyde Pk, NY USA</t>
  </si>
  <si>
    <t>University of Arizona; Northwell Health; North Shore University Hospital; Steven &amp; Alexandra Cohen Children's Medical Center of New York</t>
  </si>
  <si>
    <t>Papuc, M (corresponding author), Univ Arizona, Coll Med Phoenix, 475 N 5th St, Phoenix, AZ 85004 USA.</t>
  </si>
  <si>
    <t>melissapapuc@arizona.edu; pscheffler@northwell.edu</t>
  </si>
  <si>
    <t>0937-4477</t>
  </si>
  <si>
    <t>1434-4726</t>
  </si>
  <si>
    <t>EUR ARCH OTO-RHINO-L</t>
  </si>
  <si>
    <t>Eur. Arch. Oto-Rhino-Laryn.</t>
  </si>
  <si>
    <t>2024 DEC 12</t>
  </si>
  <si>
    <t>10.1007/s00405-024-09148-0</t>
  </si>
  <si>
    <t>Otorhinolaryngology</t>
  </si>
  <si>
    <t>P2K4Y</t>
  </si>
  <si>
    <t>WOS:001376264100001</t>
  </si>
  <si>
    <t>De Nunzio, G; Rizzo, R</t>
  </si>
  <si>
    <t>De Nunzio, Giorgio; Rizzo, Rocco</t>
  </si>
  <si>
    <t>ARTIFICIAL INTELLIGENCE AND BIODIVERSITY</t>
  </si>
  <si>
    <t>SCIRES-IT-SCIENTIFIC RESEARCH AND INFORMATION TECHNOLOGY</t>
  </si>
  <si>
    <t>Biodiversity; Sustainability; Artificial Intelligence; Machine Learning; Deep Learning; Internet of Things; Agriculture 5.0</t>
  </si>
  <si>
    <t>Biodiversity is essential for ecosystem balance, yet it faces growing threats from human activities and climate change. To address these challenges, Artificial Intelligence (AI) is emerging as a powerful tool for promoting biodiversity conservation and sustainable practices. This article examines how AI technologies are being combined with the Internet of Things to improve the identification of species in danger, protect habitats, and optimize resource management. It also explores realworld applications of AI in areas such as wildlife protection, environmental monitoring, and precision agriculture, with a focus on the shift from traditional farming methods to more sustainable and regenerative approaches in Agriculture 3.0 to 5.0. The article also highlights obstacles such as limited accessibility for smaller organizations. Overall, this work underscores the growing impact of AI in fostering ecological preservation and advancing sustainability efforts.</t>
  </si>
  <si>
    <t>[De Nunzio, Giorgio; Rizzo, Rocco] Univ Salento, Dipartimento Matemat &amp; Fis Ennio De Giorgi, Lecce, Italy; [De Nunzio, Giorgio] INFN Ist Nazl Nucleare, Branch Lecce, Lecce, Italy</t>
  </si>
  <si>
    <t>University of Salento</t>
  </si>
  <si>
    <t>De Nunzio, G (corresponding author), Univ Salento, Dipartimento Matemat &amp; Fis Ennio De Giorgi, Lecce, Italy.;De Nunzio, G (corresponding author), INFN Ist Nazl Nucleare, Branch Lecce, Lecce, Italy.</t>
  </si>
  <si>
    <t>De Nunzio, Giorgio/L-7283-2015</t>
  </si>
  <si>
    <t>Rizzo, Rocco/0009-0003-4504-9158</t>
  </si>
  <si>
    <t>CASPUR-CIBER PUBL</t>
  </si>
  <si>
    <t>ROMA</t>
  </si>
  <si>
    <t>CASPUR-CIBER PUBL, ROMA, 00000, ITALY</t>
  </si>
  <si>
    <t>2239-4303</t>
  </si>
  <si>
    <t>SCIRES-IT</t>
  </si>
  <si>
    <t>10.2423/i22394303v14Sp53</t>
  </si>
  <si>
    <t>Q0W7P</t>
  </si>
  <si>
    <t>WOS:001382003100009</t>
  </si>
  <si>
    <t>Linkeviciute, A; Curigliano, G; Peccatori, FA; Pakutinskas, P</t>
  </si>
  <si>
    <t>Linkeviciute, Alma; Curigliano, Giuseppe; Peccatori, Fedro Alessandro; Pakutinskas, Paulius</t>
  </si>
  <si>
    <t>The regulatory impact of a harmonized artificial intelligence regulation proposal on the clinical research landscape in the European Union</t>
  </si>
  <si>
    <t>BIOLAW JOURNAL-RIVISTA DI BIODIRITTO</t>
  </si>
  <si>
    <t>Artificial Intelligence; Regulation; Machine Learning; Clinical Trials; Clinical Research</t>
  </si>
  <si>
    <t>This article offers a critical analysis of how the proposed Artificial Intelligence Act (AIA) will support the rights, safety, dignity, and well-being of clinical research participants and ensure the availability of reliable and robust data as described in Clinical Trials Regulation (EU) No. 536/2014. Analysis is focused on how the proposed regulation will impact clinical research conducted within the European Union. The proposed artificial intelligence regulation is evaluated based on what it will bring to the multiple stakeholders in clinical research - including sponsors, investigators, patients, society and how it would align with the core principles of the Clinical Trials Regulation.</t>
  </si>
  <si>
    <t>[Linkeviciute, Alma; Pakutinskas, Paulius] Mykolas Romeris Univ, Sch Law, Vilnius, Lithuania; [Linkeviciute, Alma; Pakutinskas, Paulius] Legal Tech Ctr, Vilnius, Lithuania; [Curigliano, Giuseppe] European Inst Oncol, Milan, Italy; [Curigliano, Giuseppe] Inst Oncol, Milan, Italy; [Curigliano, Giuseppe] Univ Milan, IRCCS, Milan, Italy; [Peccatori, Fedro Alessandro] European Inst Oncol IRCCS, Gynecol Oncol Program, Milan, Italy</t>
  </si>
  <si>
    <t>Mykolas Romeris University; IRCCS European Institute of Oncology (IEO); University of Milan; IRCCS European Institute of Oncology (IEO)</t>
  </si>
  <si>
    <t>Pakutinskas, P (corresponding author), Mykolas Romeris Univ, Sch Law, Vilnius, Lithuania.;Pakutinskas, P (corresponding author), Legal Tech Ctr, Vilnius, Lithuania.</t>
  </si>
  <si>
    <t>alma.linkeviciute@mruni.eu; giuseppe.curigliano@ieo.it; fedro.peccatori@ieo.it; paulius.pakutinskas@mruni.eu</t>
  </si>
  <si>
    <t>Peccatori, Fedro/AAP-7058-2020; Curigliano, Giuseppe/D-3371-2018</t>
  </si>
  <si>
    <t>Curigliano, Giuseppe/0000-0003-1781-2518</t>
  </si>
  <si>
    <t>European Social Fund [09.3.3-LMT-K-712]</t>
  </si>
  <si>
    <t>European Social Fund(European Social Fund (ESF))</t>
  </si>
  <si>
    <t>This research is funded by the European Social Fund under the No. 09.3.3-LMT-K-712 Development of Competences of Scientists, other Researchers and Students through Practical Research Activities measure (AL and PP). The authors would also like to thank the anonymous reviewers for their feedback and suggestions. The article was subject to a double-blind peer review process.</t>
  </si>
  <si>
    <t>UNIV TRENTO, FAC LAW</t>
  </si>
  <si>
    <t>TRENTO</t>
  </si>
  <si>
    <t>VIA VERDI 53, TRENTO, 38122, ITALY</t>
  </si>
  <si>
    <t>2284-4503</t>
  </si>
  <si>
    <t>BIOLAW J</t>
  </si>
  <si>
    <t>BioLaw J.</t>
  </si>
  <si>
    <t>F5ZF9</t>
  </si>
  <si>
    <t>WOS:000983118900029</t>
  </si>
  <si>
    <t>Mirza, AA; Wazgar, OM; Almaghrabi, AA; Ghandour, RM; Alenizi, SA; Mirza, AA; Alraddadi, KS; Al-Adwani, FH; Alsakkaf, MA; Aljuaid, SM</t>
  </si>
  <si>
    <t>Mirza, Ahmad A.; Wazgar, Omar M.; Almaghrabi, Ammar A.; Ghandour, Roaa M.; Alenizi, Sarah A.; Mirza, Abdulrahim A.; Alraddadi, Khalid S.; Al-Adwani, Fayzah H.; Alsakkaf, Mohammed A.; Aljuaid, Sattam M.</t>
  </si>
  <si>
    <t>The Use of Artificial Intelligence in Medical Imaging: A Nationwide Pilot Survey of Trainees in Saudi Arabia</t>
  </si>
  <si>
    <t>CLINICS AND PRACTICE</t>
  </si>
  <si>
    <t>artificial intelligence; diagnostic imaging; education; radiology; Saudi Arabia</t>
  </si>
  <si>
    <t>Artificial intelligence is dramatically transforming medical imaging. In Saudi Arabia, there are a lack of studies assessing the level of artificial intelligence use and reliably determining the perceived impact of artificial intelligence on the radiology workflow and the profession. We assessed the levels of artificial intelligence use among radiology trainees and correlated the perceived impact of artificial intelligence on the workflow and profession with the behavioral intention to use artificial intelligence. This cross-sectional study enrolled radiology trainees from Saudi Arabia, and a 5-part-structured questionnaire was disseminated. The items concerning the perceived impact of artificial intelligence on the radiology workflow conformed to the six-step standard workflow in radiology, which includes ordering and scheduling, protocoling and acquisition, image interpretation, reporting, communication, and billing. We included 98 participants. Few used artificial intelligence in routine practice (7%). The perceived impact of artificial intelligence on the radiology workflow was at a considerable level in all radiology workflow steps (range, 3.64-3.97 out of 5). Behavioral intention to use artificial intelligence was linearly correlated with the perceptions of its impact on the radiology workflow and on the profession (p &lt; 0.001). Artificial intelligence is used at a low level in radiology. The perceived impact of artificial intelligence on radiology workflow and the profession is correlated to an increase in behavioral intention to use artificial intelligence. Thus, increasing awareness about the positive impact of artificial intelligence can improve its adoption.</t>
  </si>
  <si>
    <t>[Mirza, Ahmad A.] King Abdulaziz Univ, Fac Med Rabigh, Dept Otolaryngol Head &amp; Neck Surg, Jeddah 21589, Saudi Arabia; [Mirza, Ahmad A.] Univ Toronto, Temerty Fac Med, Dept Otolaryngol Head &amp; Neck Surg, Toronto, ON M5S 3H2, Canada; [Wazgar, Omar M.] Al Hada Armed Forces Hosp, Dept Radiol, Taif 26792, Saudi Arabia; [Almaghrabi, Ammar A.] Al Noor Specialist Hosp, Dept Radiol, Mecca 24241, Saudi Arabia; [Ghandour, Roaa M.] King Abdullah Med Complex, Dept Radiol, Jeddah 23816, Saudi Arabia; [Alenizi, Sarah A.] King Fahad Armed Forces Hosp, Dept Radiol, Jeddah 23311, Saudi Arabia; [Mirza, Abdulrahim A.] Minist Natl Guard Hlth Affairs, Dept Surg, Div Urol, King Abdulaziz Med City, Jeddah 21423, Saudi Arabia; [Alraddadi, Khalid S.; Al-Adwani, Fayzah H.] King Saud Bin Abdul Aziz Univ Hlth Sci, Dept Primary Hlth Care, Minist Natl Guard Hlth Affairs, Jeddah 21423, Saudi Arabia; [Alsakkaf, Mohammed A.] Secur Forces Hosp Program, Dept Surg, Mecca 24251, Saudi Arabia; [Aljuaid, Sattam M.] Prince Mansour Mil Hosp, Dept Otolaryngol Head &amp; Neck Surg, Taif 26526, Saudi Arabia</t>
  </si>
  <si>
    <t>King Abdulaziz University; University of Toronto; King Fahd Armed Forces Hospital; King Saud Bin Abdulaziz University for Health Sciences; Ministry of National Guard - Health Affairs; King Saud Bin Abdulaziz University for Health Sciences; Ministry of National Guard - Health Affairs</t>
  </si>
  <si>
    <t>Mirza, AA (corresponding author), King Abdulaziz Univ, Fac Med Rabigh, Dept Otolaryngol Head &amp; Neck Surg, Jeddah 21589, Saudi Arabia.;Mirza, AA (corresponding author), Univ Toronto, Temerty Fac Med, Dept Otolaryngol Head &amp; Neck Surg, Toronto, ON M5S 3H2, Canada.</t>
  </si>
  <si>
    <t>aamirza1@kau.edu.sa</t>
  </si>
  <si>
    <t>Mirza, Ahmad/AAR-3551-2020</t>
  </si>
  <si>
    <t>Mirza, Ahmad A./0000-0001-6035-9566; ALRADDADI, KHALID/0000-0002-0639-9927</t>
  </si>
  <si>
    <t>2039-7275</t>
  </si>
  <si>
    <t>2039-7283</t>
  </si>
  <si>
    <t>CLINICS PRACT</t>
  </si>
  <si>
    <t>Clin. Pract.</t>
  </si>
  <si>
    <t>10.3390/clinpract12060090</t>
  </si>
  <si>
    <t>7G1QG</t>
  </si>
  <si>
    <t>WOS:000902307500001</t>
  </si>
  <si>
    <t>Garg, V; Srivastav, S; Gupta, A</t>
  </si>
  <si>
    <t>Garg, Vikas; Srivastav, Shalini; Gupta, Anubhuti</t>
  </si>
  <si>
    <t>Application of Artificial Intelligence for Sustaining Green Human Resource Management</t>
  </si>
  <si>
    <t>2018 INTERNATIONAL CONFERENCE ON AUTOMATION AND COMPUTATIONAL ENGINEERING (ICACE)</t>
  </si>
  <si>
    <t>International Conference on Automation and Computational Engineering (ICACE)</t>
  </si>
  <si>
    <t>OCT 03-04, 2018</t>
  </si>
  <si>
    <t>Greater Noida, INDIA</t>
  </si>
  <si>
    <t>IEEE UP Sect,Amity Univ</t>
  </si>
  <si>
    <t>Artificial Intelligence; Green Human Resource Management; Potential benefits; HRM Process</t>
  </si>
  <si>
    <t>Information technology(IT) has been intensely effecting human resource management (HR) practices and processes As in present scenario, everybody is moving towards building smart and environmental friendly organizations, Green HRM is playing a fundamental role towards the integration of corporate environmental management into human resource management. Artificial intelligence is an emerging area in the field of HR Technology which can replace or enhance the effectiveness of green human resource management processes. Artificial Intelligence can be used by organizations for candidate screening, employee engagement, employee re - engagement and career development without much use of resources and thus decreasing overall environmental impact. It can be applied to HR policies, procedures and HR perspective and can enhance the effectiveness of green human resource management. The study will analyze the emergence of Artificial Intelligence in green HRM process and the potential benefits of artificial intelligence through secondary data. The paper generates insights on the utilization of technology for conversion of effective HR into sustainable HR.</t>
  </si>
  <si>
    <t>[Garg, Vikas; Srivastav, Shalini; Gupta, Anubhuti] Amity Univ, Amity Business Sch, Gr Noida Campus, Noida, Uttar Pradesh, India</t>
  </si>
  <si>
    <t>Amity University Noida</t>
  </si>
  <si>
    <t>Garg, V (corresponding author), Amity Univ, Amity Business Sch, Gr Noida Campus, Noida, Uttar Pradesh, India.</t>
  </si>
  <si>
    <t>vgarg@gn.amity.edu; ssrivastav@gn.amity.edu; agupta1@gn.amity.edu</t>
  </si>
  <si>
    <t>Garg, Vikas/AAA-1574-2021; Gupta/ADS-4013-2022</t>
  </si>
  <si>
    <t>GARG, VIKAS/0000-0002-1421-5980; Srivastav, Dr.Shalini/0000-0002-4787-507X</t>
  </si>
  <si>
    <t>978-1-5386-5464-4</t>
  </si>
  <si>
    <t>BO0YO</t>
  </si>
  <si>
    <t>WOS:000493975700021</t>
  </si>
  <si>
    <t>Vásquez, CS; Toro-Valend, JA</t>
  </si>
  <si>
    <t>Sanchez Vasquez, Carolina; Alberto Toro-Valend, Jose</t>
  </si>
  <si>
    <t>The right to human control: A legal response to artificial intelligence</t>
  </si>
  <si>
    <t>Artificial intelligence; fundamental rights; human control</t>
  </si>
  <si>
    <t>Artificial intelligence is one of the greatest technological developments of the 21st century and it has the ability to have a positive, but also negative, impact on human life. In this way, the use of artificial intelligence systems can result in the violation of fundamental rights such as equality, privacy, correct process and freedom of expression. In this scenario, the Law needs to respond to the new challenges that arise and offer avant-garde legal responses. One of them is the recognition of human control as a new right to guarantee oversight in the design and development of these systems in order to avoid affecting other existing rights.</t>
  </si>
  <si>
    <t>[Sanchez Vasquez, Carolina; Alberto Toro-Valend, Jose] Univ EAFIT, Bogota, Colombia</t>
  </si>
  <si>
    <t>Universidad EAFIT</t>
  </si>
  <si>
    <t>Vásquez, CS (corresponding author), Univ EAFIT, Bogota, Colombia.</t>
  </si>
  <si>
    <t>csanch41@eafit.edu.co; jatoro@eafit.edu.co</t>
  </si>
  <si>
    <t>Vasquez, Christian/JCN-8844-2023</t>
  </si>
  <si>
    <t>10.5354/0719-2584.2021.58745</t>
  </si>
  <si>
    <t>YI8NH</t>
  </si>
  <si>
    <t>WOS:000744099100001</t>
  </si>
  <si>
    <t>Dapel, ME; Asante, M; Uba, CD; Agyeman, MO</t>
  </si>
  <si>
    <t>Jahankhani, H</t>
  </si>
  <si>
    <t>Dapel, Mercy Ejura; Asante, Mary; Uba, Chijioke Dike; Agyeman, Michael Opoku</t>
  </si>
  <si>
    <t>Artificial Intelligence Techniques in Cybersecurity Management</t>
  </si>
  <si>
    <t>CYBERSECURITY IN THE AGE OF SMART SOCIETIES, 2022</t>
  </si>
  <si>
    <t>Advanced Sciences and Technologies for Security Applications</t>
  </si>
  <si>
    <t>14th International Conference on Global Security, Safety and Sustainability (ICGS3) - Cybersecurity in the Age of Smart Societies</t>
  </si>
  <si>
    <t>SEP 07-08, 2022</t>
  </si>
  <si>
    <t>Artificial intelligence; Cyberattacks; Cyber threats; Cybersecurity</t>
  </si>
  <si>
    <t>PRIVACY; IMPACT</t>
  </si>
  <si>
    <t>The rapid development in internet services led to a significant increase in cyberattacks. The need to secure systems and operations has become apparent as cybersecurity has become a national concern. Cybersecurity involves techniques that protect and control systems, networks, hardware, software, and electronic data from unauthorised access. Developing an effective and innovative defensive mechanism is an urgent requirement as traditional cybersecurity solutions are becoming inadequate in safeguarding information against cyber threats. There is a need for cybersecurity methods that are capable of making real-time decisions and respond to cyberattacks. To support this, researchers are focusing on approaches like Artificial Intelligence (AI) to improve cyber defence. This study provides an overview of existing research on cybersecurity using AI technologies. AI technologies made a remarkable contribution in combating cybercrimes with significant improvement in anomaly intrusion detection.</t>
  </si>
  <si>
    <t>[Dapel, Mercy Ejura; Uba, Chijioke Dike; Agyeman, Michael Opoku] Univ Northampton, Ctr Adv &amp; Smart Syst CAST, Northampton, England; [Asante, Mary] Univ Warwick Coventry, Coventry, W Midlands, England</t>
  </si>
  <si>
    <t>University of Northampton; University of Warwick</t>
  </si>
  <si>
    <t>Agyeman, MO (corresponding author), Univ Northampton, Ctr Adv &amp; Smart Syst CAST, Northampton, England.</t>
  </si>
  <si>
    <t>Michael.OpokuAgyeman@northampotn.ac.uk</t>
  </si>
  <si>
    <t>Agyeman, Michael/I-8511-2019; Uba, Chijioke/AAE-1178-2021</t>
  </si>
  <si>
    <t>Opoku Agyeman, Michael/0000-0002-3734-4451; Uba, Chijioke Dike/0000-0002-9590-8462</t>
  </si>
  <si>
    <t>1613-5113</t>
  </si>
  <si>
    <t>2363-9466</t>
  </si>
  <si>
    <t>978-3-031-20162-2; 978-3-031-20160-8; 978-3-031-20159-2</t>
  </si>
  <si>
    <t>ADV SCI TECH SEC APP</t>
  </si>
  <si>
    <t>10.1007/978-3-031-20160-8_14</t>
  </si>
  <si>
    <t>Computer Science, Information Systems; Computer Science, Interdisciplinary Applications; Management</t>
  </si>
  <si>
    <t>Computer Science; Business &amp; Economics</t>
  </si>
  <si>
    <t>BU9VT</t>
  </si>
  <si>
    <t>WOS:000964356000014</t>
  </si>
  <si>
    <t>Nogueira, RG; Davies, JM; Gupta, R; Hassan, AE; Devlin, T; Haussen, DC; Mohammaden, MH; Kellner, CP; Arthur, A; Elijovich, L; Owada, K; Begun, D; Narayan, M; Mordenfeld, N; Tekle, WG; Nahab, F; Jovin, TG; Frei, D; Siddiqui, AH; Frankel, MR; Mocco, J</t>
  </si>
  <si>
    <t>Nogueira, Raul G.; Davies, Jason M.; Gupta, Rishi; Hassan, Ameer E.; Devlin, Thomas; Haussen, Diogo C.; Mohammaden, Mahmoud H.; Kellner, Christopher P.; Arthur, Adam; Elijovich, Lucas; Owada, Kumiko; Begun, Dina; Narayan, Mukund; Mordenfeld, Nadia; Tekle, Wondwossen G.; Nahab, Fadi; Jovin, Tudor G.; Frei, Don; Siddiqui, Adnan H.; Frankel, Michael R.; Mocco, J.</t>
  </si>
  <si>
    <t>Epidemiological Surveillance of the Impact of the COVID-19 Pandemic on Stroke Care Using Artificial Intelligence</t>
  </si>
  <si>
    <t>STROKE</t>
  </si>
  <si>
    <t>artificial intelligence; hospitalization; incidence; pandemic; perfusion</t>
  </si>
  <si>
    <t>Background and Purpose: The degree to which the coronavirus disease 2019 (COVID-19) pandemic has affected systems of care, in particular, those for time-sensitive conditions such as stroke, remains poorly quantified. We sought to evaluate the impact of COVID-19 in the overall screening for acute stroke utilizing a commercial clinical artificial intelligence platform. Methods: Data were derived from the Viz Platform, an artificial intelligence application designed to optimize the workflow of patients with acute stroke. Neuroimaging data on suspected patients with stroke across 97 hospitals in 20 US states were collected in real time and retrospectively analyzed with the number of patients undergoing imaging screening serving as a surrogate for the amount of stroke care. The main outcome measures were the number of computed tomography (CT) angiography, CT perfusion, large vessel occlusions (defined according to the automated software detection), and severe strokes on CT perfusion (defined as those with hypoperfusion volumes &gt;70 mL) normalized as number of patients per day per hospital. Data from the prepandemic (November 4, 2019 to February 29, 2020) and pandemic (March 1 to May 10, 2020) periods were compared at national and state levels. Correlations were made between the inter-period changes in imaging screening, stroke hospitalizations, and thrombectomy procedures using state-specific sampling. Results: A total of 23 223 patients were included. The incidence of large vessel occlusion on CT angiography and severe strokes on CT perfusion were 11.2% (n=2602) and 14.7% (n=1229/8328), respectively. There were significant declines in the overall number of CT angiographies (-22.8%; 1.39-1.07 patients/day per hospital, P&lt;0.001) and CT perfusion (-26.1%; 0.50-0.37 patients/day per hospital, P&lt;0.001) as well as in the incidence of large vessel occlusion (-17.1%; 0.15-0.13 patients/day per hospital, P&lt;0.001) and severe strokes on CT perfusion (-16.7%; 0.12-0.10 patients/day per hospital, P&lt;0.005). The sampled cohort showed similar declines in the rates of large vessel occlusions versus thrombectomy (18.8% versus 19.5%, P=0.9) and comprehensive stroke center hospitalizations (18.8% versus 11.0%, P=0.4). Conclusions: A significant decline in stroke imaging screening has occurred during the COVID-19 pandemic. This analysis underscores the broader application of artificial intelligence neuroimaging platforms for the real-time monitoring of stroke systems of care.</t>
  </si>
  <si>
    <t>[Nogueira, Raul G.; Haussen, Diogo C.; Mohammaden, Mahmoud H.; Frankel, Michael R.] Emory Sch Med, Dept Neurol, Marcus Stroke &amp; Neurosci Ctr, Grady Mem Hosp, Atlanta, GA USA; [Davies, Jason M.; Siddiqui, Adnan H.] Univ Buffalo, Dept Neurosurg, Jacobs Sch Med &amp; Biomed Sci, New York, NY USA; [Gupta, Rishi] Wellstar Med Grp Neurosurg, Marietta, GA USA; [Owada, Kumiko] Neurosci, Marietta, GA USA; [Gupta, Rishi; Owada, Kumiko] Wellstar Hlth Syst, Marietta, GA USA; [Hassan, Ameer E.; Tekle, Wondwossen G.] Univ Texas Rio Grande Valley, Valley Baptist Med Ctr, Harlingen, TX USA; [Devlin, Thomas] Univ Tennessee, Hlth Sci Ctr, Erlanger Hlth Syst, Chattanooga, TN USA; [Kellner, Christopher P.; Mocco, J.] Mt Sinai Hlth Syst, Dept Neurosurg, New York, NY USA; [Arthur, Adam] Semmes Murphey Clin, Dept Neurosurg, Memphis, TN USA; [Elijovich, Lucas] Semmes Murphey Clin, Neurol, Memphis, TN USA; [Arthur, Adam; Elijovich, Lucas] Univ Tennessee, Hlth Sci Ctr, Memphis, TN USA; [Begun, Dina; Narayan, Mukund; Mordenfeld, Nadia] Viz Ai Inc, Palo Alto, CA USA; [Nahab, Fadi] Emory Univ, Dept Neurol &amp; Pediat, Atlanta, GA 30322 USA; [Jovin, Tudor G.] Rowan Univ, Cooper Univ Hosp, Neurol Inst, Camden, NJ USA; [Jovin, Tudor G.] Rowan Univ, Cooper Med Sch, Camden, NJ USA; [Frei, Don] Swedish Med Ctr, Radiol Imaging Associates RIA Neurovasc, Denver, CO USA</t>
  </si>
  <si>
    <t>Emory University; University of Texas System; University of Texas Rio Grande Valley; University of Tennessee System; University of Tennessee Health Science Center; Icahn School of Medicine at Mount Sinai; University of Tennessee System; University of Tennessee Health Science Center; Rowan University; Cooper University Hospital; Rowan University; Cooper Medical School of Rowan University</t>
  </si>
  <si>
    <t>Nogueira, RG (corresponding author), Grady Mem Hosp, 80 Jesse Hill Dr SE,Room 8D108A, Atlanta, GA 30303 USA.</t>
  </si>
  <si>
    <t>raul.g.nogueira@emory.edu</t>
  </si>
  <si>
    <t>Kellner, Christopher/AAA-3280-2022; Mohammaden, Mahmoud/JOK-3317-2023; Nogueira, Raul/LSI-7118-2024</t>
  </si>
  <si>
    <t>Kellner, Christopher/0000-0003-4604-8205; Nogueira, Raul/0000-0003-4532-153X; Haussen, Diogo C./0000-0003-1884-2196</t>
  </si>
  <si>
    <t>NCATS NIH HHS [KL2 TR001413] Funding Source: Medline</t>
  </si>
  <si>
    <t>NCATS NIH HHS(United States Department of Health &amp; Human ServicesNational Institutes of Health (NIH) - USANIH National Center for Advancing Translational Sciences (NCATS))</t>
  </si>
  <si>
    <t>0039-2499</t>
  </si>
  <si>
    <t>1524-4628</t>
  </si>
  <si>
    <t>Stroke</t>
  </si>
  <si>
    <t>10.1161/STROKEAHA.120.031960</t>
  </si>
  <si>
    <t>Clinical Neurology; Peripheral Vascular Disease</t>
  </si>
  <si>
    <t>Neurosciences &amp; Neurology; Cardiovascular System &amp; Cardiology</t>
  </si>
  <si>
    <t>RT7SE</t>
  </si>
  <si>
    <t>WOS:000644656300028</t>
  </si>
  <si>
    <t>Sparrow, R; Howard, M; Degeling, C</t>
  </si>
  <si>
    <t>Sparrow, Robert; Howard, Mark; Degeling, Chris</t>
  </si>
  <si>
    <t>Managing the risks of artificial intelligence in agriculture</t>
  </si>
  <si>
    <t>NJAS-IMPACT IN AGRICULTURAL AND LIFE SCIENCES</t>
  </si>
  <si>
    <t>Artificial intelligence; ethics; agriculture; machine learning; policy; farming; environment</t>
  </si>
  <si>
    <t>BIG DATA ANALYTICS; DECISION-SUPPORT; TECHNOLOGIES; IRRIGATION; EMPLOYMENT; CHALLENGES; SYSTEM; ROBOTS; LABOR; JOBS</t>
  </si>
  <si>
    <t>In this paper, we survey the ethical, social, and policy issues that are likely to arise as Artificial Intelligence (AI) begins to impact on agriculture. We highlight possible unintended consequences of the adoption of this technology, which have been neglected in most discussions of the topic to date. A range of current, as well as proposed, applications of AI in agriculture are described, alongside applications of AI in the broader society and economy that are likely to impact on agriculture. AI may bring many benefits, for agricultural producers, consumers, and the environment, but also significant risks. We draw attention to various design choices and policy tools that may help manage the risks - and promote the benefits - of AI and highlight the ethical choices involved in attempts to trade off these risks and benefits. An ongoing and inclusive conversation, about the ethical issues raised by AI and its potential applications in agriculture, should be facilitated to guide policy in this area.</t>
  </si>
  <si>
    <t>[Sparrow, Robert; Howard, Mark] Monash Univ, Fac Arts, Sch Philosoph Hist &amp; Int Studies, Clayton, Vic, Australia; [Degeling, Chris] Univ Wollongong, Fac Arts Social Sci &amp; Humanities, Australian Ctr Hlth Engagement Evidence &amp; Values, Sch Hlth &amp; Soc, Wollongong, NSW, Australia</t>
  </si>
  <si>
    <t>Monash University; University of Wollongong</t>
  </si>
  <si>
    <t>Sparrow, R (corresponding author), Monash Univ, Fac Arts, Sch Philosoph Hist &amp; Int Studies, Clayton, Vic, Australia.</t>
  </si>
  <si>
    <t>robert.sparrow@monash.edu</t>
  </si>
  <si>
    <t>Sparrow, Robert/AAI-1701-2021; Degeling, Chris/ABE-2049-2020</t>
  </si>
  <si>
    <t>Howard, Mark/0000-0001-7262-2632; Degeling, Chris/0000-0003-4279-3443; Sparrow, Robert/0000-0001-6093-9456</t>
  </si>
  <si>
    <t>2768-5241</t>
  </si>
  <si>
    <t>NJAS-IMP AGR LIFE SC</t>
  </si>
  <si>
    <t>NJAS-Impact Agric. Life Sci.</t>
  </si>
  <si>
    <t>10.1080/27685241.2021.2008777</t>
  </si>
  <si>
    <t>Agriculture, Multidisciplinary</t>
  </si>
  <si>
    <t>Agriculture</t>
  </si>
  <si>
    <t>ZO5LS</t>
  </si>
  <si>
    <t>WOS:000765767000001</t>
  </si>
  <si>
    <t>Manta, AG; Badîrcea, RM; Doran, NM; Badareu, G; Ghertescu, C; Popescu, J</t>
  </si>
  <si>
    <t>Manta, Alina Georgiana; Badircea, Roxana Maria; Doran, Nicoleta Mihaela; Badareu, Gabriela; Ghertescu, Claudia; Popescu, Jenica</t>
  </si>
  <si>
    <t>Industry 4.0 Transformation: Analysing the Impact of Artificial Intelligence on the Banking Sector through Bibliometric Trends</t>
  </si>
  <si>
    <t>artificial intelligence applications; banking industry; bibliometric analysis</t>
  </si>
  <si>
    <t>BUSINESS; FIELD</t>
  </si>
  <si>
    <t>The importance of artificial intelligence in the banking industry is reflected in the speed at which financial institutions are adopting and implementing AI solutions to improve their services and adapt to new market demands. The aim of this research is to conduct a bibliometric analysis of the involvement of artificial intelligence in the banking sector to provide a comprehensive overview of the current state of research to guide future directions and support the sustainable development of this rapidly expanding field. Another important objective is to identify research gaps and underexplored areas in the field of artificial intelligence in banking. The methodology used is a bibliometric analysis using VOSviewer, analysing 1089 papers from the Web of Science database. The results of the study provide relevant information for banking professionals but also for policy makers. Thus, the study highlights key areas where banks are using artificial intelligence to gain competitive advantage, thereby guiding practitioners in strategic decision making. Moreover, by identifying emerging trends and patterns in AI adoption, the study helps banking practitioners with foresight, enabling them to anticipate and prepare for future developments in the field. In terms of governmental implications, the study can contribute to the development of more nuanced regulatory frameworks that effectively balance the promotion of AI innovation with the protection of ethical standards and consumer protection.</t>
  </si>
  <si>
    <t>[Manta, Alina Georgiana; Badircea, Roxana Maria; Doran, Nicoleta Mihaela; Badareu, Gabriela; Ghertescu, Claudia; Popescu, Jenica] Univ Craiova, Fac Econ &amp; Business Adm, Craiova 200585, Romania</t>
  </si>
  <si>
    <t>Manta, AG (corresponding author), Univ Craiova, Fac Econ &amp; Business Adm, Craiova 200585, Romania.</t>
  </si>
  <si>
    <t>alina.manta@edu.ucv.ro; roxana.badircea@edu.ucv.ro; nicoleta.doran@edu.ucv.ro; gg.badareu@mail.ru; claudiaghertescu@gmail.com; jenica.popescu@edu.ucv.ro</t>
  </si>
  <si>
    <t>Popescu, Jenica/R-9587-2019; Doran, Nicoleta/ADH-9887-2022; Bădîrcea, Roxana/IZE-4389-2023; Manta, Alina Georgiana/AAV-3174-2021</t>
  </si>
  <si>
    <t>Doran (Florea), Nicoleta Mihaela/0000-0003-3417-751X; Manta, Alina Georgiana/0000-0002-3558-7310; Badircea, Roxana Maria/0000-0001-5076-8251</t>
  </si>
  <si>
    <t>10.3390/electronics13091693</t>
  </si>
  <si>
    <t>QH2Q0</t>
  </si>
  <si>
    <t>WOS:001219925400001</t>
  </si>
  <si>
    <t>Wang, ZY; Li, MY; Lu, J; Cheng, X</t>
  </si>
  <si>
    <t>Wang, Zeyu; Li, Mingyu; Lu, Jia; Cheng, Xin</t>
  </si>
  <si>
    <t>Business Innovation based on artificial intelligence and Blockchain technology</t>
  </si>
  <si>
    <t>INFORMATION PROCESSING &amp; MANAGEMENT</t>
  </si>
  <si>
    <t>Artificial intelligence; Blockchain; business</t>
  </si>
  <si>
    <t>The growing business evolution and the latest Artificial Intelligence (AI) make the different business practices to be enhanced by the ability to create new means of collaboration. Such growing technology helps to deliver brand services and even some new kinds of corporate in-teractions with customers and staff. AI digitization simultaneously emphasized businesses to focus on the existing strategies and regularly and early pursue new market opportunities. While digital technology research in the framework of business innovation is gaining greater interest and the privacy of data can be maintained by Blockchain technology. Therefore in this paper, Business Innovation based on artificial intelligence and Blockchain technology (BI-AIBT) has been pro-posed to enhance the business practices and maintain the secured interaction among the various clients. The collection of qualitative empirical data is made up of few primary respondents from two distinct business sectors. BI-AIBT has been evaluated by undertaking and exploring the dif-ference and similarities between digitalization's impact on value development, proposal, and business capture. Besides, organizational capacities and staff skills interaction issues can be improved by BT. The experimental result suggests that digital transformation is usually regarded as essential and improves business innovation strategies. The numerical result proposed BI-AIBT improves the demand prediction ratio (97.1%), product quality ratio (98.3%), Business devel-opment ratio (98.9%), customer behavior analysis ratio (96.3%), and customer satisfaction ratio (97.2%).</t>
  </si>
  <si>
    <t>[Wang, Zeyu; Li, Mingyu] Wuhan Univ, Macro Qual Management Collaborat Innovat Ctr Hube, Inst Qual Dev Strategy, Wuhan 430072, Peoples R China; [Lu, Jia] Univ Calif Irvine, Dept Social Sci, 3151 Social Sci Plaza, Irvine, CA 92617 USA; [Cheng, Xin] Zhongnan Univ Econ &amp; Law, Sch Publ Adm, 182 Nanhu Rd, Wuhan 430070, Peoples R China</t>
  </si>
  <si>
    <t>Wuhan University; University of California System; University of California Irvine; Zhongnan University of Economics &amp; Law</t>
  </si>
  <si>
    <t>Cheng, X (corresponding author), Zhongnan Univ Econ &amp; Law, Sch Publ Adm, 182 Nanhu Rd, Wuhan 430070, Peoples R China.</t>
  </si>
  <si>
    <t>Z0005032@zuel.edu.cn</t>
  </si>
  <si>
    <t>Wang, Zeyu/HSG-5198-2023; Lu, Jia/AAK-9739-2020; Li, Zeyu/GXM-4336-2022</t>
  </si>
  <si>
    <t>Wang, Zeyu/0000-0001-7413-7665</t>
  </si>
  <si>
    <t>Youth Fundamental Research Funds for the Central Universities [2722021BX022]</t>
  </si>
  <si>
    <t>Youth Fundamental Research Funds for the Central Universities</t>
  </si>
  <si>
    <t>This paper is supported by Youth Fundamental Research Funds for the Central Universities (2722021BX022)</t>
  </si>
  <si>
    <t>0306-4573</t>
  </si>
  <si>
    <t>1873-5371</t>
  </si>
  <si>
    <t>INFORM PROCESS MANAG</t>
  </si>
  <si>
    <t>Inf. Process. Manage.</t>
  </si>
  <si>
    <t>10.1016/j.ipm.2021.102759</t>
  </si>
  <si>
    <t>WV2UG</t>
  </si>
  <si>
    <t>WOS:000717092800009</t>
  </si>
  <si>
    <t>Lee, CS; Tajudeen, FP</t>
  </si>
  <si>
    <t>Lee, Cheah Saw; Tajudeen, Farzana Parveen</t>
  </si>
  <si>
    <t>Usage and Impact of Artificial Intelligence on Accounting: Evidence from Malaysian Organisations</t>
  </si>
  <si>
    <t>ASIAN JOURNAL OF BUSINESS AND ACCOUNTING</t>
  </si>
  <si>
    <t>Artificial Intelligence; Accounting; AI; Malaysia; Payable; Qualitative</t>
  </si>
  <si>
    <t>Manuscript type: Research paper Research aims: This study aims to investigate the use and impact of artificial intelligence (AI)-based accounting software among organisations in Malaysia. Design/Methodology/Approach: Face-to face interview is performed with representatives from nine organisations that are using AI-based accounting software. Constant comparative method is used to analyse the data collected. Research findings: The results highlight various adoptions of AI-based accounting software across the organisations. These are mainly used as a tool to deposit document images, to capture invoice information automatically, to monitor invoice approvals, to manage risks and also to track users' activities. The use of AI-based accounting software has accelerated productivity, improved efficiency, enhanced customer service, supported the flexible working style, increased process governance as well as saved manpower. Theoretical contribution/Originality: This study fills the research void by providing insights into how the AI-accounting software is used, thereby benefitting organisations in Malaysia. With the arrival of industry revolution 4.0, comprehensive knowledge on the usage of AI is pertinent. The findings of this study may also serve as a foundation for future research in AI adoption. Practitioner/Policy implication: The findings of this study encourage industries to consider the usage of AI-based accounting software in the management of their accounts payable functions. It also provides useful guidance for practitioners on how the AI-based accounting software can be effectively applied as part of the innovation process. Research limitation/Implications: Since the scope of this study only involves the accounting service provider, the generalisation of this study may be limited.</t>
  </si>
  <si>
    <t>[Lee, Cheah Saw; Tajudeen, Farzana Parveen] Univ Malaya, Fac Business &amp; Accountancy, Kuala Lumpur 50603, Malaysia</t>
  </si>
  <si>
    <t>Universiti Malaya</t>
  </si>
  <si>
    <t>Tajudeen, FP (corresponding author), Univ Malaya, Fac Business &amp; Accountancy, Kuala Lumpur 50603, Malaysia.</t>
  </si>
  <si>
    <t>s20335@hotmail.com; farzanatajudeen@um.edu.my</t>
  </si>
  <si>
    <t>Tajudeen, Farzana Parveen/B-5640-2017</t>
  </si>
  <si>
    <t>Tajudeen, Farzana Parveen/0000-0001-9903-7898</t>
  </si>
  <si>
    <t>UNIV MALAYA, FAC BUSINESS &amp; ACCOUNTANCY</t>
  </si>
  <si>
    <t>UNIB MALAYA, FAC BUSINESS &amp; ACCOUNTANCY, KUALA LUMPUR 50603, MALAYSIA</t>
  </si>
  <si>
    <t>1985-4064</t>
  </si>
  <si>
    <t>2180-3137</t>
  </si>
  <si>
    <t>ASIAN J BUS ACCOUNT</t>
  </si>
  <si>
    <t>Asian J. Bus. Account.</t>
  </si>
  <si>
    <t>10.22452/ajba.vol13no1.8</t>
  </si>
  <si>
    <t>ME3EX</t>
  </si>
  <si>
    <t>WOS:000544543500009</t>
  </si>
  <si>
    <t>Sara, I; Khudher, SM</t>
  </si>
  <si>
    <t>Khalel, Sara Ismaeel; Khudher, Shaker M.</t>
  </si>
  <si>
    <t>Cyber-Attacks Risk Mitigation on Power System via Artificial Intelligence Technique</t>
  </si>
  <si>
    <t>2022 9TH INTERNATIONAL CONFERENCE ON ELECTRICAL AND ELECTRONICS ENGINEERING (ICEEE 2022)</t>
  </si>
  <si>
    <t>9th International Conference on Electrical and Electronics Engineering (ICEEE)</t>
  </si>
  <si>
    <t>MAR 29-31, 2022</t>
  </si>
  <si>
    <t>Alanya, TURKEY</t>
  </si>
  <si>
    <t>IEEE,Gazi Univ,Marmara Univ</t>
  </si>
  <si>
    <t>power system; cyber-attacks; artificial intelligence technique</t>
  </si>
  <si>
    <t>IMPACT; PROTECTION</t>
  </si>
  <si>
    <t>The rapid increase in the reliance on modern communication technologies of electrical grid has a great influence on the achieved improvement in the performance of network. However, a serious threat to the operation of the grid itself has emerged, which is the cyber-attack. To reduce the impact of this kind of attack on the electrical network, a new strategy was presented to provide an effective method to discover the nature of electrical disturbances according to specific criteria. One of the methods of artificial intelligence was used to discover the nature of cybernetic disturbances and distinguish them from other disturbances. The methodology of this method was tested on the IEEE 14-bus test system. Simulation results showed the capabilities of artificial intelligence to reach the target with high accuracy which helps grid operators of control center to better protect power system against threat of cyber-attack.</t>
  </si>
  <si>
    <t>[Khalel, Sara Ismaeel; Khudher, Shaker M.] Univ Mosul, Dept Elect Engn, Mosul, Iraq</t>
  </si>
  <si>
    <t>University of Mosul</t>
  </si>
  <si>
    <t>Sara, I (corresponding author), Univ Mosul, Dept Elect Engn, Mosul, Iraq.</t>
  </si>
  <si>
    <t>saraa2020@uomosul.edu.iq; shakeralhyane@uomosul.edu.iq</t>
  </si>
  <si>
    <t>khudher, Shaker/AAW-2995-2020</t>
  </si>
  <si>
    <t>Mahmood, Shaker/0000-0003-3158-7900; Khalel, Saraa/0000-0002-5065-4091</t>
  </si>
  <si>
    <t>University of Mosul, Department of Electrical Engineering</t>
  </si>
  <si>
    <t>University of Mosul, Department of Electrical Engineering(University of Mosul)</t>
  </si>
  <si>
    <t>The authors would like to thank the University of Mosul, Department of Electrical Engineering, for the given support during this work.</t>
  </si>
  <si>
    <t>978-1-6654-6754-4</t>
  </si>
  <si>
    <t>10.1109/ICEEE55327.2022.9772559</t>
  </si>
  <si>
    <t>BT8AC</t>
  </si>
  <si>
    <t>WOS:000852441800025</t>
  </si>
  <si>
    <t>Fauvel, S; Yu, H; Miao, CY; Cui, LZ; Song, HJ; Zhang, L; Li, XM; Leung, C</t>
  </si>
  <si>
    <t>Fauvel, Simon; Yu, Han; Miao, Chunyan; Cui, Lizhen; Song, Hengjie; Zhang, Liang; Li, Xiaoming; Leung, Cyril</t>
  </si>
  <si>
    <t>Artificial Intelligence Powered MOOCs: A Brief Survey</t>
  </si>
  <si>
    <t>2018 IEEE INTERNATIONAL CONFERENCE ON AGENTS (ICA)</t>
  </si>
  <si>
    <t>IEEE International Conference on Agents (ICA)</t>
  </si>
  <si>
    <t>JUL 28-31, 2018</t>
  </si>
  <si>
    <t>Nanyang Technolog Univ, Singapore, SINGAPORE</t>
  </si>
  <si>
    <t>Nanyang Technolog Univ</t>
  </si>
  <si>
    <t>MOOCs; artificial intelligence; data science</t>
  </si>
  <si>
    <t>Massive Open Online Courses (MOOCs) have gained tremendous popularity in the last few years. Thanks to MOOCs, millions of learners from all over the world have taken thousands of high-quality courses for free. Artificial intelligence (AI) has played an important role in making MOOCs what they are today. By exploiting the vast amount of data generated by learners engaging in MOOCs, AI techniques have been proposed to improve our understanding of MOOC participants and enable MOOC practitioners to deliver better courses. These approaches have also greatly improved student experience and learning outcomes through constructing intelligent and personalized learning trajectories. In this paper, we first review the state-of-the-art AI research making an impact on MOOCs education, emphasizing on works which aim to enhance our understanding of student learning behaviours, improve student engagement, and improve learning outcomes. We then offer an overview of important future research to carry out in sub-fields of AI to enable MOOCs to reach their full potential.</t>
  </si>
  <si>
    <t>[Fauvel, Simon; Yu, Han; Miao, Chunyan; Zhang, Liang] Nanyang Technol Univ, Joint NTU UBC Res Ctr Excellence Act Living Elder, Singapore, Singapore; [Yu, Han; Miao, Chunyan] Nanyang Technol Univ, Sch Comp Sci &amp; Engn, Singapore, Singapore; [Cui, Lizhen] Shandong Univ, Sch Software Engn, Jinan, Shandong, Peoples R China; [Song, Hengjie] South China Univ Technol, Sch Software Engn, Guangzhou, Guangdong, Peoples R China; [Li, Xiaoming] Peking Univ, Inst Network Comp &amp; Informat Syst, Beijing, Peoples R China; [Leung, Cyril] Univ British Columbia, Dept Elect &amp; Comp Engn, Vancouver, BC, Canada</t>
  </si>
  <si>
    <t>Nanyang Technological University; Nanyang Technological University; Shandong University; South China University of Technology; Peking University; University of British Columbia</t>
  </si>
  <si>
    <t>Fauvel, S; Yu, H (corresponding author), Nanyang Technol Univ, Joint NTU UBC Res Ctr Excellence Act Living Elder, Singapore, Singapore.;Yu, H (corresponding author), Nanyang Technol Univ, Sch Comp Sci &amp; Engn, Singapore, Singapore.;Cui, LZ (corresponding author), Shandong Univ, Sch Software Engn, Jinan, Shandong, Peoples R China.;Song, HJ (corresponding author), South China Univ Technol, Sch Software Engn, Guangzhou, Guangdong, Peoples R China.</t>
  </si>
  <si>
    <t>sfauvel@ntu.edu.sg; han.yu@ntu.edu.sg; clz@sdu.edu.cn; sehjsong@scut.edu.cn</t>
  </si>
  <si>
    <t>Yu, Han/AAE-7979-2020; Liu, Zhenzhen/AAE-1303-2020; Miao, Chunyan/A-3730-2011; Yu, Han/R-3297-2017</t>
  </si>
  <si>
    <t>Miao, Chunyan/0000-0002-0300-3448; Yu, Han/0000-0001-6893-8650</t>
  </si>
  <si>
    <t>National Research Foundation, Prime Minister's Office, Singapore under its IDM Futures Funding Initiative; Nanyang Technological University, Nanyang Assistant Professorship (NAP); NTU-PKU Joint Research Institute - Ng Teng Fong Charitable Foundation</t>
  </si>
  <si>
    <t>National Research Foundation, Prime Minister's Office, Singapore under its IDM Futures Funding Initiative(National Research Foundation, Singapore); Nanyang Technological University, Nanyang Assistant Professorship (NAP)(Nanyang Technological University); NTU-PKU Joint Research Institute - Ng Teng Fong Charitable Foundation</t>
  </si>
  <si>
    <t>This research is supported by the National Research Foundation, Prime Minister's Office, Singapore under its IDM Futures Funding Initiative; Nanyang Technological University, Nanyang Assistant Professorship (NAP); and the NTU-PKU Joint Research Institute, a collaboration between Nanyang Technological University and Peking University that is sponsored by a donation from the Ng Teng Fong Charitable Foundation.</t>
  </si>
  <si>
    <t>978-1-5386-8180-0</t>
  </si>
  <si>
    <t>BL6YQ</t>
  </si>
  <si>
    <t>WOS:000454758300011</t>
  </si>
  <si>
    <t>[Anonymous]</t>
  </si>
  <si>
    <t>Research priorities for robust and beneficial artificial intelligence</t>
  </si>
  <si>
    <t>INFORMACIOS TARSADALOM</t>
  </si>
  <si>
    <t>Hungarian</t>
  </si>
  <si>
    <t>artificial intelligence; short and long term impacts; law and ethics; computer science research</t>
  </si>
  <si>
    <t>Success in the quest for artificial intelligence has the potential to bring unprecedented benefits to humanity, and it is therefore worthwhile to research how to maximize these benefits while avoiding potential pitfalls. This document gives numerous examples (which should by no means be construed as an exhaustive list) of such worthwhile research aimed at ensuring that AI remains robust and beneficial.</t>
  </si>
  <si>
    <t>INFONIA</t>
  </si>
  <si>
    <t>BUDAPEST</t>
  </si>
  <si>
    <t>MUEGYETEM RKP 9 II EMELET 210, BUDAPEST, 1111, HUNGARY</t>
  </si>
  <si>
    <t>1587-8694</t>
  </si>
  <si>
    <t>INF TARSAD</t>
  </si>
  <si>
    <t>Inf. Tarsad.</t>
  </si>
  <si>
    <t>DJ0CB</t>
  </si>
  <si>
    <t>WOS:000373867900008</t>
  </si>
  <si>
    <t>Kim, YJ; Liu, Y; Kim, Y; Jang, HW</t>
  </si>
  <si>
    <t>Kim, Yeong Jae; Liu, Yang; Kim, Youngeun; Jang, Ho Won</t>
  </si>
  <si>
    <t>Publications on COVID-19 and artificial intelligence: trends and lessons</t>
  </si>
  <si>
    <t>SCIENCE EDITING</t>
  </si>
  <si>
    <t>Publication trends; COVID-19; Artificial intelligence; Journal impact factor; Journal citation</t>
  </si>
  <si>
    <t>Purpose: This study investigates shifts in scientific research focus, particularly the decline in COVID-19-related research and the rapid growth of artificial intelligence (AI) publications. Methods: We analyzed publication data from the Web of Science, comparing yearly publication counts for COVID-19 and AI research. The study also tracked changes in the impact factors of leading journals like Science and Nature, alongside those of top AI journals over the past decade. Additionally, we reviewed the top 10 most cited articles in 2021 from Science and Nature and the most influential AI publications from the past five years according to Google Scholar. The impact trends of the top 100 AI journals in computer science were also explored. Results: The analysis reveals a noticeable decline in COVID-19 related publications as the pandemic urgency diminishes, contrasted with the continued rapid growth of AI research. Impact factors for prestigious journals have shifted, with AI journals increasingly dominating the academic landscape. The review of top-cited articles further emphasizes these trends. Conclusion: Our findings indicate a significant shift in research priorities, with AI emerging as a dominant field poised to address future challenges, reflecting the evolving focus of the scientific community.</t>
  </si>
  <si>
    <t>[Kim, Yeong Jae; Kim, Youngeun; Jang, Ho Won] Seoul Natl Univ, Res Inst Adv Mat, Dept Mat Sci &amp; Engn, Seoul, South Korea; [Liu, Yang] Nantong Univ, Sch Publ Hlth, Nantong, Peoples R China; [Jang, Ho Won] Seoul Natl Univ, Adv Inst Convergence Technol, Suwon, South Korea</t>
  </si>
  <si>
    <t>Seoul National University (SNU); Nantong University; Seoul National University (SNU)</t>
  </si>
  <si>
    <t>Kim, Y; Jang, HW (corresponding author), Seoul Natl Univ, Res Inst Adv Mat, Dept Mat Sci &amp; Engn, Seoul, South Korea.;Liu, Y (corresponding author), Nantong Univ, Sch Publ Hlth, Nantong, Peoples R China.;Jang, HW (corresponding author), Seoul Natl Univ, Adv Inst Convergence Technol, Suwon, South Korea.</t>
  </si>
  <si>
    <t>liuyang1982@ntu.edu.cn; youngeunkim@snu.ac.kr; hwjang@snu.ac.kr</t>
  </si>
  <si>
    <t>Jang, Ho Won/D-9866-2011</t>
  </si>
  <si>
    <t>Jang, Ho Won/0000-0002-6952-7359; Kim, Yeong Jae/0009-0006-1582-8312; Kim, Youngeun/0000-0002-9404-6936</t>
  </si>
  <si>
    <t>Nano and Material Technology Development Program through the National Research Foundation of Korea (NRF) [RS-2024-00405016]; Korean Ministry of Science and ICT</t>
  </si>
  <si>
    <t>Nano and Material Technology Development Program through the National Research Foundation of Korea (NRF); Korean Ministry of Science and ICT(Ministry of Science, ICT &amp; Future Planning, Republic of Korea)</t>
  </si>
  <si>
    <t>This work was supported by the Nano and Material Technology Development Program (No. RS-2024-00405016) through the National Research Foundation of Korea (NRF), funded by the Korean Ministry of Science and ICT.</t>
  </si>
  <si>
    <t>KOREAN COUNCIL SCIENCE EDITORS</t>
  </si>
  <si>
    <t>SEOUL</t>
  </si>
  <si>
    <t>KOREA SCIENCE &amp; TECHNOLOGY CENTER 2ND FL, 22 TEHERAN-RO 7-GIL, GANGNAM-GU, SEOUL, 06130, SOUTH KOREA</t>
  </si>
  <si>
    <t>2288-7474</t>
  </si>
  <si>
    <t>2288-8063</t>
  </si>
  <si>
    <t>SCI EDIT</t>
  </si>
  <si>
    <t>Sci. Ed.</t>
  </si>
  <si>
    <t>10.6087/kcse.338</t>
  </si>
  <si>
    <t>E6Z6A</t>
  </si>
  <si>
    <t>WOS:001304471600007</t>
  </si>
  <si>
    <t>Wang, W; Liu, H; Lin, WQ; Chen, Y; Yang, JA</t>
  </si>
  <si>
    <t>Wang, Wei; Liu, Hui; Lin, Wangqun; Chen, Ying; Yang, Jun-An</t>
  </si>
  <si>
    <t>Investigation on Works and Military Applications of Artificial Intelligence</t>
  </si>
  <si>
    <t>Artificial intelligence; search methods; machine learning; knowledge engineering; data engineering</t>
  </si>
  <si>
    <t>EXPERT-SYSTEM</t>
  </si>
  <si>
    <t>Technology determines tactics, and tactics promote the development of technology. Artificial intelligence technology is a multiplier that accelerates the innovation and development of military theory. In this paper, we first list the different intelligence levels by introducing their corresponding applications. Then we review the technical classification based on the related concepts, Finally, we discuss technical and practical difficulties and give some solutions from the aspects of strengthening knowledge engineering, building simulation systems, and accumulating data engineering knowledge. The development of Artificial intelligence technology has a profound impact on military development trends, leading to major changes in the forms and modes of war.</t>
  </si>
  <si>
    <t>[Wang, Wei; Lin, Wangqun] Acad Mil Sci, Ctr Assessment &amp; Demonstrat Res, Beijing 100091, Peoples R China; [Wang, Wei; Liu, Hui; Yang, Jun-An] Natl Univ Def Technol, Inst Elect Warfare, Hefei 230037, Peoples R China; [Chen, Ying] Wuhan Univ Technol, Sch Automat, Wuhan 430037, Peoples R China</t>
  </si>
  <si>
    <t>National University of Defense Technology - China; Wuhan University of Technology</t>
  </si>
  <si>
    <t>Liu, H (corresponding author), Natl Univ Def Technol, Inst Elect Warfare, Hefei 230037, Peoples R China.</t>
  </si>
  <si>
    <t>christ592604@163.com</t>
  </si>
  <si>
    <t>Wang, Wei/0000-0003-4126-3571</t>
  </si>
  <si>
    <t>Anhui Provincial Natural Science Foundation [1908085MF202]; Independent Scienti~c Research Program of National University of Defense Science and Technology [ZK18-03-14]</t>
  </si>
  <si>
    <t>Anhui Provincial Natural Science Foundation(Natural Science Foundation of Anhui Province); Independent Scienti~c Research Program of National University of Defense Science and Technology</t>
  </si>
  <si>
    <t>This work was supported in part by the Anhui Provincial Natural Science Foundation under Grant 1908085MF202, and in part by the Independent Scienti~c Research Program of National University of Defense Science and Technology under Grant ZK18-03-14.</t>
  </si>
  <si>
    <t>10.1109/ACCESS.2020.3009840</t>
  </si>
  <si>
    <t>MQ6EC</t>
  </si>
  <si>
    <t>WOS:000552985000001</t>
  </si>
  <si>
    <t>Hoppe, BF; Rueckel, J; Dikhtyar, Y; Heimer, M; Fink, N; Sabel, BO; Ricke, J; Rudolph, J; Cyran, CC</t>
  </si>
  <si>
    <t>Hoppe, Boj Friedrich; Rueckel, Johannes; Dikhtyar, Yevgeniy; Heimer, Maurice; Fink, Nicola; Sabel, Bastian Oliver; Ricke, Jens; Rudolph, Jan; Cyran, Clemens C.</t>
  </si>
  <si>
    <t>Implementing Artificial Intelligence for Emergency Radiology Impacts Physicians' Knowledge and Perception</t>
  </si>
  <si>
    <t>INVESTIGATIVE RADIOLOGY</t>
  </si>
  <si>
    <t>artificial intelligence; emergency radiology; traumatology; diagnostic imaging</t>
  </si>
  <si>
    <t>Purpose: The aim of this study was to evaluate the impact of implementing an artificial intelligence (AI) solution for emergency radiology into clinical routine on physicians' perception and knowledge. Materials and Methods: A prospective interventional survey was performed pre-implementation and 3 months post-implementation of an AI algorithm for fracture detection on radiographs in late 2022. Radiologists and traumatologists were asked about their knowledge and perception of AI on a 7-point Likert scale (-3, strongly disagree; +3, strongly agree). Self-generated identification codes allowed matching the same individuals pre-intervention and post-intervention, and using Wilcoxon signed rank test for paired data. Results: A total of 47/71 matched participants completed both surveys (66% follow-up rate) and were eligible for analysis (34 radiologists [72%], 13 traumatologists [28%], 15 women [32%]; mean age, 34.8 +/- 7.8 years). Postintervention, there was an increase that AI reduced missed findings (1.28 [pre] vs 1.94 [post], P = 0.003) and made readers safer (1.21 vs 1.64, P = 0.048), but not faster (0.98 vs 1.21, P = 0.261). There was a rising disagreement that AI could replace the radiological report (-2.04 vs -2.34, P = 0.038), as well as an increase in self-reported knowledge about clinical AI, its chances, and its risks (0.40 vs 1.00, 1.21 vs 1.70, and 0.96 vs 1.34; all P's &lt;= 0.028). Radiologists used AI results more frequently than traumatologists (P &lt; 0.001) and rated benefits higher (all P's &lt;= 0.038), whereas senior physicians were less likely to use AI or endorse its benefits (negative correlation with age, -0.35 to 0.30; all P's &lt;= 0.046). Conclusions: Implementing AI for emergency radiology into clinical routine has an educative aspect and underlines the concept of AI as a second reader, to support and not replace physicians.</t>
  </si>
  <si>
    <t>[Hoppe, Boj Friedrich; Rueckel, Johannes; Dikhtyar, Yevgeniy; Heimer, Maurice; Fink, Nicola; Sabel, Bastian Oliver; Ricke, Jens; Rudolph, Jan; Cyran, Clemens C.] Ludwig Maximilians Univ Munchen, Univ Hosp, Dept Radiol, Munich, Germany; [Rueckel, Johannes] Ludwig Maximilians Univ Munchen, Univ Hosp, Inst Neuroradiol, Munich, Germany; [Hoppe, Boj Friedrich] Ludwig Maximilians Univ Munchen, Univ Hosp, Dept Radiol, Marchioninistr 15, D-81377 Munich, Germany</t>
  </si>
  <si>
    <t>University of Munich; University of Munich; University of Munich</t>
  </si>
  <si>
    <t>Hoppe, BF (corresponding author), Ludwig Maximilians Univ Munchen, Univ Hosp, Dept Radiol, Marchioninistr 15, D-81377 Munich, Germany.</t>
  </si>
  <si>
    <t>boj.hoppe@med.uni-muenchen.de; johannes.rueckel@med.uni-muenchen.de; yevgeniy.dikhtyar@med.uni-muenchen.de; maurice.heimer@med.uni-muenchen.de; nicola.fink@med.uni-muenchen.de; bastian.sabel@med.uni-muenchen.de; jens.ricke@med.uni-muenchen.de; jan.rudolph@med.uni-muenchen.de; clemens.cyran@med.uni-muenchen.de</t>
  </si>
  <si>
    <t>Rudolph, Jan/JRX-8049-2023</t>
  </si>
  <si>
    <t>Hoppe, Boj Friedrich/0000-0001-6248-5128</t>
  </si>
  <si>
    <t>0020-9996</t>
  </si>
  <si>
    <t>1536-0210</t>
  </si>
  <si>
    <t>INVEST RADIOL</t>
  </si>
  <si>
    <t>Invest. Radiol.</t>
  </si>
  <si>
    <t>10.1097/RLI.0000000000001034</t>
  </si>
  <si>
    <t>NF0O6</t>
  </si>
  <si>
    <t>WOS:001198922700002</t>
  </si>
  <si>
    <t>Vacarelu, M</t>
  </si>
  <si>
    <t>Vacarelu, Marius</t>
  </si>
  <si>
    <t>Artificial Intelligence and Limits of Political Stability: Are Politicians in Danger?</t>
  </si>
  <si>
    <t>artificial intelligence; political stability; authoritarian regimes; democratic institutions; civil service; active citizens</t>
  </si>
  <si>
    <t>A political system always needs a reasonable degree of stability to allow political actors and public administration to function in accordance with the electorate's interests. Political stability does not have to mean immobility - more precisely, the preservation of a certain system or a certain political group for decades or centuries. At the same time, the political turmoil that continues for many years - a decade or more - affects the entire geopolitical and economic coherence of a country, failing unique opportunities and broad development prospects. Politicians calculate their own steps relative to this stability and often consider it useful to them. In fact, for many people in the political environment stability is synonymous with controlled competition, so that within certain limits politicians will be harmed in their own interests only to a minimal extent. The twenty first century, however, is one in which rapid population growth is accompanied by rising demands from the electorate, which - as never before in history - is asking for rapid and substantial results in terms of raising living standards. In this perspective, the non-fulfilment of the citizens' demands has an immediate repercussion on the politicians, who ended up being discredited very quickly. This discredit therefore means that political leaders are changed rapidly and political stability is greatly reduced. Artificial Intelligence technology has also appeared in this 21st century, offering new possibilities both in favour of political stability increasing to the level of immobility - in countries with dictatorial regimes and in favour of political competition growth. We are in this decade not only at the moment when this technology begins to impose itself in the economic sphere, but especially in the political area. The political environment will not remain immune to this transformation and many of the political landscape can, and, most likely, will be changed. For this reason, it is necessary to study the relationship between Artificial Intelligence and the political environment, in order to understand what the ways of mutual influence are, but especially what will be the changes that politics will experience in the not too distant future.</t>
  </si>
  <si>
    <t>[Vacarelu, Marius] Natl Sch Polit &amp; Adm Studies, Bucharest, Romania</t>
  </si>
  <si>
    <t>National University of Political Studies &amp; Public Administration (SNSPA) - Romania</t>
  </si>
  <si>
    <t>Vacarelu, M (corresponding author), Natl Sch Polit &amp; Adm Studies, Bucharest, Romania.</t>
  </si>
  <si>
    <t>marius333vacarelu@gmail.com</t>
  </si>
  <si>
    <t>10.34190/EAIR.21.009</t>
  </si>
  <si>
    <t>WOS:000838033200025</t>
  </si>
  <si>
    <t>Chhina, A; Trehan, K; Saini, M; Thakur, S; Kaur, M; Shahtaghi, NR; Shivgotra, R; Soni, B; Modi, A; Bakrey, H; Jain, SK</t>
  </si>
  <si>
    <t>Chhina, Aashveen; Trehan, Karan; Saini, Muskaan; Thakur, Shubham; Kaur, Manjot; Shahtaghi, Navid Reza; Shivgotra, Riya; Soni, Bindu; Modi, Anuj; Bakrey, Hossamaldeen; Jain, Subheet Kumar</t>
  </si>
  <si>
    <t>Revolutionizing Pharmaceutical Industry: The Radical Impact of Artificial Intelligence and Machine Learning</t>
  </si>
  <si>
    <t>CURRENT PHARMACEUTICAL DESIGN</t>
  </si>
  <si>
    <t>Artificial intelligence, machine learning, drug discovery, post-marketing surveillance, target identification, QSAR modeling, polypharmacology</t>
  </si>
  <si>
    <t>PREDICTIVE ANALYTICS; DRUG DISCOVERY; BIG DATA; DEEP; MEDICINE; CLASSIFICATION; PERFORMANCE; CHEMICALS; TOXICITY; PLATFORM</t>
  </si>
  <si>
    <t>This article explores the significant impact of artificial intelligence (AI) and machine learning (ML) on the pharmaceutical industry, which has transformed the drug development process. AI and ML technologies provide powerful tools for analysis, decision-making, and prediction by simplifying complex procedures from drug design to formulation design. These techniques could potentially speed up the development of better medications and drug development processes, improving the lives of millions of people. However, the use of these techniques requires trained personnel and human surveillance for AI to function effectively, if not there is a possibility of errors like security breaches of personal data and bias can also occur. Thus, the present review article discusses the transformative power of AI and ML in the pharmaceutical industry and provides insights into the future of drug development and patient care.</t>
  </si>
  <si>
    <t>[Chhina, Aashveen; Trehan, Karan; Saini, Muskaan; Thakur, Shubham; Kaur, Manjot; Shahtaghi, Navid Reza; Shivgotra, Riya; Soni, Bindu; Bakrey, Hossamaldeen; Jain, Subheet Kumar] Guru Nanak Dev Univ, Dept Pharmaceut Sci, Amritsar 143005, India; [Modi, Anuj] Delhi Skill &amp; Entrepreneurship Univ, Dept Pharm, Dwarka Campus, New Delhi 110077, India; [Jain, Subheet Kumar] Guru Nanak Dev Univ, Ctr Basic &amp; Translat Res Hlth Sci, Amritsar 143005, India</t>
  </si>
  <si>
    <t>Guru Nanak Dev University; Guru Nanak Dev University</t>
  </si>
  <si>
    <t>Jain, SK (corresponding author), Guru Nanak Dev Univ, Dept Pharmaceut Sci, Amritsar 143005, India.;Jain, SK (corresponding author), Guru Nanak Dev Univ, Ctr Basic &amp; Translat Res Hlth Sci, Amritsar 143005, India.</t>
  </si>
  <si>
    <t>subheetjain@rediffmail.com</t>
  </si>
  <si>
    <t>Kaur, Manjot/KLY-9187-2024</t>
  </si>
  <si>
    <t>Modi, Anuj/0000-0002-8664-889X</t>
  </si>
  <si>
    <t>Declared none.</t>
  </si>
  <si>
    <t>BENTHAM SCIENCE PUBL LTD</t>
  </si>
  <si>
    <t>SHARJAH</t>
  </si>
  <si>
    <t>EXECUTIVE STE Y-2, PO BOX 7917, SAIF ZONE, 1200 BR SHARJAH, U ARAB EMIRATES</t>
  </si>
  <si>
    <t>1381-6128</t>
  </si>
  <si>
    <t>1873-4286</t>
  </si>
  <si>
    <t>CURR PHARM DESIGN</t>
  </si>
  <si>
    <t>Curr. Pharm. Design</t>
  </si>
  <si>
    <t>10.2174/1381612829666230807161421</t>
  </si>
  <si>
    <t>R2SL9</t>
  </si>
  <si>
    <t>WOS:001062898900003</t>
  </si>
  <si>
    <t>Tseng, CJ; Lin, SY</t>
  </si>
  <si>
    <t>Tseng, Cheng-Jui; Lin, Shih-Yen</t>
  </si>
  <si>
    <t>Role of artificial intelligence in carbon cost reduction of firms</t>
  </si>
  <si>
    <t>Artificial intelligence; Carbon cost reduction; Carbon emissions; SPSS</t>
  </si>
  <si>
    <t>GREEN; MANAGEMENT; EMISSION</t>
  </si>
  <si>
    <t>The primary investor for global warming and climate change is carbon dioxide (CO2), which accounts for the largest portion of greenhouse gases in and around firms. Artificial intelligence (AI) can have a big impact on reducing the carbon costs of firms. With AI, companies can monitor energy usage across different processes, identify inefficiencies and suggest ways to reduce them. This helps companies improve resource efficiency and costs while minimizing carbon emissions. The study aims to explore the impact of artificial intelligence (AI) on the carbon cost reduction of firms. This study investigates how businesses can leverage Artificial Intelligence (AI) for the reduction of carbon costs. Specifically, the research explores the impact of AI-based predictions, decisionmaking, recommendations, and renewable energy optimization on firms' carbon cost reduction. This research employs a quantitative research design and demonstrates that AI use in decision-making and optimizing renewable energy is highly correlated with carbon cost reduction. The outcomes of the research have significant practical implications for policymakers, and industry professionals in their development of sustainable business practices. Additionally, the research contributes to the literature surrounding AI and sustainability by offering an empirical perspective on how AI can be used to support environmental sustainability efforts, enhance corporate social responsibility, and promote long-term economic gains for firms. The statistical analysis shows that there is a significant impact of AI-based predictions on the reduction of carbon costs in firms. Furthermore, it demonstrates that AI-based decision-making impacts reducing carbon costs for firms. These results highlight the importance of incorporating AI technology into business practices to effectively address sustainability concerns and reduce carbon costs, ultimately promoting long-term economic sustainability and corporate social responsibility.</t>
  </si>
  <si>
    <t>[Tseng, Cheng-Jui] CTBC Business Sch, Grad Sch Technol Finance, Tainan, Taiwan; [Lin, Shih-Yen] Natl Chi Nan Univ, Dept Tourism Leisure &amp; Hospitality Management, Puli Township, Taiwan</t>
  </si>
  <si>
    <t>National Chi Nan University</t>
  </si>
  <si>
    <t>Lin, SY (corresponding author), Natl Chi Nan Univ, Dept Tourism Leisure &amp; Hospitality Management, Puli Township, Taiwan.</t>
  </si>
  <si>
    <t>sylin5016@ncnu.edu.tw</t>
  </si>
  <si>
    <t>APR 1</t>
  </si>
  <si>
    <t>10.1016/j.jclepro.2024.141413</t>
  </si>
  <si>
    <t>PY5T7</t>
  </si>
  <si>
    <t>WOS:001217660000001</t>
  </si>
  <si>
    <t>Echefu, G; Shah, RS; Sanchez, Z; Rickards, J; Brown, SA</t>
  </si>
  <si>
    <t>Echefu, Gift; Shah, Rushabh; Sanchez, Zanele; Rickards, John; Brown, Sherry-Ann</t>
  </si>
  <si>
    <t>Artificial intelligence: Applications in cardio-oncology and potential impact on racial disparities</t>
  </si>
  <si>
    <t>AMERICAN HEART JOURNAL PLUS: CARDIOLOGY RESEARCH AND PRACTICE</t>
  </si>
  <si>
    <t>Cardio-oncology; Artificial intelligence; Cancer; Cardiovascular disease; Racial disparities</t>
  </si>
  <si>
    <t>CARDIOVASCULAR-DISEASE; ETHNIC DISPARITIES; USERS GUIDES; HEALTH; CANCER; PREDICTION; RISK; ELECTROCARDIOGRAMS; CARDIOMYOPATHY; TRIALS</t>
  </si>
  <si>
    <t>Numerous cancer therapies have detrimental cardiovascular effects on cancer survivors. Cardiovascular toxicity can span the course of cancer treatment and is influenced by several factors. To mitigate these risks, cardiooncology has evolved, with an emphasis on prevention and treatment of cardiovascular complications resulting from the presence of cancer and cancer therapy. Artificial intelligence (AI) holds multifaceted potential to enhance cardio-oncologic outcomes. AI algorithms are currently utilizing clinical data input to identify patients at risk for cardiac complications. Additional application opportunities for AI in cardio-oncology involve multimodal cardiovascular imaging, where algorithms can also utilize imaging input to generate predictive risk profiles for cancer patients. The impact of AI extends to digital health tools, playing a pivotal role in the development of digital platforms and wearable technologies. Multidisciplinary teams have been formed to implement and evaluate the efficacy of these technologies, assessing AI-driven clinical decision support tools. Other avenues similarly support practical application of AI in clinical practice, such as incorporation into electronic health records (EHRs) to detect patients at risk for cardiovascular diseases. While these AI applications may help improve preventive measures and facilitate tailored treatment to patients, they are also capable of perpetuating and exacerbating healthcare disparities, if trained on limited, homogenous datasets. However, if trained and operated appropriately, AI holds substantial promise in positively influencing clinical practice in cardio-oncology. In this review, we explore the impact of AI on cardio-oncology care, particularly regarding predicting cardiotoxicity from cancer treatments, while addressing racial and ethnic biases in algorithmic implementation.</t>
  </si>
  <si>
    <t>[Echefu, Gift] Univ Tennessee, Div Cardiovasc Med, Memphis, TN USA; [Shah, Rushabh] Med Coll Wisconsin, Milwaukee, WI USA; [Sanchez, Zanele] Sch Adv Studies, Miami, FL USA; [Sanchez, Zanele] Miami Dade Coll, Miami, FL USA; [Rickards, John] Mercer Univ, Sch Med, Macon, GA USA; [Brown, Sherry-Ann] Med Coll Wisconsin, Dept Med, 8701 Watertown Plank Rd, Milwaukee, WI 53226 USA; [Brown, Sherry-Ann] Mayo Clin, Dept Cardiovasc Med, Rochester, MN USA; [Brown, Sherry-Ann] Heart Innovat &amp; Equ Res HIER Grp, Miami, FL USA</t>
  </si>
  <si>
    <t>University of Tennessee System; University of Tennessee Health Science Center; Medical College of Wisconsin; Mercer University; Medical College of Wisconsin; Mayo Clinic</t>
  </si>
  <si>
    <t>Brown, SA (corresponding author), Med Coll Wisconsin, Dept Med, 8701 Watertown Plank Rd, Milwaukee, WI 53226 USA.</t>
  </si>
  <si>
    <t>shbrown@mcw.edu</t>
  </si>
  <si>
    <t>Brown, Sherry-Ann/ABB-5108-2020</t>
  </si>
  <si>
    <t>National Center for Advancing Translational Sciences, National Institutes of Health [UL1 TR001436, KL2 TR001438]; CTSI Team Science-Guided Integrated Clinical and Research Ensemble award; Ministry of Health of the Czech Republic [NU23-09-00048]</t>
  </si>
  <si>
    <t>National Center for Advancing Translational Sciences, National Institutes of Health(United States Department of Health &amp; Human ServicesNational Institutes of Health (NIH) - USANIH National Center for Advancing Translational Sciences (NCATS)); CTSI Team Science-Guided Integrated Clinical and Research Ensemble award; Ministry of Health of the Czech Republic(Ministry of Health, Czech Republic)</t>
  </si>
  <si>
    <t>This publication was supported by the National Center for Advancing Translational Sciences, National Institutes of Health, through Grant Numbers UL1 TR001436 and KL2 TR001438, including a CTSI Team Science-Guided Integrated Clinical and Research Ensemble award. Dr. Batalik is supported by the Ministry of Health of the Czech Republic (grant nr. NU23-09-00048) . Its contents are solely the authors' responsibility and do not necessarily represent the official views of the NIH.</t>
  </si>
  <si>
    <t>2666-6022</t>
  </si>
  <si>
    <t>AM HEART J PLUS</t>
  </si>
  <si>
    <t>Am. Heart J. Plus-Cardiol. Res. Pract.</t>
  </si>
  <si>
    <t>10.1016/j.ahjo.2024.100479</t>
  </si>
  <si>
    <t>M1L2W</t>
  </si>
  <si>
    <t>WOS:001355219700001</t>
  </si>
  <si>
    <t>Olivier, D; Ibrahim, N</t>
  </si>
  <si>
    <t>Olivier, Donfouet; Ibrahim, Ngouhouo</t>
  </si>
  <si>
    <t>Is artificial intelligence helping to empower women in agriculture in Africa?</t>
  </si>
  <si>
    <t>GEOJOURNAL</t>
  </si>
  <si>
    <t>Artificial intelligence; Women's agricultural empowerment; Africa</t>
  </si>
  <si>
    <t>CROSS-SECTION; EMPLOYMENT; GENDER; REPRESENTATION; ALLOCATION</t>
  </si>
  <si>
    <t>This article aims to determine the impact of artificial intelligence on the agricultural empowerment of women in Africa. Thus, we used an incomplete panel of 34 countries in Africa over the period 2013-2020 and on which we applied the GMM method for basic results and the Corrected Panel Standard Error (CPSE), Ordinary Least Squares (OLS), Between (BE) methods for fixed effects and the Generalized Least Squares (GLS) estimator for robustness analysis. The results from these analyses allowed us to conclude that the use of artificial intelligence in the agricultural sector contributes to reducing gender inequalities. However, we note that the significant number of women employed in agriculture also contributes at this reduction in gender inequality in Africa. Thus, it is important for African countries to create favorable conditions to enable women to master the mechanisms of artificial intelligence applied in the agriculture for its development of agriculture in Africa.</t>
  </si>
  <si>
    <t>[Olivier, Donfouet; Ibrahim, Ngouhouo] Univ Dschang Cameroon, Fac Econ &amp; Management, Grp Rech Econ Appliquee &amp; Dev GREAD, Dschang, Cameroon</t>
  </si>
  <si>
    <t>Olivier, D (corresponding author), Univ Dschang Cameroon, Fac Econ &amp; Management, Grp Rech Econ Appliquee &amp; Dev GREAD, Dschang, Cameroon.</t>
  </si>
  <si>
    <t>DONFOUET, Olivier/LGY-2741-2024</t>
  </si>
  <si>
    <t>0343-2521</t>
  </si>
  <si>
    <t>1572-9893</t>
  </si>
  <si>
    <t>GeoJournal</t>
  </si>
  <si>
    <t>JUN 29</t>
  </si>
  <si>
    <t>10.1007/s10708-024-11141-3</t>
  </si>
  <si>
    <t>Geography</t>
  </si>
  <si>
    <t>XG5F3</t>
  </si>
  <si>
    <t>WOS:001260536000001</t>
  </si>
  <si>
    <t>Filler, G; Gipson, DS; Iyamuremye, D; de Ferris, MEDG</t>
  </si>
  <si>
    <t>Filler, Guido; Gipson, Debbie S.; Iyamuremye, Didier; de Ferris, Maria Esther Diaz Gonzalez</t>
  </si>
  <si>
    <t>Artificial Intelligence in Pediatric Nephrology-A Call for Action</t>
  </si>
  <si>
    <t>ADVANCES IN KIDNEY DISEASE AND HEALTH</t>
  </si>
  <si>
    <t>Key Words; Urinary tract infections; Acute kidney injury; Artificial intelligence; Vancomycin; Dialysis dry weight</t>
  </si>
  <si>
    <t>GLOMERULAR-FILTRATION-RATE; EXPOSURE; CARE</t>
  </si>
  <si>
    <t>Artificial intelligence is playing an increasingly important role in many fields of clinical care to assist health care providers in patient management. In adult-focused nephrology, artificial intelligence is beginning to be used to improve clinical care, hemo-dialysis prescriptions, and follow-up of transplant recipients. This article provides an overview of medical artificial intelligence applications relevant to pediatric nephrology. We describe the core concepts of artificial intelligence and machine learning and cover the basics of neural networks and deep learning. We also discuss some examples for clinical applications of artificial in-telligence in pediatric nephrology, including neonatal kidney function, early recognition of acute kidney injury, renally cleared drug dosing, intrapatient variability, urinary tract infection workup in infancy, and longitudinal disease progression. Further-more, we consider the future of artificial intelligence in clinical pediatric nephrology and its potential impact on medical practice and address the ethical issues artificial intelligence raises in terms of clinical decision-making, health care provider-patient rela-tionship, patient privacy, and data collection. This article also represents a call for action involving those of us striving to provide optimal services for children, adolescents, and young adults with chronic conditions.</t>
  </si>
  <si>
    <t>[Filler, Guido] Western Univ, Dept Paediat, Div Pediat Nephrol, London, ON, Canada; [Filler, Guido] Western Univ, Dept Med, London, ON, Canada; [Filler, Guido] Western Univ, Dept Pathol &amp; Lab Med, London, ON, Canada; [Gipson, Debbie S.] Univ Michigan, Dept Pediat, Ann Arbor, MI USA; [Iyamuremye, Didier] Softrizon Ltd, Raleigh, NC USA; [de Ferris, Maria Esther Diaz Gonzalez] Univ N Carolina, Dept Pediat, Chapel Hill, NC USA; [Filler, Guido] Univ Western Ontario, 800 Commissioners Rd East,E3-206, London, ON N6A 5W9, Canada</t>
  </si>
  <si>
    <t>Western University (University of Western Ontario); Western University (University of Western Ontario); Western University (University of Western Ontario); University of Michigan System; University of Michigan; University of North Carolina; University of North Carolina Chapel Hill; Western University (University of Western Ontario)</t>
  </si>
  <si>
    <t>Filler, G (corresponding author), Univ Western Ontario, 800 Commissioners Rd East,E3-206, London, ON N6A 5W9, Canada.</t>
  </si>
  <si>
    <t>guido.filler@lhsc.on.ca</t>
  </si>
  <si>
    <t>Filler, Guido/AEY-9216-2022</t>
  </si>
  <si>
    <t>Filler, Guido/0000-0003-1891-6765; Gipson, Debbie/0000-0003-4473-9045</t>
  </si>
  <si>
    <t>2949-8147</t>
  </si>
  <si>
    <t>2949-8139</t>
  </si>
  <si>
    <t>ADV KIDNEY DIS HEAL</t>
  </si>
  <si>
    <t>Adv. Kidney Dis. Heal.</t>
  </si>
  <si>
    <t>10.1053/j.akdh.2022.11.001</t>
  </si>
  <si>
    <t>JAN 2023</t>
  </si>
  <si>
    <t>M4GM9</t>
  </si>
  <si>
    <t>WOS:001029802200001</t>
  </si>
  <si>
    <t>Kaczmarczyk, M; Tomaszewska, B</t>
  </si>
  <si>
    <t>Kaczmarczyk, Michal; Tomaszewska, Barbara</t>
  </si>
  <si>
    <t>Desalination processes supported by renewable energy sources managed by artificial intelligence</t>
  </si>
  <si>
    <t>DESALINATION AND WATER TREATMENT</t>
  </si>
  <si>
    <t>2nd International Symposium on Nanomaterials and Membrane Science for Water, Energy and Environment (SNMS) - Desalination and Reuse in the Face of Water Scarcity</t>
  </si>
  <si>
    <t>JUN 01-02, 2022</t>
  </si>
  <si>
    <t>Tangier, MOROCCO</t>
  </si>
  <si>
    <t>Desalination; Renewable energy sources; Artificial intelligence</t>
  </si>
  <si>
    <t>REVERSE-OSMOSIS DESALINATION; NEURAL-NETWORK; SOLAR-STILL; WATER DESALINATION; WIND; PERFORMANCE; DESIGN; SYSTEM; DRIVEN; POWER</t>
  </si>
  <si>
    <t>In recent decades, a growing problem of overexploitation of freshwater resources and lowering the level of ground and surface water has been observed. As a result, approximately 60% of the world's population lived in areas where water was scarce for part of the year. Faced with these challenges, saving water savings and increased water efficiency became a priority, both in urban and agricultural areas. One of the solutions to this problem was water desalination processes, which were considered, however, to be significantly energy-intensive processes. The article described the idea of integrating desalination processes with renewable energy sources and artificial intelligence as a support to optimise the desalination process in technological, economic, and ecological terms. Previous experience in integrating the mentioned technologies was presented, as well as the potential of implementing artificial intelligence and its impact on specific areas of desalination processes, renewable energy sources, environmental, and economic issues, mainly in terms of data collection and analysis as well as predictive and operational monitoring. The use of artificial intelligence to monitor, manage and optimise water desalination processes had the potential to reduce costs and increase efficiency. This was an innovative approach that could help meet the growing demand for clean drinking water in a more sustainable way, while also having a positive impact on the environment.</t>
  </si>
  <si>
    <t>[Kaczmarczyk, Michal; Tomaszewska, Barbara] AGH Univ Krakow, Fac Geol Geophys &amp; Environm Protect, Dept Energy Resources, Mickiewicza 30 Ave, PL-30059 Krakow, Poland</t>
  </si>
  <si>
    <t>Kaczmarczyk, M (corresponding author), AGH Univ Krakow, Fac Geol Geophys &amp; Environm Protect, Dept Energy Resources, Mickiewicza 30 Ave, PL-30059 Krakow, Poland.</t>
  </si>
  <si>
    <t>mkz@agh.edu.pl</t>
  </si>
  <si>
    <t>Kaczmarczyk, Michał/U-1272-2017</t>
  </si>
  <si>
    <t>Tomaszewska, Barbara/0000-0002-4780-1580</t>
  </si>
  <si>
    <t>Faculty of Geology, Geophysics and Environmental Protection AGH University of Science and Technology in Krakow, Poland [16.16.140.315]; program Excellence initiative - research university for the AGH University of Science and Technology</t>
  </si>
  <si>
    <t>Faculty of Geology, Geophysics and Environmental Protection AGH University of Science and Technology in Krakow, Poland; program Excellence initiative - research university for the AGH University of Science and Technology</t>
  </si>
  <si>
    <t>This research was funded by statutory research program at the Faculty of Geology, Geophysics and Environmental Protection AGH University of Science and Technology in Krakow, Poland, statutory work No. 16.16.140.315. Research project partly supported by program Excellence initiative - research university for the AGH University of Science and Technology.</t>
  </si>
  <si>
    <t>1944-3994</t>
  </si>
  <si>
    <t>1944-3986</t>
  </si>
  <si>
    <t>DESALIN WATER TREAT</t>
  </si>
  <si>
    <t>Desalin. Water Treat.</t>
  </si>
  <si>
    <t>10.5004/dwt.2023.30243</t>
  </si>
  <si>
    <t>Engineering, Chemical; Water Resources</t>
  </si>
  <si>
    <t>Science Citation Index Expanded (SCI-EXPANDED); Conference Proceedings Citation Index - Science (CPCI-S)</t>
  </si>
  <si>
    <t>Engineering; Water Resources</t>
  </si>
  <si>
    <t>LB4N6</t>
  </si>
  <si>
    <t>WOS:001184305400057</t>
  </si>
  <si>
    <t>Redij, R; Kaur, A; Muddaloor, P; Sethi, AK; Aedma, K; Rajagopal, A; Gopalakrishnan, K; Yadav, A; Damani, DN; Chedid, VG; Wang, XJ; Aakre, CA; Ryu, AJ; Arunachalam, SP</t>
  </si>
  <si>
    <t>Redij, Renisha; Kaur, Avneet; Muddaloor, Pratyusha; Sethi, Arshia K.; Aedma, Keirthana; Rajagopal, Anjali; Gopalakrishnan, Keerthy; Yadav, Ashima; Damani, Devanshi N.; Chedid, Victor G.; Wang, Xiao Jing; Aakre, Christopher A.; Ryu, Alexander J.; Arunachalam, Shivaram P.</t>
  </si>
  <si>
    <t>Practicing Digital Gastroenterology through Phonoenterography Leveraging Artificial Intelligence: Future Perspectives Using Microwave Systems</t>
  </si>
  <si>
    <t>phonoenterogram; PEG; computer-aided auscultation; bowel sounds; artificial intelligence; microwave telemetry; microwave acoustic sensors; gastroenterology; digital health</t>
  </si>
  <si>
    <t>IRRITABLE-BOWEL-SYNDROME; GASTROINTESTINAL MOTILITY; ABDOMINAL AUSCULTATION; SOUND AUSCULTATION; ACUTE APPENDICITIS; FRACTAL DIMENSION; SPECTRAL-ANALYSIS; CRITICALLY-ILL; ENHANCEMENT; DIAGNOSIS</t>
  </si>
  <si>
    <t>Production of bowel sounds, established in the 1900s, has limited application in existing patient-care regimes and diagnostic modalities. We review the physiology of bowel sound production, the developments in recording technologies and the clinical application in various scenarios, to understand the potential of a bowel sound recording and analysis device-the phonoenterogram in future gastroenterological practice. Bowel sound production depends on but is not entirely limited to the type of food consumed, amount of air ingested and the type of intestinal contractions. Recording technologies for extraction and analysis of these include the wavelet-based filtering, autoregressive moving average model, multivariate empirical mode decompression, radial basis function network, two-dimensional positional mapping, neural network model and acoustic biosensor technique. Prior studies evaluate the application of bowel sounds in conditions such as intestinal obstruction, acute appendicitis, large bowel disorders such as inflammatory bowel disease and bowel polyps, ascites, post-operative ileus, sepsis, irritable bowel syndrome, diabetes mellitus, neurodegenerative disorders such as Parkinson's disease and neonatal conditions such as hypertrophic pyloric stenosis. Recording and analysis of bowel sounds using artificial intelligence is crucial for creating an accessible, inexpensive and safe device with a broad range of clinical applications. Microwave-based digital phonoenterography has huge potential for impacting GI practice and patient care.</t>
  </si>
  <si>
    <t>[Redij, Renisha; Gopalakrishnan, Keerthy; Arunachalam, Shivaram P.] Mayo Clin, Dept Med, Div Gastroenterol &amp; Hepatol, GIH Artificial Intelligence Lab GAIL, Rochester, MN 55905 USA; [Kaur, Avneet; Gopalakrishnan, Keerthy; Arunachalam, Shivaram P.] Mayo Clin, Dept Med, Div Gastroenterol &amp; Hepatol, Microwave Engn &amp; Imaging Lab MEIL, Rochester, MN 55905 USA; [Muddaloor, Pratyusha; Sethi, Arshia K.; Aedma, Keirthana; Chedid, Victor G.; Wang, Xiao Jing; Arunachalam, Shivaram P.] Mayo Clin, Div Gastroenterol &amp; Hepatol, Rochester, MN 55905 USA; [Rajagopal, Anjali; Yadav, Ashima; Aakre, Christopher A.; Ryu, Alexander J.; Arunachalam, Shivaram P.] Mayo Clin, Dept Med, Rochester, MN 55905 USA; [Damani, Devanshi N.] Mayo Clin, Dept Cardiovasc Med, Rochester, MN 55905 USA; [Damani, Devanshi N.] Texas Tech Univ, Hlth Sci Ctr, Dept Internal Med, El Paso, TX 79995 USA; [Arunachalam, Shivaram P.] Mayo Clin, Dept Radiol, Rochester, MN 55905 USA</t>
  </si>
  <si>
    <t>Mayo Clinic; Mayo Clinic; Mayo Clinic; Mayo Clinic; Mayo Clinic; Texas Tech University System; Texas Tech University; Mayo Clinic</t>
  </si>
  <si>
    <t>Arunachalam, SP (corresponding author), Mayo Clin, Dept Med, Div Gastroenterol &amp; Hepatol, GIH Artificial Intelligence Lab GAIL, Rochester, MN 55905 USA.;Arunachalam, SP (corresponding author), Mayo Clin, Dept Med, Div Gastroenterol &amp; Hepatol, Microwave Engn &amp; Imaging Lab MEIL, Rochester, MN 55905 USA.;Arunachalam, SP (corresponding author), Mayo Clin, Div Gastroenterol &amp; Hepatol, Rochester, MN 55905 USA.;Arunachalam, SP (corresponding author), Mayo Clin, Dept Med, Rochester, MN 55905 USA.;Arunachalam, SP (corresponding author), Mayo Clin, Dept Radiol, Rochester, MN 55905 USA.</t>
  </si>
  <si>
    <t>poigaiarunachalam.shivaram@mayo.edu</t>
  </si>
  <si>
    <t>Yadav, Ashima/AAS-1004-2021; Chedid, Victor/AAM-8001-2020</t>
  </si>
  <si>
    <t>Poigai Arunachalam, Shivaram/0000-0003-3251-5415; Chedid, Victor/0000-0001-8548-9228; sethi, Arshia/0000-0001-5018-5611; KAUR, DR. AVNEET/0009-0006-3103-3624</t>
  </si>
  <si>
    <t>Advanced Analytics and Practice Innovation unit for Artificial Intelligence and Informatics research within the Department of Medicine, Mayo Clinic, Rochester, MN USA; GIH Division for the GIH Artificial Intelligence Laboratory (GAIL); Microwave Engineering and Imaging Laboratory (MEIL); Department of Medicine, Mayo Clinic, Rochester, MN USA</t>
  </si>
  <si>
    <t>This work was supported by the Advanced Analytics and Practice Innovation unit for Artificial Intelligence and Informatics research within the Department of Medicine, Mayo Clinic, Rochester, MN USA. This work was also supported by the GIH Division for the GIH Artificial Intelligence Laboratory (GAIL) and Microwave Engineering and Imaging Laboratory (MEIL), Department of Medicine, Mayo Clinic, Rochester, MN USA.</t>
  </si>
  <si>
    <t>10.3390/s23042302</t>
  </si>
  <si>
    <t>9M2WZ</t>
  </si>
  <si>
    <t>WOS:000942097900001</t>
  </si>
  <si>
    <t>Kumar, K; Veena, N; Aravind, T; Bhatt, C; Kuppusamy, U; Jain, P</t>
  </si>
  <si>
    <t>Kumar, Kailash; Veena, N.; Aravind, T.; Bhatt, Chandradeep; Kuppusamy, Uma; Jain, Parita</t>
  </si>
  <si>
    <t>Game-changing intelligence: Unveiling the societal impact of artificial intelligence in game software</t>
  </si>
  <si>
    <t>ENTERTAINMENT COMPUTING</t>
  </si>
  <si>
    <t>Artificial intelligence (AI); Gaming; Game software; Fine-Tuned Ring Toss Game Optimization; Adaptive Artificial Neural Network (FRTGO-; AANN); Social impact</t>
  </si>
  <si>
    <t>GENERATION</t>
  </si>
  <si>
    <t>Efficient artificial intelligence (AI) in gaming software optimizes development, improves user experiences, and increases industrial production, all of which contribute positively to economic development and technical advancement. Possible drawbacks include employment displacement, ethical problems, algorithmic biases, and excessive reliance on AI; everyone has an impact on society's dynamics and principles. In this study, we proposed a novel method called Fine-Tuned Ring Toss Game Optimization Adaptive Artificial Neural Network (FRTGOAANN) to improve user experience in game software, examine social implications to promote ethical growth, explore AI transformational significance in games, and shape new game-play. In this research, we employ a dataset of 250 video game projects. The collected data are undergoing feature extraction by using a Principal Component Analysis (PCA) method. We used a few parameters for our suggested and current approaches to analyze the research's findings. Our proposed FRTGO-AANN method achieves superior results like accuracy (96.7 %), precision (92.5 %), F1-score (95.3 %), recall (90.6 %).AI in gaming software represents a game changer, transforming user experience, narrative intricacy, along with the world of virtual reality. It has a profound social influence, altering entertainment and promoting innovation, along with difficult ethical considerations.</t>
  </si>
  <si>
    <t>[Kumar, Kailash] Saudi Elect Univ, Coll Comp &amp; Informat, Riyadh 11673, Saudi Arabia; [Veena, N.] BMS Inst Technol &amp; Management, Dept Informat Sci &amp; Engn, Bangalore, India; [Aravind, T.] Vel Tech Rangarajan Dr Sagunthala R&amp;D Inst Science, Sch Comp, Dept CSE, Chennai, India; [Bhatt, Chandradeep] Garph Era Hill Univ Dehradun, Graph Era Deemed Univ, Dept Comp Sci &amp; Engn, Dehra Dun, Uttarakhand, India; [Kuppusamy, Uma] VIT Univ, Sch Comp Sci Engn &amp; Informat Syst SCORE, Vellore, Tamil Nadu, India; [Jain, Parita] KIET Grp Inst, Dept CSE, Delhi Ncr, India</t>
  </si>
  <si>
    <t>Saudi Electronic University; Vel Tech Rangarajan Dr Sagunthala R&amp;D Institute of Science &amp; Technology; Graphic Era University; Vellore Institute of Technology (VIT); VIT Vellore; KIET Group of Institutions</t>
  </si>
  <si>
    <t>Kuppusamy, U (corresponding author), VIT Univ, Sch Comp Sci Engn &amp; Informat Syst SCORE, Vellore, Tamil Nadu, India.</t>
  </si>
  <si>
    <t>uma.kuppusamy@vit.ac.in</t>
  </si>
  <si>
    <t>BHATT, CHANDRADEEP/AAV-7914-2021; N, Veena/N-9640-2017; T, Aravind/AAB-8051-2022</t>
  </si>
  <si>
    <t>1875-9521</t>
  </si>
  <si>
    <t>1875-953X</t>
  </si>
  <si>
    <t>ENTERTAIN COMPUT</t>
  </si>
  <si>
    <t>Entertain. Comput.</t>
  </si>
  <si>
    <t>10.1016/j.entcom.2024.100862</t>
  </si>
  <si>
    <t>C9A8C</t>
  </si>
  <si>
    <t>WOS:001292226100001</t>
  </si>
  <si>
    <t>Wang, CH; Zhu, XF; Hong, JC; Zheng, DD</t>
  </si>
  <si>
    <t>Wang, Chunhao; Zhu, Xiaofeng; Hong, Julian C.; Zheng, Dandan</t>
  </si>
  <si>
    <t>Artificial Intelligence in Radiotherapy Treatment Planning: Present and Future</t>
  </si>
  <si>
    <t>TECHNOLOGY IN CANCER RESEARCH &amp; TREATMENT</t>
  </si>
  <si>
    <t>artificial intelligence machine learning radiotherapy treatment planning automation</t>
  </si>
  <si>
    <t>MODULATED ARC THERAPY; RADIATION-THERAPY; CLINICAL VALIDATION; DOSE DISTRIBUTIONS; NEURAL-NETWORKS; DVH PREDICTION; IMRT; OPTIMIZATION; MODEL; VMAT</t>
  </si>
  <si>
    <t>Treatment planning is an essential step of the radiotherapy workflow. It has become more sophisticated over the past couple of decades with the help of computer science, enabling planners to design highly complex radiotherapy plans to minimize the normal tissue damage while persevering sufficient tumor control. As a result, treatment planning has become more labor intensive, requiring hours or even days of planner effort to optimize an individual patient case in a trial-and-error fashion. More recently, artificial intelligence has been utilized to automate and improve various aspects of medical science. For radiotherapy treatment planning, many algorithms have been developed to better support planners. These algorithms focus on automating the planning process and/or optimizing dosimetric trade-offs, and they have already made great impact on improving treatment planning efficiency and plan quality consistency. In this review, the smart planning tools in current clinical use are summarized in 3 main categories: automated rule implementation and reasoning, modeling of prior knowledge in clinical practice, and multicriteria optimization. Novel artificial intelligence-based treatment planning applications, such as deep learning-based algorithms and emerging research directions, are also reviewed. Finally, the challenges of artificial intelligence-based treatment planning are discussed for future works.</t>
  </si>
  <si>
    <t>[Wang, Chunhao; Hong, Julian C.] Duke Univ, Med Ctr, Dept Radiat Oncol, Durham, NC USA; [Zhu, Xiaofeng] Georgetown Univ Hosp, Dept Radiat Oncol, Rockville, MD USA; [Hong, Julian C.] Univ Calif San Francisco, Dept Radiat Oncol, San Francisco, CA 94143 USA; [Zheng, Dandan] Univ Nebraska Med Ctr, Dept Radiat Oncol, Omaha, NE USA</t>
  </si>
  <si>
    <t>Duke University; University of California System; University of California San Francisco; University of Nebraska System; University of Nebraska Medical Center</t>
  </si>
  <si>
    <t>Zheng, DD (corresponding author), Univ Nebraska, Dept Radiat Oncol, Coll Med, 42nd &amp; Emile, Omaha, NE 68198 USA.</t>
  </si>
  <si>
    <t>dandan.zheng9@gmail.com</t>
  </si>
  <si>
    <t>Hong, Julian/X-6397-2018</t>
  </si>
  <si>
    <t>Zheng, Dandan/0000-0003-2259-1633; Hong, Julian/0000-0001-5172-6889; Wang, Chunhao/0000-0002-6945-7119</t>
  </si>
  <si>
    <t>1533-0346</t>
  </si>
  <si>
    <t>1533-0338</t>
  </si>
  <si>
    <t>TECHNOL CANCER RES T</t>
  </si>
  <si>
    <t>Technol. Cancer Res. Treat.</t>
  </si>
  <si>
    <t>SEP 6</t>
  </si>
  <si>
    <t>10.1177/1533033819873922</t>
  </si>
  <si>
    <t>IY6LU</t>
  </si>
  <si>
    <t>WOS:000486509200002</t>
  </si>
  <si>
    <t>Singh, RK; Gupta, M</t>
  </si>
  <si>
    <t>Singh, Runa Kumari; Gupta, Mahima</t>
  </si>
  <si>
    <t>INVESTIGATING TPACK SKILLS IN TEACHERS FOR UTILIZING ARTIFICIAL INTELLIGENCE IN THE LEARNING ENVIRONMENT</t>
  </si>
  <si>
    <t>INTERNATIONAL JOURNAL OF EARLY CHILDHOOD SPECIAL EDUCATION</t>
  </si>
  <si>
    <t>TPACK; Artificial Intelligence; Teacher</t>
  </si>
  <si>
    <t>In teaching,field technology is making a huge impact, from imparting knowledge to acquiring new knowledge it has its importance. Artificial intelligence is not a new technology that we are not aware of or are not using. But education can be a supportive element for teachers. Mishra, P.,&amp; Koehler, M. J. introduced TPACK, which describes indispensable knowledge requisite for the teacher for integrating technology. The TPACK talks about the interconnectedness of technology, pedagogy, and content knowledge. These three elements are basic pillars for teaching-learning and help update teacher knowledge. This paper talks about the feasibility of Artificial intelligence in the education system and also discusses how much teachers are prepared for adopting and applying AI in the learning environment. The sample for this study is 50 teachers from private and government secondary schoolsinDelhi. The statistical method used in the study is percentage and Pearson correlation coefficient. The conclusion of the study shows that there is a significant positive correlation between Teachers' TPACK skills and utilization of artificial intelligence.</t>
  </si>
  <si>
    <t>[Singh, Runa Kumari; Gupta, Mahima] Amity Univ, Amity Inst Educ, Noida, Uttar Pradesh, India</t>
  </si>
  <si>
    <t>Singh, RK (corresponding author), Amity Univ, Amity Inst Educ, Noida, Uttar Pradesh, India.</t>
  </si>
  <si>
    <t>runakumarisingh@gmail.com; mgupta2@amity.edu</t>
  </si>
  <si>
    <t>singh, runa/GOP-2562-2022; Gupta, Mahima/ABY-7959-2022</t>
  </si>
  <si>
    <t>INST FINE ARTS, ESKISEHIR, 26470, TURKEY</t>
  </si>
  <si>
    <t>1308-5581</t>
  </si>
  <si>
    <t>INT J EARLY CHILD SP</t>
  </si>
  <si>
    <t>Int. J. Early Child. Spec. Educ.</t>
  </si>
  <si>
    <t>10.9756/INT-JECSE/V14I2.575</t>
  </si>
  <si>
    <t>Education, Special</t>
  </si>
  <si>
    <t>2L6YJ</t>
  </si>
  <si>
    <t>WOS:000817164400009</t>
  </si>
  <si>
    <t>Adasuriya, G; Haldar, S</t>
  </si>
  <si>
    <t>Adasuriya, Gamith; Haldar, Shouvik</t>
  </si>
  <si>
    <t>Next Generation ECG: The Impact of Artificial Intelligence and Machine Learning</t>
  </si>
  <si>
    <t>CURRENT CARDIOVASCULAR RISK REPORTS</t>
  </si>
  <si>
    <t>Artificial intelligence; ECG; Remote monitoring; Machine learning; Neural networks; Deep learning</t>
  </si>
  <si>
    <t>ATRIAL-FIBRILLATION; ELECTROCARDIOGRAM; DYSFUNCTION; DIAGNOSIS; ALGORITHM</t>
  </si>
  <si>
    <t>Purpose of ReviewDevelopment of artificial intelligence (AI) models, particularly the application of machine learning (ML) and deep learning (DL) architectures to enhance the current diagnostic armoury for the detection of cardiovascular diseases (CVD) has expanded exponentially over the past five years. We review the current AI landscape in CVD and the impact of applying AI models to the electrocardiogram (ECG).Recent FindingsResearchers continue to explore innovative methods utilising ML and DL to automate ECG diagnosis and gain insights into underlying cardiovascular physiology. The results from numerous studies including two randomised control trials (EAGLE and BEAGLE) demonstrates the wide-ranging potential for the application of AI models to both 12-lead and single lead ECG recordings. This allows a fixed timepoint recording to effectively be extrapolated into a continuous monitoring device to predict outcomes for CVD diseases such as left ventricular systolic dysfunction (LVSD), atrial fibrillation (AF), hypertrophic obstructive cardiomyopathy (HOCM), cardiac amyloidosis, valvular heart disease, pulmonary hypertension and channelopathies. A significant proportion of models developed utilise DL architectures such as convolutional neural networks (CNN). The area under the curve (AUC) for published studies range from 0.66-0.99 with sensitivities and specificities between 26.29-95% and 79.5-96.6% respectively. These results suggest a possible role for AI-ECG as a screening tool for cardiovascular pathology.Initial research is promising and demonstrates the potential transformative impact of AI to streamline workflow, aid clinical decision making and prognosticate future cardiovascular outcomes. Future randomised controlled trials are needed to provide an evidence base for the implementation of AI tools into the clinician's workflow.</t>
  </si>
  <si>
    <t>[Adasuriya, Gamith; Haldar, Shouvik] Guys &amp; St Thomas NHS Fdn Trust, Royal Brompton &amp; Harefield Hosp, Heart Rhythm Ctr, Hill End Rd, London UB9 6JH, England; [Haldar, Shouvik] Kings Coll London, London, England</t>
  </si>
  <si>
    <t>Guy's &amp; St Thomas' NHS Foundation Trust; Royal Brompton Hospital; Royal Brompton &amp; Harefield NHS Foundation Trust; Harefield Hospital; University of London; King's College London</t>
  </si>
  <si>
    <t>Adasuriya, G (corresponding author), Guys &amp; St Thomas NHS Fdn Trust, Royal Brompton &amp; Harefield Hosp, Heart Rhythm Ctr, Hill End Rd, London UB9 6JH, England.</t>
  </si>
  <si>
    <t>gamith.adasuriya@nhs.net</t>
  </si>
  <si>
    <t>Haldar, Shouvik/AAO-7893-2020</t>
  </si>
  <si>
    <t>Adasuriya, Gamith/0000-0002-5988-2242; Haldar, Shouvik/0000-0001-8129-8520</t>
  </si>
  <si>
    <t>1932-9520</t>
  </si>
  <si>
    <t>1932-9563</t>
  </si>
  <si>
    <t>CURR CARDIOVASC RISK</t>
  </si>
  <si>
    <t>Curr. Cardiovascu. Risk Rep.</t>
  </si>
  <si>
    <t>10.1007/s12170-023-00723-4</t>
  </si>
  <si>
    <t>N7UD2</t>
  </si>
  <si>
    <t>WOS:001034596400001</t>
  </si>
  <si>
    <t>Galdo, B; Pazos, C; Pardo, J; Solar, A; Llamas, D; Fernandez-Blanco, E; Pazosh, A</t>
  </si>
  <si>
    <t>Galdo, Brais; Pazos, Carla; Pardo, Jeronimo; Solar, Alfonso; Llamas, Daniel; Fernandez-Blanco, Enrique; Pazosh, Alejandro</t>
  </si>
  <si>
    <t>Artificial intelligence in paediatrics: Current events and challenges</t>
  </si>
  <si>
    <t>ANALES DE PEDIATRIA</t>
  </si>
  <si>
    <t>Artificial intelligence; 7P medicine; Machine learning; Paediatrics; Personalized medicine</t>
  </si>
  <si>
    <t>SUPPORT; RISK</t>
  </si>
  <si>
    <t>This article examines the use of artificial intelligence (AI) in the field of paediatric care within the framework of the 7P medicine model (Predictive, Preventive, Personalized, Precise, Participatory, Peripheral and Polyprofessional). It highlights various applications of AI in the diagnosis, treatment and management of paediatric diseases as well as the role of AI in prevention and in the efficient management of health care resources and the resulting impact on the sustainability of public health systems. Successful cases of the application of AI in the paediatric care setting are presented, placing emphasis on the need to move towards a 7P health care model. Artificial intelligence is revolutionizing society at large and has a great potential for significantly improving paediatric care. (c) 2024 Asociaci &amp; oacute;n Espaniola de Pediatr &amp; imath;a. Published by Elsevier Espania, S.L.U. This is an open access article under the CC BY-NC-ND license (http://creativecommons.org/licenses/by-nc-nd/ 4.0/).</t>
  </si>
  <si>
    <t>[Galdo, Brais; Fernandez-Blanco, Enrique] Univ A Coruna, La Coruna, Spain; [Galdo, Brais; Llamas, Daniel; Fernandez-Blanco, Enrique] INIBIC, La Coruna, Spain; [Galdo, Brais; Fernandez-Blanco, Enrique] RNASA IMEDIR, La Coruna, Spain; [Galdo, Brais; Pardo, Jeronimo; Solar, Alfonso; Llamas, Daniel] Complexo Hosp Univ A Coruna, La Coruna, Spain; [Galdo, Brais; Llamas, Daniel] Avances Telemed &amp; Informat Sanit, La Coruna, Spain; [Pazos, Carla] New Vis Univ, Fac Med, Tiflis, Georgia; [Fernandez-Blanco, Enrique] CITIC, La Coruna, Spain; [Pazosh, Alejandro] Med Univ Byalistok, Byalistok, Podlaquia, Poland</t>
  </si>
  <si>
    <t>Universidade da Coruna; Universidade da Coruna; Instituto de Investigacion Biomedica de A Coruna (INIBIC); Universidade da Coruna; Complejo Hospitalario Universitario A Coruna; Universidade da Coruna</t>
  </si>
  <si>
    <t>Pazosh, A (corresponding author), Med Univ Byalistok, Byalistok, Podlaquia, Poland.</t>
  </si>
  <si>
    <t>alejandro.pazos@udc.es</t>
  </si>
  <si>
    <t>Fernandez Blanco, Enrique/F-6085-2014</t>
  </si>
  <si>
    <t>Fernandez Blanco, Enrique/0000-0003-3260-8734</t>
  </si>
  <si>
    <t>EDICIONES DOYMA S A</t>
  </si>
  <si>
    <t>TRAV DE GRACIA 17-21, 08021 BARCELONA, SPAIN</t>
  </si>
  <si>
    <t>1695-4033</t>
  </si>
  <si>
    <t>1695-9531</t>
  </si>
  <si>
    <t>AN PEDIATR</t>
  </si>
  <si>
    <t>An. Pediatr.</t>
  </si>
  <si>
    <t>10.1016/j.anpedi.2024.02.006</t>
  </si>
  <si>
    <t>OH2N5</t>
  </si>
  <si>
    <t>WOS:001206316300001</t>
  </si>
  <si>
    <t>Fu, R</t>
  </si>
  <si>
    <t>Fu, Rong</t>
  </si>
  <si>
    <t>Design and Application of the Artificial Intelligence in Online Test of English Computer</t>
  </si>
  <si>
    <t>Online testing; artificial intelligence; computer assisted instruction</t>
  </si>
  <si>
    <t>With the development of the information technology, the artificial intelligence is more and more involved in people's lives, and this huge change has a huge impact on the college English and computer teaching. Combing the artificial intelligence to design the online testing system can effectively solve problems as the shortage of teachers and monotonous teaching modes and other issues in the present college English teaching, so as to strengthen the students' autonomous learning abilities and improve the quality of teaching objectives. Based on this, according to the characteristics of the English teaching and computer science, the application of artificial intelligence in the online test platform was introduced; the important role of the artificial intelligence in the education platform and the improved organizational structure was analyzed in detail by using the computer aided teaching system (CAI). The results show that using the artificial intelligence to design online test platforms can effectively strengthen students' autonomous learning. In addition, this application can diagnose learner errors, and it also provides effective experience for artificial intelligence trainings in other ways of the education.</t>
  </si>
  <si>
    <t>[Fu, Rong] Xian Univ Posts &amp; Telecommun, Xian, Peoples R China</t>
  </si>
  <si>
    <t>Xi'an University of Posts &amp; Telecommunications</t>
  </si>
  <si>
    <t>Fu, R (corresponding author), Xian Univ Posts &amp; Telecommun, Xian, Peoples R China.</t>
  </si>
  <si>
    <t>WOS:000405993200130</t>
  </si>
  <si>
    <t>Almquist, E; Mathis, T; Duffy, VG</t>
  </si>
  <si>
    <t>Duffy, VG</t>
  </si>
  <si>
    <t>Almquist, Elizabeth; Mathis, Taylor; Duffy, Vincent G.</t>
  </si>
  <si>
    <t>Artificial Intelligence and Transportation - The Emergence of New Technologies and the Related Impacts on the Transportation of People and Packages</t>
  </si>
  <si>
    <t>DIGITAL HUMAN MODELING AND APPLICATIONS IN HEALTH, SAFETY, ERGONOMICS AND RISK MANAGEMENT, DHM 2024, PT III</t>
  </si>
  <si>
    <t>15th International Conference on Digital Human Modeling and Applications in Health, Safety, Ergonomics and Risk Management (DHM)</t>
  </si>
  <si>
    <t>JUN 29-JUL 04, 2024</t>
  </si>
  <si>
    <t>Washington, DC</t>
  </si>
  <si>
    <t>Artificial intelligence; transportation; aviation; logistics</t>
  </si>
  <si>
    <t>The idea of artificial intelligence in any use is growing over the past years. When you think of artificial intelligence you tend to just think of your Alexa or your phone and how those are used. Have you ever thought of how it is used from an aviation and transportation perspective? You probably don't think about this, given that it does not pique many people's interests. Given recent articles populating both domestically and internationally, the idea of artificial intelligence in the transportation and aviation sector is emerging quicker than you would expect. This topic is unique and complex as aviation and transportation are both human-operator-heavy sectors. An example of the use of artificial intelligence in transportation is self-driving cars and in the aviation industry, you can think of the heads-up display unit (HUD). Within this paper, you can find an analysis of this emerging topic. Ranging from leading tables, research paper studies, and much more analysis. In the end, the reader will understand the emerging topic and general ideas of future work within the field.</t>
  </si>
  <si>
    <t>[Almquist, Elizabeth; Mathis, Taylor; Duffy, Vincent G.] Purdue Univ, W Lafayette, IN 47907 USA</t>
  </si>
  <si>
    <t>Purdue University System; Purdue University</t>
  </si>
  <si>
    <t>Almquist, E (corresponding author), Purdue Univ, W Lafayette, IN 47907 USA.</t>
  </si>
  <si>
    <t>almquist@purdue.edu; mathis28@purdue.edu; duffy@purdue.edu</t>
  </si>
  <si>
    <t>978-3-031-61065-3; 978-3-031-61066-0</t>
  </si>
  <si>
    <t>10.1007/978-3-031-61066-0_12</t>
  </si>
  <si>
    <t>BX3NW</t>
  </si>
  <si>
    <t>WOS:001283312100012</t>
  </si>
  <si>
    <t>Holm, JR; Lorenz, E</t>
  </si>
  <si>
    <t>Holm, Jacob Rubaek; Lorenz, Edward</t>
  </si>
  <si>
    <t>The impact of artificial intelligence on skills at work in Denmark</t>
  </si>
  <si>
    <t>NEW TECHNOLOGY WORK AND EMPLOYMENT</t>
  </si>
  <si>
    <t>additive noise modelling; artificial intelligence; autonomy; constraints; high-performance work practices; job requirements approach; learning; skills</t>
  </si>
  <si>
    <t>ORGANIZATIONAL-CHANGE; BENEFITS; JOBS</t>
  </si>
  <si>
    <t>Based on a unique dataset on the use of artificial intelligence (AI) among employees in Denmark, we investigate within-job relationships between AI use and skill requirements. We show that the effects of AI are varied and depend on whether AI is used for providing orders to humans or providing information for further human handling and in which occupation it is used. AI may enhance or augment skills through, for example, the increased use of high-performance work practices, or it may increase work pace constraints and reduce employee autonomy. The results imply that the diffusion of AI can increase inequalities in the labour market by augmenting skills used in high-skill jobs, although having relatively more adverse impacts on other jobs. We use additive noise modelling to establish the likely direction of causality in our results and find that the direction of causality is from AI use to skill requirements.</t>
  </si>
  <si>
    <t>[Holm, Jacob Rubaek; Lorenz, Edward] Aalborg Univ, IKE DRUID, Business Sch, Fibigerstr 11, DK-9220 Aalborg O, Denmark; [Lorenz, Edward] Univ Johannesburg, Coll Business &amp; Econ, Johannesburg, South Africa</t>
  </si>
  <si>
    <t>Aalborg University; University of Johannesburg</t>
  </si>
  <si>
    <t>Holm, JR (corresponding author), Aalborg Univ, IKE DRUID, Business Sch, Fibigerstr 11, DK-9220 Aalborg O, Denmark.</t>
  </si>
  <si>
    <t>jrh@business.aau.dk</t>
  </si>
  <si>
    <t>Holm, Jacob Rubaek/H-9402-2017</t>
  </si>
  <si>
    <t>Holm, Jacob Rubaek/0000-0003-1110-1918</t>
  </si>
  <si>
    <t>0268-1072</t>
  </si>
  <si>
    <t>1468-005X</t>
  </si>
  <si>
    <t>NEW TECH WORK EMPLOY</t>
  </si>
  <si>
    <t>New Technol. Work Employ.</t>
  </si>
  <si>
    <t>10.1111/ntwe.12215</t>
  </si>
  <si>
    <t>Ergonomics; Management</t>
  </si>
  <si>
    <t>Engineering; Business &amp; Economics</t>
  </si>
  <si>
    <t>ZU8MB</t>
  </si>
  <si>
    <t>WOS:000696390100001</t>
  </si>
  <si>
    <t>Kabir, MN</t>
  </si>
  <si>
    <t>Kabir, Mitt Nowshade</t>
  </si>
  <si>
    <t>Artificial Intelligence-based Digital Transformation Strategy in Higher Education Institutions</t>
  </si>
  <si>
    <t>Digital transformation; AI-based learning systems; Digital transformation strategy; AI strategy; Artificial Intelligence</t>
  </si>
  <si>
    <t>TECHNOLOGIES</t>
  </si>
  <si>
    <t>Despite the immense potential Artificial Intelligence (AI) holds for the digital transformation of the educational system, its adoption by educational institutes is still noticeably slow. The issue is not just the question of AI implementation; the digital transformation itself remains a challenge for most schools and institutes. Many of these do recognize the necessity and importance of faster digital transformation and the integration of AI in learning processes and process automation. However, they often limit their efforts within narrow areas which refrain them from gaining substantial profits from the possible opportunities AI-based digital transformation offer. Undoubtedly, technology is a key driving force behind a better method of teaching, learning and providing improved services which enables the creation of a superior educational environment for all stakeholders where AI can play a significant role. However, to materialize this vision, institutions need to develop a holistic strategy concerning digital transformation that is aligned with their overall business strategy. This conceptual paper discusses about the importance of AI-based digital transformation strategy, provides a strategy framework of achieving an educational organization's digital transformation goals, and show how such strategy can bring benefits.</t>
  </si>
  <si>
    <t>[Kabir, Mitt Nowshade] Trouvus, Toronto, ON, Canada</t>
  </si>
  <si>
    <t>Kabir, MN (corresponding author), Trouvus, Toronto, ON, Canada.</t>
  </si>
  <si>
    <t>nowshade@gmail.com</t>
  </si>
  <si>
    <t>10.34190/ECIAIR.19.014</t>
  </si>
  <si>
    <t>WOS:000539633500021</t>
  </si>
  <si>
    <t>Shakina, I; Shirokaya, A; Tochilova, L</t>
  </si>
  <si>
    <t>Shakina, Irina; Shirokaya, Anastasia; Tochilova, Liudmila</t>
  </si>
  <si>
    <t>Customer Readiness Level to Adopt Artificial Intelligence in Banking: Case of Russia</t>
  </si>
  <si>
    <t>artificial intelligence; customer readiness level; technology acceptance; customer satisfaction; banking</t>
  </si>
  <si>
    <t>To survive in the digital age, banks leverage on Artificial Intelligence (AI) to gain a competitive advantage. Along with various goals, banks seek to improve customer experience, enhance customer satisfaction, and assure customer retention through AI applications. Such achievements are expected to generate revenue growth and increase profitability. While customer service is a promising area for AI applications, there is a lack of studies investigating how interactions with AI systems influence customer behavior and satisfaction. Empirical research that contributes to a deep understanding of the consumer's attitude towards AI technologies provides value to the existing literature and uncovers insights that have importance for bank managers and customer relationship experts. The objective of the research is to evaluate the readiness level of the clients of Russian banks to adopt AI technologies and to study how the customer readiness level impacts customer satisfaction from interactions with AI-enabled services. The study considers trust in AI systems, previous experience, and individual personality traits as factors influencing customer readiness level. The research has an empirical nature. The mixed method research method was chosen as it best suited our research. The study results are based on the analysis of 188 responses collected through online surveying. Responses were analyzed using structural equation modeling and sentiment analysis. The results show a strong positive relationship between customer readiness level and customer satisfaction. Trust has a positive effect on customer readiness level, while previous experience does not play a significant role. Innovativeness strengthens the relationship between trust and customer readiness level. However, the influence of extraversion and openness to experience is not significant. The findings of this study provide a baseline for future research on AI in the Russian banking sector and point out key customer pain points in the interaction with AI technologies that banks should address.</t>
  </si>
  <si>
    <t>[Shakina, Irina; Shirokaya, Anastasia; Tochilova, Liudmila] Natl Res Univ Higher Sch Econ, St Petersburg, Russia</t>
  </si>
  <si>
    <t>Shakina, I (corresponding author), Natl Res Univ Higher Sch Econ, St Petersburg, Russia.</t>
  </si>
  <si>
    <t>iashakina@edu.hse.ru; avshirokaya@edu.hse.ru; lstochilova@edu.hse.ru</t>
  </si>
  <si>
    <t>10.34190/EAIR.21.032</t>
  </si>
  <si>
    <t>WOS:000838033200027</t>
  </si>
  <si>
    <t>Naik, B; Mehta, A; Yagnik, H; Shah, M</t>
  </si>
  <si>
    <t>Naik, Binny; Mehta, Ashir; Yagnik, Hiteshri; Shah, Manan</t>
  </si>
  <si>
    <t>The impacts of artificial intelligence techniques in augmentation of cybersecurity: a comprehensive review</t>
  </si>
  <si>
    <t>COMPLEX &amp; INTELLIGENT SYSTEMS</t>
  </si>
  <si>
    <t>Artificial intelligence; Cybersecurity; Machine learning</t>
  </si>
  <si>
    <t>INTRUSION; INTERNET; SYSTEM; BLOCKCHAINS; ALGORITHM</t>
  </si>
  <si>
    <t>Given the prevailing state of cybersecurity, it is reasonable to understand why cybersecurity experts are seriously considering artificial intelligence as a potential field that can aid improvements in conventional cybersecurity techniques. Various progressions in the field of technology have helped to mitigate some of the issues relating to cybersecurity. These advancements can be manifested by Big Data, Blockchain technology, Behavioral Analytics, to name but a few. The paper overviews the effects of applications of these technologies in cybersecurity. The central purpose of the paper is to review the application of AI techniques in analyzing, detecting, and fighting various cyberattacks. The effects of the implementation of conditionally classified distributed AI methods and conveniently classified compact AI methods on different cyber threats have been reviewed. Furthermore, the future scope and challenges of using such techniques in cybersecurity, are discussed. Finally, conclusions have been drawn in terms of evaluating the employment of different AI advancements in improving cybersecurity.</t>
  </si>
  <si>
    <t>[Naik, Binny; Mehta, Ashir] Indus Univ, Dept Comp Engn, Ahmadabad, Gujarat, India; [Yagnik, Hiteshri] Gujarat Info Petro Ltd GIPL, Gandhinagar, Gujarat, India; [Shah, Manan] Pandit Deendayal Energy Univ, Sch Technol, Dept Chem Engn, Gandhinagar, Gujarat, India</t>
  </si>
  <si>
    <t>Pandit Deendayal Energy University</t>
  </si>
  <si>
    <t>Shah, M (corresponding author), Pandit Deendayal Energy Univ, Sch Technol, Dept Chem Engn, Gandhinagar, Gujarat, India.</t>
  </si>
  <si>
    <t>manan.shah@spt.pdpu.ac.in</t>
  </si>
  <si>
    <t>Shah, Manan/Y-9430-2019; Mehta, Ashir/MCJ-6997-2025</t>
  </si>
  <si>
    <t>2199-4536</t>
  </si>
  <si>
    <t>2198-6053</t>
  </si>
  <si>
    <t>COMPLEX INTELL SYST</t>
  </si>
  <si>
    <t>COMPLEX INTELL. SYST.</t>
  </si>
  <si>
    <t>10.1007/s40747-021-00494-8</t>
  </si>
  <si>
    <t>0W4UK</t>
  </si>
  <si>
    <t>WOS:000687935800004</t>
  </si>
  <si>
    <t>Zhang, WL; Li, YF; Ren, WT; Liu, B</t>
  </si>
  <si>
    <t>Zhang, Wenli; Li, Yifan; Ren, Wentao; Liu, Bo</t>
  </si>
  <si>
    <t>Artificial intelligence technology in Alzheimer's disease research</t>
  </si>
  <si>
    <t>INTRACTABLE &amp; RARE DISEASES RESEARCH</t>
  </si>
  <si>
    <t>Alzheimer's disease; mild cognitive impairment; artificial intelligence; machine learning; deep learning</t>
  </si>
  <si>
    <t>CLASSIFICATION; DIAGNOSIS</t>
  </si>
  <si>
    <t>Alzheimer's disease is a neurocognitive disorder and one of the contributing factors to dementia. According to the World Health Organization, this disease has a sig-nificant impact on the global population's health, with the number of affected individuals steadily increasing each year. Amidst rapid technological development, the use of artificial intelligence has significantly expanded into the field of medical diagnostics, encompassing areas such as the analysis of medical images, drug development, design of personalized treatment plans, and disease prediction and treatment. Deep learning, which is an important branch in the field of artificial intelligence, is playing a key role in solving several medical challenges by providing important technical support for the early detection, diagnosis, and treatment of Alzheimer's disease. Given this context, this review aims to explore the differences between conventional methods and artificial intelligence techniques in Alzheimer's disease research. Additionally, it aims to summarize current non-invasive and portable techniques for detection of Alzheimer's disease, offering support and guidance for the future prediction and management of the disease.</t>
  </si>
  <si>
    <t>[Zhang, Wenli; Li, Yifan; Liu, Bo] Beijing Univ Technol, Fac Informat Technol, Beijing, Peoples R China; [Ren, Wentao] Beijing Univ Technol, Beijing Dublin Int Coll, Beijing, Peoples R China; [Zhang, Wenli] Beijing Univ Technol, Fac Informat Technol, Beijing 100124, Peoples R China</t>
  </si>
  <si>
    <t>Beijing University of Technology; Beijing University of Technology; Beijing University of Technology</t>
  </si>
  <si>
    <t>Zhang, WL (corresponding author), Beijing Univ Technol, Fac Informat Technol, Beijing 100124, Peoples R China.</t>
  </si>
  <si>
    <t>zhangwenli@bjut.edu.cn</t>
  </si>
  <si>
    <t>li, yifan/GSD-1563-2022</t>
  </si>
  <si>
    <t>INT RESEARCH &amp; COOPERATION ASSOC BIO &amp; SOCIO-SCIENCES ADVANCEMENT</t>
  </si>
  <si>
    <t>INT RESEARCH &amp; COOPERATION ASSOC BIO &amp; SOCIO-SCIENCES ADVANCEMENT, TOKYO, 00000, JAPAN</t>
  </si>
  <si>
    <t>2186-3644</t>
  </si>
  <si>
    <t>2186-361X</t>
  </si>
  <si>
    <t>INTRACTABLE RARE DIS</t>
  </si>
  <si>
    <t>INTRACTABLE RARE DIS. RES.</t>
  </si>
  <si>
    <t>10.5582/irdr.2023.01091</t>
  </si>
  <si>
    <t>Z6BI5</t>
  </si>
  <si>
    <t>WOS:001112901700002</t>
  </si>
  <si>
    <t>Heller, SL; Wegener, M; Babb, JS; Gao, YM</t>
  </si>
  <si>
    <t>Heller, Samantha L.; Wegener, Melanie; Babb, James S.; Gao, Yiming</t>
  </si>
  <si>
    <t>Can an Artificial Intelligence Decision Aid Decrease False-Positive Breast Biopsies?</t>
  </si>
  <si>
    <t>ULTRASOUND QUARTERLY</t>
  </si>
  <si>
    <t>breast; ultrasound; artificial intelligence; AI = artificial intelligence; BI-RADS = Breast Imaging Reporting and Data System</t>
  </si>
  <si>
    <t>This study aimed to evaluate the effect of an artificial intelligence (AI) support system on breast ultrasound diagnostic accuracy. In this Health Insurance Portability and Accountability Act-compliant, institutional review board-approved retrospective study, 200 lesions (155 benign, 45 malignant) were randomly selected from consecutive ultrasound-guided biopsies (June 2017-January 2019). Two readers, blinded to clinical history and pathology, evaluated lesions with and without an Food and Drug Administration-approved AI software. Lesion features, Breast Imaging Reporting and Data System (BI-RADS) rating (1-5), reader confidence level (1-5), and AI BI-RADS equivalent (1-5) were recorded. Statistical analysis was performed for diagnostic accuracy, negative predictive value, positive predictive value (PPV), sensitivity, and specificity of reader versus AI BI-RADS. Generalized estimating equation analysis was used for reader versus AI accuracy regarding lesion features and AI impact on low-confidence score lesions. Artificial intelligence effect on false-positive biopsy rate was determined. Statistical tests were conducted at a 2-sided 5% significance level. There was no significant difference in accuracy (73 vs 69.8%), negative predictive value (100% vs 98.5%), PPV (45.5 vs 42.4%), sensitivity (100% vs 96.7%), and specificity (65.2 vs 61.9; P = 0.118-0.409) for AI versus pooled reader assessment. Artificial intelligence was more accurate than readers for irregular shape (74.1% vs 57.4%, P = 0.002) and less accurate for round shape (26.5% vs 50.0%, P = 0.049). Artificial intelligence improved diagnostic accuracy for reader-rated low-confidence lesions with increased PPV (24.7% AI vs 19.3%, P = 0.004) and specificity (57.8% vs 44.6%, P = 0.008). Artificial intelligence decision support aid may help improve sonographic diagnostic accuracy, particularly in cases with low reader confidence, thereby decreasing false-positives.</t>
  </si>
  <si>
    <t>[Heller, Samantha L.; Wegener, Melanie; Babb, James S.; Gao, Yiming] NYU, Dept Radiol, Grossman Sch Med, 560 1St Ave, New York, NY 10016 USA</t>
  </si>
  <si>
    <t>New York University</t>
  </si>
  <si>
    <t>Heller, SL (corresponding author), NYU, Grossman Sch Med, 160 East 34th St, New York, NY 10016 USA.</t>
  </si>
  <si>
    <t>Samantha.Heller@nyulangone.org; melanie.wegener@nyulangone.org; james.babb@nyulangone.org; yiming.gao@nyulangone.org</t>
  </si>
  <si>
    <t>Family Name Deactivated, Given Names Deactivated/0000-0002-2311-7442; Babb, James/0000-0003-1798-1186; Heller, Samantha/0000-0002-7167-2950</t>
  </si>
  <si>
    <t>0894-8771</t>
  </si>
  <si>
    <t>1536-0253</t>
  </si>
  <si>
    <t>ULTRASOUND Q</t>
  </si>
  <si>
    <t>Ultrasound Q.</t>
  </si>
  <si>
    <t>10.1097/RUQ.0000000000000550</t>
  </si>
  <si>
    <t>QS3KQ</t>
  </si>
  <si>
    <t>WOS:000625801600003</t>
  </si>
  <si>
    <t>D'Amore, B; Smolinski-Zhao, S; Daye, D; Uppot, RN</t>
  </si>
  <si>
    <t>D'Amore, Brian; Smolinski-Zhao, Sara; Daye, Dania; Uppot, Raul N.</t>
  </si>
  <si>
    <t>Role of Machine Learning and Artificial Intelligence in Interventional Oncology</t>
  </si>
  <si>
    <t>CURRENT ONCOLOGY REPORTS</t>
  </si>
  <si>
    <t>Interventional radiology; Interventional oncology; Machine learning; Artificial intelligence; Oncology; Radiology; Oncology</t>
  </si>
  <si>
    <t>BREAST-CANCER; HEPATOCELLULAR-CARCINOMA; IMAGE FUSION; VALIDATION</t>
  </si>
  <si>
    <t>Purpose of review The purpose of this review is to highlight the current role of machine learning and artificial intelligence and in the field of interventional oncology. Recent findings With advancements in technology, there is a significant amount of research regarding the application of artificial intelligence and machine learning in medicine. Interventional oncology is a field that can benefit greatly from this research through enhanced image analysis and intraprocedural guidance. These software developments can increase detection of cancers through routine screening and improve diagnostic accuracy in classifying tumors. They may also aid in selecting the most effective treatment for the patient by predicting outcomes based on a combination of both clinical and radiologic factors. Furthermore, machine learning and artificial intelligence can advance intraprocedural guidance for the interventional oncologist through more accurate needle tracking and image fusion technology. This minimizes damage to nearby healthy tissue and maximizes treatment of the tumor. While there are several exciting developments, this review also discusses limitations before incorporating machine learning and artificial intelligence in the field of interventional oncology. These include data capture and processing, lack of transparency among developers, validating models, integrating workflow, and ethical challenged. In summary, machine learning and artificial intelligence have the potential to positively impact interventional oncologists and how they provide cancer care treatments.</t>
  </si>
  <si>
    <t>[D'Amore, Brian] Drexel Univ, Coll Med, 2900 W Queen Lane, Philadelphia, PA 19129 USA; [Smolinski-Zhao, Sara; Daye, Dania; Uppot, Raul N.] Harvard Med Sch, Massachusetts Gen Hosp, Div Intervent Radiol, 55 Fruit St,Gray 290, Boston, MA 02114 USA</t>
  </si>
  <si>
    <t>Drexel University; Harvard University; Harvard Medical School; Harvard University Medical Affiliates; Massachusetts General Hospital</t>
  </si>
  <si>
    <t>Uppot, RN (corresponding author), Harvard Med Sch, Massachusetts Gen Hosp, Div Intervent Radiol, 55 Fruit St,Gray 290, Boston, MA 02114 USA.</t>
  </si>
  <si>
    <t>brd58@drexel.edu; SZHAO9@mgh.harvard.edu; DDAYE@mgh.harvard.edu; uppot.raul@mgh.harvard.edu</t>
  </si>
  <si>
    <t>Uppot, Raul/AAF-1859-2019; Daye, Dania/ABE-9635-2020</t>
  </si>
  <si>
    <t>Uppot, Raul/0000-0001-6165-4911</t>
  </si>
  <si>
    <t>1523-3790</t>
  </si>
  <si>
    <t>1534-6269</t>
  </si>
  <si>
    <t>CURR ONCOL REP</t>
  </si>
  <si>
    <t>Curr. Oncol. Rep.</t>
  </si>
  <si>
    <t>10.1007/s11912-021-01054-6</t>
  </si>
  <si>
    <t>RQ1VQ</t>
  </si>
  <si>
    <t>WOS:000642208300001</t>
  </si>
  <si>
    <t>Fang, BB; Yu, JC; Chen, ZH; Osman, AI; Farghali, M; Ihara, I; Hamza, EH; Rooney, DW; Yap, PS</t>
  </si>
  <si>
    <t>Fang, Bingbing; Yu, Jiacheng; Chen, Zhonghao; Osman, Ahmed I. I.; Farghali, Mohamed; Ihara, Ikko; Hamza, Essam H. H.; Rooney, David W. W.; Yap, Pow-Seng</t>
  </si>
  <si>
    <t>Artificial intelligence for waste management in smart cities: a review</t>
  </si>
  <si>
    <t>Artificial intelligence; Waste management; Chemical analysis; Optimization; Cost efficiency</t>
  </si>
  <si>
    <t>MUNICIPAL SOLID-WASTE; ENVIRONMENTAL IMPACTS; BIOGAS PRODUCTION; GENERATION; PREDICTION; SYSTEM; OPTIMIZATION; MODEL; RATES; TECHNOLOGIES</t>
  </si>
  <si>
    <t>The rising amount of waste generated worldwide is inducing issues of pollution, waste management, and recycling, calling for new strategies to improve the waste ecosystem, such as the use of artificial intelligence. Here, we review the application of artificial intelligence in waste-to-energy, smart bins, waste-sorting robots, waste generation models, waste monitoring and tracking, plastic pyrolysis, distinguishing fossil and modern materials, logistics, disposal, illegal dumping, resource recovery, smart cities, process efficiency, cost savings, and improving public health. Using artificial intelligence in waste logistics can reduce transportation distance by up to 36.8%, cost savings by up to 13.35%, and time savings by up to 28.22%. Artificial intelligence allows for identifying and sorting waste with an accuracy ranging from 72.8 to 99.95%. Artificial intelligence combined with chemical analysis improves waste pyrolysis, carbon emission estimation, and energy conversion. We also explain how efficiency can be increased and costs can be reduced by artificial intelligence in waste management systems for smart cities.</t>
  </si>
  <si>
    <t>[Fang, Bingbing; Yu, Jiacheng; Chen, Zhonghao; Yap, Pow-Seng] Xian Jiaotong Liverpool Univ, Dept Civil Engn, Suzhou 215123, Peoples R China; [Osman, Ahmed I. I.; Rooney, David W. W.] Queens Univ Belfast, Sch Chem &amp; Chem Engn, David Keir Bldg,Stranmillis Rd, Belfast BT9 5AG, North Ireland; [Farghali, Mohamed; Ihara, Ikko] Kobe Univ, Dept Agr Engn &amp; Socioecon, Kobe 6578501, Japan; [Farghali, Mohamed] Assiut Univ, Fac Vet Med, Dept Anim &amp; Poultry Hyg &amp; Environm Sanitat, Assiut 71526, Egypt; [Hamza, Essam H. H.] Mil Tech Coll, Elect &amp; Comp Engn Dept, Aircraft Armament A CA, Cairo, Egypt</t>
  </si>
  <si>
    <t>Xi'an Jiaotong-Liverpool University; Queens University Belfast; Kobe University; Egyptian Knowledge Bank (EKB); Assiut University; Military Technical College</t>
  </si>
  <si>
    <t>Yap, PS (corresponding author), Xian Jiaotong Liverpool Univ, Dept Civil Engn, Suzhou 215123, Peoples R China.;Osman, AI (corresponding author), Queens Univ Belfast, Sch Chem &amp; Chem Engn, David Keir Bldg,Stranmillis Rd, Belfast BT9 5AG, North Ireland.;Farghali, M (corresponding author), Kobe Univ, Dept Agr Engn &amp; Socioecon, Kobe 6578501, Japan.;Farghali, M (corresponding author), Assiut Univ, Fac Vet Med, Dept Anim &amp; Poultry Hyg &amp; Environm Sanitat, Assiut 71526, Egypt.</t>
  </si>
  <si>
    <t>aosmanahmed01@qub.ac.uk; mohamed.farghali@aun.edu.eg; PowSeng.Yap@xjtlu.edu.cn</t>
  </si>
  <si>
    <t>Yap, PS/S-6115-2017; Farghali, Mohamed/HKO-0964-2023; IHARA, Ikko/AAA-6293-2021; Osman, Ahmed/S-2958-2016; Chen, Zhonghao/GZL-6070-2022</t>
  </si>
  <si>
    <t>Farghali, Mohamed/0000-0003-4135-2750; Osman, Ahmed/0000-0003-2788-7839; Chen, Zhonghao/0000-0002-7056-9222</t>
  </si>
  <si>
    <t>Bryden Centre project [VA5048]; European Union's INTERREG VA Programme; Department for the Economy in Northern Ireland; Department of Business, Enterprise and Innovation in the Republic of Ireland</t>
  </si>
  <si>
    <t>Bryden Centre project; European Union's INTERREG VA Programme(Interreg Europe); Department for the Economy in Northern Ireland; Department of Business, Enterprise and Innovation in the Republic of Ireland</t>
  </si>
  <si>
    <t>Dr. Ahmed I. Osman and Prof. David W. Rooney wish to acknowledge the support of The Bryden Centre project (Project ID VA5048), which was awarded by The European Union's INTERREG VA Programme, managed by the Special EU Programmes Body (SEUPB), with match funding provided by the Department for the Economy in Northern Ireland and the Department of Business, Enterprise and Innovation in the Republic of Ireland.</t>
  </si>
  <si>
    <t>10.1007/s10311-023-01604-3</t>
  </si>
  <si>
    <t>J5SE7</t>
  </si>
  <si>
    <t>WOS:000984634700001</t>
  </si>
  <si>
    <t>Woodcock, J</t>
  </si>
  <si>
    <t>Woodcock, Jamie</t>
  </si>
  <si>
    <t>Artificial intelligence at work: The problem of managerial control from call centers to transport platforms</t>
  </si>
  <si>
    <t>artificial intelligence; algorithmic management; labor process; call centers; platform work; gig economy</t>
  </si>
  <si>
    <t>LABOR</t>
  </si>
  <si>
    <t>There has been much recent research on the topic of artificial intelligence at work, which is increasingly featuring in more types of work and across the labor process. Much research takes the application of artificial intelligence, in its various forms, as a break from the previous methods of organizing work. Less is known about how these applications of artificial intelligence build upon previous forms of managerial control or are adapted in practice. This paper aims to situate the use of artificial intelligence by management within a longer history of control at work. In doing so, it seeks to draw out the novelty of the technology, while also critically appraising the impact of artificial intelligence as a managerial tool. The aim is to understand the contest at work over the introduction of these tools, taking call centers and transport platforms as case studies. Call centers are important because they have been a site of struggle over previous forms of electronic surveillance and computation control, providing important lessons for how artificial intelligence is, or may, be used in practice. In particular, this paper will draw out moments and tactics in algorithmic management has been challenged at work, using this as a discussion point for considering the possible future of artificial intelligence at work.</t>
  </si>
  <si>
    <t>[Woodcock, Jamie] Open Univ, Dept People &amp; Org, Milton Keynes, England</t>
  </si>
  <si>
    <t>Open University - UK</t>
  </si>
  <si>
    <t>Woodcock, J (corresponding author), Open Univ, Dept People &amp; Org, Milton Keynes, England.</t>
  </si>
  <si>
    <t>jamie.woodcock@googlemail.com</t>
  </si>
  <si>
    <t>Woodcock, Jamie/A-1895-2015</t>
  </si>
  <si>
    <t>10.3389/frai.2022.888817</t>
  </si>
  <si>
    <t>7Z7YI</t>
  </si>
  <si>
    <t>gold, Green Accepted, Green Published</t>
  </si>
  <si>
    <t>WOS:000915770500001</t>
  </si>
  <si>
    <t>Gurgitano, M; Angileri, SA; Rodà, GM; Liguori, A; Pandolfi, M; Lerardi, AM; Wood, BJ; Carrafiello, G</t>
  </si>
  <si>
    <t>Gurgitano, Martina; Angileri, Salvatore Alessio; Roda, Giovanni Maria; Liguori, Alessandro; Pandolfi, Marco; Lerardi, Anna Maria; Wood, Bradford J.; Carrafiello, Gianpaolo</t>
  </si>
  <si>
    <t>Interventional Radiology ex-machina: impact of Artificial Intelligence on practice</t>
  </si>
  <si>
    <t>RADIOLOGIA MEDICA</t>
  </si>
  <si>
    <t>Artificial intelligence (AI); Interventional radiology (IR); Augmented reality (AR); Virtual reality (VR); Machine learning (ML); Deep learning (DL)</t>
  </si>
  <si>
    <t>Artificial intelligence (AI) is a branch of Informatics that uses algorithms to tirelessly process data, understand its meaning and provide the desired outcome, continuously redefining its logic. AI was mainly introduced via artificial neural networks, developed in the early 1950s, and with its evolution into computational learning models. Machine Learning analyzes and extracts features in larger data after exposure to examples; Deep Learning uses neural networks in order to extract meaningful patterns from imaging data, even deciphering that which would otherwise be beyond human perception. Thus, AI has the potential to revolutionize the healthcare systems and clinical practice of doctors all over the world. This is especially true for radiologists, who are integral to diagnostic medicine, helping to customize treatments and triage resources with maximum effectiveness. Related in spirit to Artificial intelligence are Augmented Reality, mixed reality, or Virtual Reality, which are able to enhance accuracy of minimally invasive treatments in image guided therapies by Interventional Radiologists. The potential applications of AI in IR go beyond computer vision and diagnosis, to include screening and modeling of patient selection, predictive tools for treatment planning and navigation, and training tools. Although no new technology is widely embraced, AI may provide opportunities to enhance radiology service and improve patient care, if studied, validated, and applied appropriately.</t>
  </si>
  <si>
    <t>[Gurgitano, Martina; Angileri, Salvatore Alessio; Liguori, Alessandro; Pandolfi, Marco; Lerardi, Anna Maria; Carrafiello, Gianpaolo] Policlin Milan, Operat Unit Radiol, Fdn IRCCS Ca Granda Osped Maggiore, Via Francesco Sforza 35, I-20122 Milan, Italy; [Roda, Giovanni Maria] Univ Milan, Postgrad Sch Radiodiagnost, Via Festa Perdono, I-20122 Milan, Italy; [Wood, Bradford J.] NIH, Ctr Intervent Oncol, Ctr Clin, 10 Ctr Dr,Room 1C-341,MSC 1182, Bethesda, MD 20892 USA; [Wood, Bradford J.] NCI, NIH, 10 Ctr Dr,Room 1C-341,MSC 1182, Bethesda, MD 20892 USA; [Carrafiello, Gianpaolo] Univ Milan, Dept Hlth Sci, Milan, Italy</t>
  </si>
  <si>
    <t>IRCCS Ca Granda Ospedale Maggiore Policlinico; University of Milan; National Institutes of Health (NIH) - USA; NIH Clinical Center (CC); National Institutes of Health (NIH) - USA; NIH National Cancer Institute (NCI); University of Milan</t>
  </si>
  <si>
    <t>Gurgitano, M (corresponding author), Policlin Milan, Operat Unit Radiol, Fdn IRCCS Ca Granda Osped Maggiore, Via Francesco Sforza 35, I-20122 Milan, Italy.</t>
  </si>
  <si>
    <t>martina.gurgitano@gmail.com</t>
  </si>
  <si>
    <t>Angileri, Salvatore/AAA-4464-2020; gurgitano, martina/AIB-5600-2022; Ierardi, Anna Maria/AAC-6019-2022; Wood, Bradford/M-7995-2017</t>
  </si>
  <si>
    <t>Wood, Bradford/0000-0002-4297-0051; Angileri, Salvatore Alessio/0000-0001-7480-419X</t>
  </si>
  <si>
    <t>Intramural Research Program of the NIH; NIAID Intramural Targeted Anti-COVID-19 Program</t>
  </si>
  <si>
    <t>Intramural Research Program of the NIH(United States Department of Health &amp; Human ServicesNational Institutes of Health (NIH) - USA); NIAID Intramural Targeted Anti-COVID-19 Program</t>
  </si>
  <si>
    <t>Supported in part by the Intramural Research Program of the NIH and the NIAID Intramural Targeted Anti-COVID-19 Program. NIH and NVIDIA, Philips, Siemens, and Canon Medical have collaborations in this space or Cooperative Research and Development Agreements.</t>
  </si>
  <si>
    <t>SPRINGER-VERLAG ITALIA SRL</t>
  </si>
  <si>
    <t>MILAN</t>
  </si>
  <si>
    <t>VIA DECEMBRIO, 28, MILAN, 20137, ITALY</t>
  </si>
  <si>
    <t>0033-8362</t>
  </si>
  <si>
    <t>1826-6983</t>
  </si>
  <si>
    <t>RADIOL MED</t>
  </si>
  <si>
    <t>Radiol. Med.</t>
  </si>
  <si>
    <t>10.1007/s11547-021-01351-x</t>
  </si>
  <si>
    <t>SS7HS</t>
  </si>
  <si>
    <t>WOS:000640759200001</t>
  </si>
  <si>
    <t>Pressacco, L</t>
  </si>
  <si>
    <t>Pressacco, Luca</t>
  </si>
  <si>
    <t>ARTIFICIAL INTELLIGENCE AND EVIDENTIAL REASONING IN THE CRIMINAL TRIAL</t>
  </si>
  <si>
    <t>Artificial Intelligence; reasoning of judicial decisions; evidential reasoning; free evaluation of evidence; standard of proof</t>
  </si>
  <si>
    <t>The aim of this paper is to analyze the relationship between artificial intelligence and evidential reasoning in the criminal trial. Firstly, we provide some examples of the artificial intelligence' impact on the conceptual foundation of evidence. Subsequently, the attention is focused on the framework governing automated decisions issued in the criminal trial. Finally, after examining the role of artificial intelligence tools in the different epistemological contexts of the judicial proceeding (context of research, discovery and justification), we carry out a review about some models of man-machine collaboration for the fact-finding process.</t>
  </si>
  <si>
    <t>[Pressacco, Luca] Univ Trento, Diritto Processuale Penale, Trento, Italy</t>
  </si>
  <si>
    <t>University of Trento</t>
  </si>
  <si>
    <t>Pressacco, L (corresponding author), Univ Trento, Diritto Processuale Penale, Trento, Italy.</t>
  </si>
  <si>
    <t>luca.pressacco@unitn.it</t>
  </si>
  <si>
    <t>F5ZM8</t>
  </si>
  <si>
    <t>WOS:000983125800026</t>
  </si>
  <si>
    <t>Confortola, G; Takata, M; Yokoi, N; Egi, M</t>
  </si>
  <si>
    <t>Ooi, BC; Byun, H; Tanaka, K; Lee, SW; Li, Z; Nadamoto, A; Song, G; Ha, YG; Sumiya, K; Yuncheng, W; Kwon, HY; Yamamoto, T</t>
  </si>
  <si>
    <t>Confortola, Giada; Takata, Mika; Yokoi, Naoaki; Egi, Masashi</t>
  </si>
  <si>
    <t>Actionable Suggestions in Support of Rehospitalization Risk Predicted by Artificial Intelligence</t>
  </si>
  <si>
    <t>2023 IEEE INTERNATIONAL CONFERENCE ON BIG DATA AND SMART COMPUTING, BIGCOMP</t>
  </si>
  <si>
    <t>International Conference on Big Data and Smart Computing</t>
  </si>
  <si>
    <t>IEEE International Conference on Big Data and Smart Computing (BigComp)</t>
  </si>
  <si>
    <t>FEB 13-16, 2023</t>
  </si>
  <si>
    <t>Jeju, SOUTH KOREA</t>
  </si>
  <si>
    <t>IEEE,IEEE Comp Soc,Korean Inst Informat Scientists &amp; Engineers</t>
  </si>
  <si>
    <t>Artificial Intelligence; Actionable Suggestions; Risk Reduction; MIMIC-III</t>
  </si>
  <si>
    <t>Discharging a patient from hospital is a crucial decision, as wrong timing may lead to rehospitalization. In this scenario, Artificial Intelligence (AI) can support physicians in the decision-making process. However, AI provides a probability that an event will happen, without information regarding how to reduce such probability. EXplainable Artificial Intelligence (XAI) methods, allow to better understand how the score is computed but still lack in providing specific suggestions. We propose a method that creates a set of actionable suggestions on how to change the feature values to reduce a risk predicted by AI, and support the physicians in deciding when to discharge a patient. We utilize historical data distribution of features to understand how values for the current case should be modified. After retrieving a set of relevant historical data by considering the similarity with the current point, we use statistical analysis to highlight differences between the feature values of current and historical cases. A suggestion is made whenever a significative difference on a controllable feature is found. For the evaluation, we used an electronic health record (MIMIC-III) to produce suggestions to reduce 30 days rehospitalization probability. A ground truth set of suggestions was created for 54 patients, by considering how changes in feature values affected the risk, as well as if feature values fell within literature ranges. The proposed approach reached a precision of 80%. The adoption of this method will allow to decrease costs related to rehospitalizations and positively impact patients' health.</t>
  </si>
  <si>
    <t>[Confortola, Giada; Takata, Mika] Hitachi Ltd, Digital Platform Innovat Ctr, Tokyo, Japan; [Yokoi, Naoaki; Egi, Masashi] Hitachi Ltd, Ctr Artificial Intelligence, Tokyo, Japan</t>
  </si>
  <si>
    <t>Hitachi Limited; Hitachi Limited</t>
  </si>
  <si>
    <t>Confortola, G (corresponding author), Hitachi Ltd, Digital Platform Innovat Ctr, Tokyo, Japan.</t>
  </si>
  <si>
    <t>giada.confortola.rc@hitachi.com; mika.takata.nc@hitachi.com; naoaki.yokoi.yu@hitachi.com; masashi.egi.zj@hitachi.com</t>
  </si>
  <si>
    <t>2375-933X</t>
  </si>
  <si>
    <t>978-1-6654-7578-5</t>
  </si>
  <si>
    <t>INT CONF BIG DATA</t>
  </si>
  <si>
    <t>10.1109/BigComp57234.2023.00034</t>
  </si>
  <si>
    <t>BV0YN</t>
  </si>
  <si>
    <t>WOS:000981866800026</t>
  </si>
  <si>
    <t>Dursun, F</t>
  </si>
  <si>
    <t>Dursun, Faruk</t>
  </si>
  <si>
    <t>Redesigning Municipality Logos in the Context of Visual Reading Using Artificial Intelligence</t>
  </si>
  <si>
    <t>ACTA INFOLOGICA</t>
  </si>
  <si>
    <t>Artificial intelligence; visual reading; logo; visual design; artificial intelligence-design</t>
  </si>
  <si>
    <t>The intensive use of technology in the way of business brings about different applications and usage areas. Artificial intelligence, on the other hand, reveals the last point that technology has reached and expands its usage area daily. Every example of artificial intelligence, which we can define as computer software that emerged to realise human abilities such as thinking, evaluation, problem solving by taking people out of the game or minimising their impact in jobs that technically require human elements, is surprising, and the point it will reach cannot be fully predicted. In this study, it is aimed to analyse the logos of institutions/organisations as their windows to the outside world and the first element that welcomes the audience by using visual reading and redrawing them using three artificial intelligence applications (Midjourney, Stable Diffusion and DALL-E 2). For this purpose, the logos of the 11 municipalities in the Marmara region were included in the scope of this study. When the results were evaluated, it was observed that the new visuals were quite successful. The visual meanings of the original logo were largely included in the new logo. Colours were also used in the new logos in a very close fashion to the original. The Midjourney AI application produced more effective drawings than the other two applications. On the other hand, it was observed that the elements of local culture were excluded from the drawings of the three AI tools.</t>
  </si>
  <si>
    <t>[Dursun, Faruk] Sakarya Univ, Fac Management, Management Informat Syst, Sakarya, Turkiye</t>
  </si>
  <si>
    <t>Sakarya University</t>
  </si>
  <si>
    <t>Dursun, F (corresponding author), Sakarya Univ, Fac Management, Management Informat Syst, Sakarya, Turkiye.</t>
  </si>
  <si>
    <t>farukdursun@sakarya.edu.tr</t>
  </si>
  <si>
    <t>Dursun, Faruk/GZL-4554-2022</t>
  </si>
  <si>
    <t>Dursun, Faruk/0000-0003-1571-1107</t>
  </si>
  <si>
    <t>ISTANBUL UNIV</t>
  </si>
  <si>
    <t>Rektorlugu, Beyazit, Fatih, ISTANBUL, 34452, Turkiye</t>
  </si>
  <si>
    <t>2602-3563</t>
  </si>
  <si>
    <t>Acta Infologica</t>
  </si>
  <si>
    <t>2024 JUL 19</t>
  </si>
  <si>
    <t>10.26650/acin.1451569</t>
  </si>
  <si>
    <t>H3X9A</t>
  </si>
  <si>
    <t>WOS:001322817400001</t>
  </si>
  <si>
    <t>HORACEK, H</t>
  </si>
  <si>
    <t>COMPUTER CHESS, ITS IMPACT ON ARTIFICIAL-INTELLIGENCE</t>
  </si>
  <si>
    <t>ICCA JOURNAL</t>
  </si>
  <si>
    <t>Note</t>
  </si>
  <si>
    <t>This paper presents a contribution to the ongoing debate about the impact of research in computer chess on artificial intelligence (AI), by critically examining the view 'computer chess was good for AI', which we believe is common to the majority of the scientific community involved. Our critique weakens the rationale behind the objection that the currently dominating hardware-intensive, brute-force-based engineering approach is responsible for the current situation. We show that, e.g., in natural-language processing, there is much similarity in terms of the sophistication of methods, the role of hardware, and the contrast between theory and practice. We argue that the role of computer chess in artificial intelligence can be strengthened by putting new efforts in generalizing extant methods and transferring their key ideas to other areas within AI.</t>
  </si>
  <si>
    <t>UNIV BIELEFELD, FAK LINGUIST &amp; LITERATURWISSENSCH, W-4800 BIELEFELD, GERMANY</t>
  </si>
  <si>
    <t>University of Bielefeld</t>
  </si>
  <si>
    <t>UNIV MAASTRICHT FACULTY GENERAL SCIENCES</t>
  </si>
  <si>
    <t>MAASTRICHT</t>
  </si>
  <si>
    <t>DEPT COMPUTER SCIENCES/IKAT, PO BOX 616, 6200 MD MAASTRICHT, NETHERLANDS</t>
  </si>
  <si>
    <t>0920-234X</t>
  </si>
  <si>
    <t>ICCA J</t>
  </si>
  <si>
    <t>ICCA J.</t>
  </si>
  <si>
    <t>10.3233/ICG-1993-16104</t>
  </si>
  <si>
    <t>KV868</t>
  </si>
  <si>
    <t>WOS:A1993KV86800004</t>
  </si>
  <si>
    <t>Afzalpurkar, S; Goenka, MK; Kochhar, R</t>
  </si>
  <si>
    <t>Afzalpurkar, Shivaraj; Goenka, Mahesh K.; Kochhar, Rakesh</t>
  </si>
  <si>
    <t>Impact of Artificial Intelligence in Colorectal Polyp Detection and Characterization</t>
  </si>
  <si>
    <t>JOURNAL OF DIGESTIVE ENDOSCOPY</t>
  </si>
  <si>
    <t>artificial intelligence; colonoscopy; computer-aided detection; computer-aided diagnosis</t>
  </si>
  <si>
    <t>COMPUTER-AIDED DIAGNOSIS; COLONOSCOPY; SYSTEM; CANCER; CLASSIFICATION; HISTOLOGY; ADENOMAS; LESIONS</t>
  </si>
  <si>
    <t>Colorectal cancer (CRC) is the third most common cancer in the world. Colonoscopy has contributed significantly to reduction of incidence and mortality of CRC. Integration of artificial intelligence (AI) into colonoscopy practice has addressed the various shortcomings of screening colonoscopies. AI-assisted colonoscopy will help in real-time recognition of type of polyp with probable histology. This will not only save time but will also help to mitigate human errors. Computer-aided detection and computer-aided characterization are two applications of AI, which are being studied extensively with a goal of improvement of polyp and adenoma detection rates. Several studies are being conducted across the globe, which either involve simple decision-making algorithms or complex patterns through neural networks, which imitate the human brain. Most data are collected retrospectively and the research is limited to single-center studies, which might have bias. Therefore, the future research on AI in colonoscopy should aim to develop more sophisticated convolutional neural network and deep learning models that will help to standardize the practice and ensure the same degree of accuracy with all the colonoscopies, irrespective of experience of performing endoscopists. In this review, we will take a closer look at the current state of AI and its integration into the field of colonoscopy.</t>
  </si>
  <si>
    <t>[Afzalpurkar, Shivaraj] Nanjappa Multispecial Hosp, Dept Gastroenterol, Davanagere, Karnataka, India; [Goenka, Mahesh K.] Apollo Multispecial Hosp, Inst Gastrosciences &amp; Liver, Kolkata, W Bengal, India; [Kochhar, Rakesh] NIMS Univ, Dept Gastroenterol, Jaipur, India; [Goenka, Mahesh K.] Inst Gastrosci &amp; Liver, Phool Bagan, Day Care Bldg,4th Floor,AMHL 58,Canal Circular Rd, Kolkata, W Bengal, India</t>
  </si>
  <si>
    <t>Goenka, MK (corresponding author), Inst Gastrosci &amp; Liver, Phool Bagan, Day Care Bldg,4th Floor,AMHL 58,Canal Circular Rd, Kolkata, W Bengal, India.</t>
  </si>
  <si>
    <t>mkgkolkata@gmail.com</t>
  </si>
  <si>
    <t>0976-5042</t>
  </si>
  <si>
    <t>0976-5050</t>
  </si>
  <si>
    <t>J DIG ENDOSC</t>
  </si>
  <si>
    <t>J. Dig. Endosc.</t>
  </si>
  <si>
    <t>10.1055/s-0043-1777330</t>
  </si>
  <si>
    <t>DR1K6</t>
  </si>
  <si>
    <t>WOS:001126991500001</t>
  </si>
  <si>
    <t>Dal Mas, F; Piccolo, D; Cobianchi, L; Edvinsson, L; Presch, G; Massaro, M; Skrap, M; Vajana, AFD; D'auria, SDS; Bagnoli, C</t>
  </si>
  <si>
    <t>Dal Mas, Francesca; Piccolo, Daniele; Cobianchi, Lorenzo; Edvinsson, Leif; Presch, Gareth; Massaro, Maurizio; Skrap, Miran; Vajana, Antonjacopo Ferrario di Tor; D'auria, Stanislao D'auria Stanislao; Bagnoli, Carlo</t>
  </si>
  <si>
    <t>The Effects of Artificial Intelligence, Robotics, and Industry 4.0 Technologies. Insights from the Healthcare Sector</t>
  </si>
  <si>
    <t>Strategy Innovation; Healthcare; Artificial intelligence; Intellectual Capital; Surgery</t>
  </si>
  <si>
    <t>TIES</t>
  </si>
  <si>
    <t>Artificial Intelligence (AI) is listed as the number one strategic technology, enabling new ways of creating, delivering and capturing value among stakeholders and constituting a major source of innovation with a potential contribution of $15 trillion to the world economy by 2030. The rapid progress in this highly disruptive technology calls for a better understanding of its growth and potential impacts on individual lives, society, and the global setting. AI and robotics are already transforming our lives from self-driving cars and drones to virtual assistants and translation software solutions. Healthcare is one of the sectors that are most affected by new Industry 4.0 technologies in general and AI and robotics in particular. The paper aims to investigate the future of healthcare by analysing the case of Nucleode, an innovative company based in the north-east of Italy. Nucleode aims to provide new technologies responding to various needs, particularly regarding hospital management. Its mission is taking healthcare to the future. Analysing some of Nucleode's case studies, the paper aims to discuss the application of technologies such as mixed reality, cloud computing, AI and robotics in healthcare, showing how new technologies can change the scenario, also considering intellectual capital management.</t>
  </si>
  <si>
    <t>[Dal Mas, Francesca] Univ Roma La Sapienza, Rome, Italy; [Piccolo, Daniele; Cobianchi, Lorenzo] Univ Padua, Padua, Italy; [Piccolo, Daniele] Nucleode Srl, Gorizia, Italy; [Cobianchi, Lorenzo] Fdn IRCCS Policlin San Matteo, Pavia, Italy; [Edvinsson, Leif] New Club Paris eV, Vienna, Austria; [Presch, Gareth] World Hlth Innovat Summit, Carlisle, England; [Massaro, Maurizio; Bagnoli, Carlo] Univ Ca Foscari, Venice, Italy; [Skrap, Miran; D'auria, Stanislao D'auria Stanislao] Azienda Sanit Univ Integrata Udine, Neurochirurg, Udine, Italy; [Vajana, Antonjacopo Ferrario di Tor] EOC Osped Reg Bellinzona &amp; Valli, Chirurg Gen, Bellinzona, Switzerland</t>
  </si>
  <si>
    <t>Sapienza University Rome; University of Padua; IRCCS Fondazione San Matteo; Universita Ca Foscari Venezia; Hospital Santa Maria della Misericordia</t>
  </si>
  <si>
    <t>Dal Mas, F (corresponding author), Univ Roma La Sapienza, Rome, Italy.</t>
  </si>
  <si>
    <t>email.dalmas@gmail.com; daniele@nucleode.com; lorenzo.cobianchi@unipv.it; leifedvinsson@gmail.com; gareth@worldhealthinnovationsummit.net; maurizio.massaro@unive.it; skrap@asuiud.sanita.fvg.it; antonjacopo.ferrarioditorvajana@eoc.ch; stanislao.dauria@asuiud.sanita.fvg.it; bagnoli@unive.it</t>
  </si>
  <si>
    <t>Massaro, Maurizio/O-9948-2014; skrap, miran/AAB-1708-2022; Cobianchi, Lorenzo/AAC-2282-2022; Dal Mas, Francesca/AAE-9623-2021; Piccolo, Daniele/AAB-1448-2022</t>
  </si>
  <si>
    <t>Piccolo, Daniele/0000-0001-9525-078X</t>
  </si>
  <si>
    <t>10.34190/ECIAIR.19.015</t>
  </si>
  <si>
    <t>WOS:000539633500010</t>
  </si>
  <si>
    <t>Sriram, RD; Reddy, SSK</t>
  </si>
  <si>
    <t>Sriram, Ram D.; Reddy, S. Sethu K.</t>
  </si>
  <si>
    <t>Artificial Intelligence and Digital Tools Future of Diabetes Care</t>
  </si>
  <si>
    <t>CLINICS IN GERIATRIC MEDICINE</t>
  </si>
  <si>
    <t>Artificial intelligence; Diabetes mellitus; Natural language processing; Knowledge-based expert systems; Neural networks; P7 medicine</t>
  </si>
  <si>
    <t>RETINOPATHY; FEASIBILITY; MEDICINE; SYSTEMS</t>
  </si>
  <si>
    <t>Diabetes mellitus has become a global threat, especially in the emerging economies. In the United States, there are about 24 million people with diabetes mellitus. Diabetes represents a trove of physiologic and sociologic data that are only superficially understood by the health care system. Artificial intelligence can address many problems posed by the prevalence of diabetes mellitus and the impact of diabetes on individual and societal health. We provide a brief overview of artificial intelligence and discuss case studies that illustrate how artificial intelligence can enhance diabetes care.</t>
  </si>
  <si>
    <t>[Sriram, Ram D.] NIST, 100 Bur Dr,MS 8970, Gaithersburg, MD 20899 USA; [Reddy, S. Sethu K.] Cent Michigan Univ, Dept Internal, CMED 2419, Mt Pleasant, MI 48859 USA</t>
  </si>
  <si>
    <t>National Institute of Standards &amp; Technology (NIST) - USA; Central Michigan University</t>
  </si>
  <si>
    <t>Sriram, RD (corresponding author), NIST, 100 Bur Dr,MS 8970, Gaithersburg, MD 20899 USA.</t>
  </si>
  <si>
    <t>sriram@nist.gov</t>
  </si>
  <si>
    <t>0749-0690</t>
  </si>
  <si>
    <t>1879-8853</t>
  </si>
  <si>
    <t>CLIN GERIATR MED</t>
  </si>
  <si>
    <t>Clin. Geriatr. Med.</t>
  </si>
  <si>
    <t>10.1016/j.cger.2020.04.009</t>
  </si>
  <si>
    <t>Geriatrics &amp; Gerontology</t>
  </si>
  <si>
    <t>MC6AO</t>
  </si>
  <si>
    <t>WOS:000543367500012</t>
  </si>
  <si>
    <t>Samareh, A; Chang, XY; Lober, WB; Evans, HL; Wang, ZY; Qian, XN; Huang, S</t>
  </si>
  <si>
    <t>Samareh, Aven; Chang, Xiangyu; Lober, William B.; Evans, Heather L.; Wang, Zhangyang; Qian, Xiaoning; Huang, Shuai</t>
  </si>
  <si>
    <t>Artificial Intelligence Methods for Surgical Site Infection: Impacts on Detection, Monitoring, and Decision Making</t>
  </si>
  <si>
    <t>SURGICAL INFECTIONS</t>
  </si>
  <si>
    <t>artificial intelligence; decision support; deep learning; natural language processing; surgical site infection</t>
  </si>
  <si>
    <t>RISK; READMISSION; PREDICT; HAPPENS; SURGERY; MODELS; TIME</t>
  </si>
  <si>
    <t>Background: There has been tremendous growth in the amount of new surgical site infection (SSI) data generated. Key challenges exist in understanding the data for robust clinical decision-support. Limitations of traditional methodologies to handle these data led to the emergence of artificial intelligence (AI). This article emphasizes the capabilities of AI to identify patterns of SSI data. Method: Artificial intelligence comprises various subfields that present potential solutions to identify patterns of SSI data. Discussions on opportunities, challenges, and limitations of applying these methods to derive accurate SSI prediction are provided. Results: Four main challenges in dealing with SSI data were defined: (1) complexities in using SSI data, (2) disease knowledge, (3) decision support, and (4) heterogeneity. The implications of some of the recent advances in AI methods to optimize clinical effectiveness were discussed. Conclusions: Artificial intelligence has the potential to provide insight in detecting and decision-support of SSI. As we turn SSI data into intelligence about the disease, we increase the possibility of improving surgical practice with the promise of a future optimized for the highest quality patient care.</t>
  </si>
  <si>
    <t>[Samareh, Aven; Chang, Xiangyu; Huang, Shuai] Univ Washington, Ind &amp; Syst Engn, Box 352650, Seattle, WA 98195 USA; [Lober, William B.] Univ Washington, Dept Biobehav Nursing &amp; Hlth Informat, Seattle, WA 98195 USA; [Chang, Xiangyu] Xian Jiantong Univ, Sch Management, Ctr Data Sci &amp; Informat Qual, Xian, Shaanxi, Peoples R China; [Evans, Heather L.] Med Univ South Carolina, Dept Surg, Charleston, SC 29425 USA; [Wang, Zhangyang] Texas A&amp;M Univ, Dept Comp Sci &amp; Engn, College Stn, TX USA; [Qian, Xiaoning] Texas A&amp;M Univ, Dept Elect &amp; Comp Engn, College Stn, TX USA</t>
  </si>
  <si>
    <t>University of Washington; University of Washington Seattle; University of Washington; University of Washington Seattle; Xi'an Jiaotong University; Medical University of South Carolina; Texas A&amp;M University System; Texas A&amp;M University College Station; Texas A&amp;M University System; Texas A&amp;M University College Station</t>
  </si>
  <si>
    <t>Samareh, A (corresponding author), Univ Washington, Ind &amp; Syst Engn, Box 352650, Seattle, WA 98195 USA.</t>
  </si>
  <si>
    <t>asamareh@uw.edu</t>
  </si>
  <si>
    <t>Samareh, Aven/H-3237-2018; Evans, Heather/F-9113-2014</t>
  </si>
  <si>
    <t>Lober, William/0000-0002-1053-7501; Evans, Heather/0000-0002-3661-0666</t>
  </si>
  <si>
    <t>U.S. Centers for Disease Control and Prevention (CDC) through the Safety and Healthcare Epidemiology Prevention Research Development (SHEPheRD) Program [200-2016-91803]</t>
  </si>
  <si>
    <t>U.S. Centers for Disease Control and Prevention (CDC) through the Safety and Healthcare Epidemiology Prevention Research Development (SHEPheRD) Program</t>
  </si>
  <si>
    <t>This work was supported by U.S. Centers for Disease Control and Prevention (CDC) award #200-2016-91803 through the Safety and Healthcare Epidemiology Prevention Research Development (SHEPheRD) Program, which is managed by the Division of Healthcare Quality Promotion. The content is solely the responsibility of the authors and does not represent the official views of the CDC.</t>
  </si>
  <si>
    <t>1096-2964</t>
  </si>
  <si>
    <t>1557-8674</t>
  </si>
  <si>
    <t>SURG INFECT</t>
  </si>
  <si>
    <t>Surg. Infect.</t>
  </si>
  <si>
    <t>10.1089/sur.2019.150</t>
  </si>
  <si>
    <t>AUG 2019</t>
  </si>
  <si>
    <t>Infectious Diseases; Surgery</t>
  </si>
  <si>
    <t>JB4BW</t>
  </si>
  <si>
    <t>WOS:000483890400001</t>
  </si>
  <si>
    <t>Miljkovic, F; Bajorath, J</t>
  </si>
  <si>
    <t>Miljkovic, Filip; Bajorath, Juergen</t>
  </si>
  <si>
    <t>Kinase Drug Discovery: Impact of Open Science and Artificial Intelligence</t>
  </si>
  <si>
    <t>MOLECULAR PHARMACEUTICS</t>
  </si>
  <si>
    <t>drug discovery; protein kinases; kinase inhibitors; open science; data science; artificial intelligence</t>
  </si>
  <si>
    <t>DEEP LEARNING ENABLES; INHIBITORS; PROTEIN; CANCER; POTENT</t>
  </si>
  <si>
    <t>Given their central role in signal transduction, protein kinases (PKs) were first implicated in cancer development, caused by aberrant intracellular signaling events. Since then, PKs have become major targets in different therapeutic areas. The preferred approach to therapeutic intervention of PK-dependent diseases is the use of small molecules to inhibit their catalytic phosphate group transfer activity. PK inhibitors (PKIs) are among the most intensely pursued drug candidates, with currently 80 approved compounds and several hundred in clinical trials. Following the elucidation of the human kinome and development of robust PK expression systems and high-throughput assays, large volumes of PK/PKI data have been produced in industrial and academic environments, more so than for many other pharmaceutical targets. In addition, hundreds of X-ray structures of PKs and their complexes with PKIs have been reported. Substantial amounts of PK/PKI data have been made publicly available in part as a result of open science initiatives. PK drug discovery is further supported through the incorporation of data science approaches, including the development of various specialized databases and online resources. Compound and activity data wealth compared to other targets has also made PKs a focal point for the application of artificial intelligence (AI) in pharmaceutical research. Herein, we discuss the interplay of open and data science in PK drug discovery and review exemplary studies that have substantially contributed to its development, including kinome profiling or the analysis of PKI promiscuity versus selectivity. We also take a close look at how AI approaches are beginning to impact PK drug discovery in light of their increasing data orientation.</t>
  </si>
  <si>
    <t>[Miljkovic, Filip] AstraZeneca, Med Chem Res &amp; Early Dev, Cardiovasc Renal &amp; Metab CVRM, BioPharmaceut R&amp;D, SE-43183 Gothenburg, Sweden; [Bajorath, Juergen] Rhein Friedrich Wilhelms Univ, Lamarr Inst Machine Learning &amp; Artificial Intellig, Dept Life Sci Informat &amp; Data Sci, LIMES Program Chem Biol &amp; Med Chem,B IT, D-53115 Bonn, Germany</t>
  </si>
  <si>
    <t>AstraZeneca; University of Bonn</t>
  </si>
  <si>
    <t>Miljkovic, F (corresponding author), AstraZeneca, Med Chem Res &amp; Early Dev, Cardiovasc Renal &amp; Metab CVRM, BioPharmaceut R&amp;D, SE-43183 Gothenburg, Sweden.</t>
  </si>
  <si>
    <t>filip.miljkovic@astrazeneca.com</t>
  </si>
  <si>
    <t>Bajorath, Jurgen/0000-0002-0557-5714; Miljkovic, Filip/0000-0001-5365-505X</t>
  </si>
  <si>
    <t>AMER CHEMICAL SOC</t>
  </si>
  <si>
    <t>1155 16TH ST, NW, WASHINGTON, DC 20036 USA</t>
  </si>
  <si>
    <t>1543-8384</t>
  </si>
  <si>
    <t>1543-8392</t>
  </si>
  <si>
    <t>MOL PHARMACEUT</t>
  </si>
  <si>
    <t>Mol. Pharm.</t>
  </si>
  <si>
    <t>10.1021/acs.molpharmaceut.4c00659</t>
  </si>
  <si>
    <t>Medicine, Research &amp; Experimental; Pharmacology &amp; Pharmacy</t>
  </si>
  <si>
    <t>Research &amp; Experimental Medicine; Pharmacology &amp; Pharmacy</t>
  </si>
  <si>
    <t>I1C0P</t>
  </si>
  <si>
    <t>WOS:001308666500001</t>
  </si>
  <si>
    <t>Miakisz, K; Piotrowski, EW; Sladkowski, J</t>
  </si>
  <si>
    <t>Miakisz, Katarzyna; Piotrowski, Edward W.; Sladkowski, Jan</t>
  </si>
  <si>
    <t>Quantization of games: Towards quantum artificial intelligence</t>
  </si>
  <si>
    <t>THEORETICAL COMPUTER SCIENCE</t>
  </si>
  <si>
    <t>quantum games; quantum strategies; quantum information theory; quantum computations; artificial intelligence</t>
  </si>
  <si>
    <t>MARKET GAMES; COMPUTATION; STRATEGIES; AUTOMATA; ZENO</t>
  </si>
  <si>
    <t>We discuss the impact of quantum game theory on information processing and the emerging information society. The framework, that we establish, encompasses various particular models considered in the field of artificial intelligence. This paper provides insight into the following issues: detailed analysis of a quantum algorithm solving Newcombs' paradox, the Elitzur-Vaidman circuit breaker and the Metropolis algorithm is presented. (C) 2005 Elsevier B.V. All rights reserved.</t>
  </si>
  <si>
    <t>Univ Silesia, Inst Phys, PL-40007 Katowice, Poland; Univ Bialystok, Inst Math, PL-15267 Bialystok, Poland; Univ Bialystok, Inst Math, PL-15424 Bialystok, Poland</t>
  </si>
  <si>
    <t>University of Silesia in Katowice; University of Bialystok; University of Bialystok</t>
  </si>
  <si>
    <t>Sladkowski, J (corresponding author), Univ Silesia, Inst Phys, Uniwersytecka 4, PL-40007 Katowice, Poland.</t>
  </si>
  <si>
    <t>kmiakisz@math.uwb.edu.pl; ep@wf.pl; sladk@us.edu.pl</t>
  </si>
  <si>
    <t>Sładkowski, Jan/I-2782-2019</t>
  </si>
  <si>
    <t>Piotrowski, Edward/0000-0002-8587-2283; Sladkowski, Jan/0000-0002-1898-4824</t>
  </si>
  <si>
    <t>0304-3975</t>
  </si>
  <si>
    <t>1879-2294</t>
  </si>
  <si>
    <t>THEOR COMPUT SCI</t>
  </si>
  <si>
    <t>Theor. Comput. Sci.</t>
  </si>
  <si>
    <t>10.1016/j.tcs.2005.11.003</t>
  </si>
  <si>
    <t>073MW</t>
  </si>
  <si>
    <t>Green Submitted, Bronze</t>
  </si>
  <si>
    <t>WOS:000239748300003</t>
  </si>
  <si>
    <t>Boiko, A; Shevtsova, N; Yashanov, S; Tymoshchuk, O; Parzhnytskyi, V</t>
  </si>
  <si>
    <t>Boiko, Anna; Shevtsova, Nataliia; Yashanov, Serhii; Tymoshchuk, Oleksandr; Parzhnytskyi, Viktor</t>
  </si>
  <si>
    <t>The impact of the integration of artificial intelligence on changes in the education process of Ukraine: prospects and challenges</t>
  </si>
  <si>
    <t>EDUWEB-REVISTA DE TECNOLOGIA DE INFORMACION Y COMUNICACION EN EDUCACION</t>
  </si>
  <si>
    <t>artificial intelligence; educational innovations; technologization; Ukrainian education; digitalization</t>
  </si>
  <si>
    <t>TECHNOLOGIES; INFORMATION</t>
  </si>
  <si>
    <t>The purpose of the article is to analyse the status of artificial intelligence in the development of Ukrainian education in the context of socio-cultural instability. The positioning of innovative elements of modern education depends on the level of use of their potential by participants in the educational process. The research methodology is focused on the analysis of scientific discourse and the use of synergistic approaches to assess the scale and intensity of artificial intelligence in the Ukrainian educational space. The results of the study indicate a reorientation of the status of artificial intelligence from an exclusive element of educational activity to the level of an auxiliary component of the educational process. The demand for and feasibility of using artificial intelligence in Ukrainian education are key concepts that require a thorough scientific study. Thus, artificial intelligence has acquired the potential to transform the Ukrainian educational space.</t>
  </si>
  <si>
    <t>[Boiko, Anna] Natl Acad Educ Sci Ukraine, Inst Problems Educ, Kiev, Ukraine; [Shevtsova, Nataliia] Sumy State Pedag Univ A S Makarenko, Sumy, Ukraine; [Yashanov, Serhii] Dragomanov Ukrainian State Univ, Kiev, Ukraine; [Tymoshchuk, Oleksandr] Rivne State Univ Humanities, Rivne, Ukraine; [Parzhnytskyi, Viktor] Sci Inst Inst Educ Content Modernizat, Kiev, Ukraine</t>
  </si>
  <si>
    <t>National Academy of Educational Sciences of Ukraine; Institute of Educational Problems National Academy of Pedagogical Sciences of Ukraine; Ministry of Education &amp; Science of Ukraine; Dragomanov Ukrainian State University; Ministry of Education &amp; Science of Ukraine; Rivne State University of Humanities</t>
  </si>
  <si>
    <t>Boiko, A (corresponding author), Natl Acad Educ Sci Ukraine, Inst Problems Educ, Kiev, Ukraine.</t>
  </si>
  <si>
    <t>Shevtsova, Nataliia/KHX-9756-2024; Yashanov, Serhii/JAK-8234-2023; Tymoschuk, Oleksandr/JTS-6890-2023; Boiko, Anna/O-5778-2017</t>
  </si>
  <si>
    <t>Yashanov, Serhii/0000-0001-8958-9007; Tymoshchuk, Oleksandr/0000-0002-4367-4692; Boiko, Anna/0000-0002-0371-5058; Sevcova, Natalia/0000-0001-9440-7597</t>
  </si>
  <si>
    <t>UNIV CARABOBO</t>
  </si>
  <si>
    <t>CARABOBO</t>
  </si>
  <si>
    <t>FAC CIENCIAS SALUD, CARABOBO, 00000, VENEZUELA</t>
  </si>
  <si>
    <t>1856-7576</t>
  </si>
  <si>
    <t>EDUWEB-REV TECNOL IN</t>
  </si>
  <si>
    <t>Eduweb-Rev. Tecnol. Inf. Comun. Educ.</t>
  </si>
  <si>
    <t>10.46502/issn.1856-7576/2024.18.01.13</t>
  </si>
  <si>
    <t>MU1S8</t>
  </si>
  <si>
    <t>WOS:001196063700004</t>
  </si>
  <si>
    <t>Livingston, S; Risse, M</t>
  </si>
  <si>
    <t>Livingston, Steven; Risse, Mathias</t>
  </si>
  <si>
    <t>The Future Impact of Artificial Intelligence on Humans and Human Rights</t>
  </si>
  <si>
    <t>ETHICS &amp; INTERNATIONAL AFFAIRS</t>
  </si>
  <si>
    <t>artificial intelligence; machine learning; deep learning; reinforcement learning; superintelligence; artificial general intelligence; ethical impact agents; implicit ethical agents; categorical imperative; human rights</t>
  </si>
  <si>
    <t>What are the implications of artificial intelligence (AI) on human rights in the next three decades? Precise answers to this question are made difficult by the rapid rate of innovation in AI research and by the effects of human practices on the adaption of new technologies. Precise answers are also challenged by imprecise usages of the term AI. There are several types of research that all fall under this general term. We begin by clarifying what we mean by AI. Most of our attention is then focused on the implications of artificial general intelligence (AGI), which entail that an algorithm or group of algorithms will achieve something like superintelligence. While acknowledging that the feasibility of superintelligence is contested, we consider the moral and ethical implications of such a potential development. What do machines owe humans and what do humans owe superintelligent machines?</t>
  </si>
  <si>
    <t>[Livingston, Steven] George Washington Univ, Media &amp; Publ Affairs &amp; Int Afairs, Washington, DC 20052 USA; [Livingston, Steven; Risse, Mathias] Harvard Univ, Carr Ctr Human Rights Policy, John F Kennedy Sch Govt, Cambridge, MA 02138 USA; [Risse, Mathias] Harvard Univ, John F Kennedy Sch Govt, Philosophy &amp; Publ Adm, Cambridge, MA 02138 USA</t>
  </si>
  <si>
    <t>George Washington University; Harvard University; Harvard University</t>
  </si>
  <si>
    <t>Livingston, S (corresponding author), George Washington Univ, Media &amp; Publ Affairs &amp; Int Afairs, Washington, DC 20052 USA.;Livingston, S (corresponding author), Harvard Univ, Carr Ctr Human Rights Policy, John F Kennedy Sch Govt, Cambridge, MA 02138 USA.</t>
  </si>
  <si>
    <t>sliv@gwu.edu; mathias_risse@harvard.edu</t>
  </si>
  <si>
    <t>32 AVENUE OF THE AMERICAS, NEW YORK, NY 10013-2473 USA</t>
  </si>
  <si>
    <t>0892-6794</t>
  </si>
  <si>
    <t>1747-7093</t>
  </si>
  <si>
    <t>ETHICS INT AFF</t>
  </si>
  <si>
    <t>Ethics Int. Aff.</t>
  </si>
  <si>
    <t>10.1017/S089267941900011X</t>
  </si>
  <si>
    <t>Ethics; International Relations; Political Science</t>
  </si>
  <si>
    <t>Social Sciences - Other Topics; International Relations; Government &amp; Law</t>
  </si>
  <si>
    <t>IC1SS</t>
  </si>
  <si>
    <t>WOS:000470740100003</t>
  </si>
  <si>
    <t>Marinas, LE; Paun, CV; Diaconescu, M; Smirna, TG</t>
  </si>
  <si>
    <t>Marinas, Laura Elena; Paun, Cristian Valeriu; Diaconescu, Mirela; Smirna, Tudor Gherasim</t>
  </si>
  <si>
    <t>Artificial Intelligence Readiness and Employment: A Global Panel Analysis</t>
  </si>
  <si>
    <t>ECONOMIC COMPUTATION AND ECONOMIC CYBERNETICS STUDIES AND RESEARCH</t>
  </si>
  <si>
    <t>panel analysis; artificial intelligence; technological change; Artificial Intelligence Readiness; employment; labour markets</t>
  </si>
  <si>
    <t>AUTOMATION; TASKS</t>
  </si>
  <si>
    <t>Artificial Intelligence (AI) is a major technological advancement, whose capabilities and rapid penetration into diverse sectors are reshaping jobs and raising fears about the displacement of human workers. The impact ofAI on labour markets is mixed. It is anticipated that both creation and substitution effects will occur. The AI Readiness (AIR) Index, as proposed by Oxford University, captures the contribution of government, technology (including human capital), and infrastructure in preparing a country's economy for the challenges posed byAI. In this paper, we examine the impact ofAI on the employment of highly educated workers. We test the impact of the AIR Index on employment using a global panel analysis on a sample of 78 countries and data covering the period 2019-2022. The results indicate that higher AI readiness scores are associated with a positive impact on the employment of highly educated workers. Insufficient AI literacy is an obstacle that could result in worker displacement. Policies enhancing AI literacy could assist human workers in adapting to the new intelligence, thereby facilitating their transition to an AI-driven environment.</t>
  </si>
  <si>
    <t>[Marinas, Laura Elena; Paun, Cristian Valeriu; Diaconescu, Mirela; Smirna, Tudor Gherasim] Bucharest Univ Econ Studies, Bucharest, Romania</t>
  </si>
  <si>
    <t>Marinas, LE (corresponding author), Bucharest Univ Econ Studies, Bucharest, Romania.</t>
  </si>
  <si>
    <t>laura.marinas@rei.ase.ro; cristian.paun@rei.ase.ro; mirela.diaconescu@rei.ase.ro; tudor.smirna@rei.ase.ro</t>
  </si>
  <si>
    <t>marinas, laura/A-3242-2016; DIACONESCU, MIRELA/LFV-2346-2024; Paun, Cristian/I-5609-2016</t>
  </si>
  <si>
    <t>DIACONESCU, MIRELA/0009-0000-5281-053X; Paun, Cristian/0000-0002-5057-3750</t>
  </si>
  <si>
    <t>0424-267X</t>
  </si>
  <si>
    <t>1842-3264</t>
  </si>
  <si>
    <t>ECON COMPUT ECON CYB</t>
  </si>
  <si>
    <t>Econ. Comput. Econ. Cybern. Stud.</t>
  </si>
  <si>
    <t>10.24818/18423264/58.4.24.04</t>
  </si>
  <si>
    <t>Economics; Mathematics, Interdisciplinary Applications</t>
  </si>
  <si>
    <t>Business &amp; Economics; Mathematics</t>
  </si>
  <si>
    <t>Q2W3O</t>
  </si>
  <si>
    <t>WOS:001383345200004</t>
  </si>
  <si>
    <t>Díaz, B; Nussbaum, M</t>
  </si>
  <si>
    <t>Diaz, Brayan; Nussbaum, Miguel</t>
  </si>
  <si>
    <t>Artificial intelligence for teaching and learning in schools: The need for pedagogical intelligence</t>
  </si>
  <si>
    <t>COMPUTERS &amp; EDUCATION</t>
  </si>
  <si>
    <t>Artificial intelligence; Pedagogical framework; Pedagogical intelligence; Systematic literature review; K-12</t>
  </si>
  <si>
    <t>COMMUNITIES; ISSUES</t>
  </si>
  <si>
    <t>Artificial intelligence (AI) has been hailed for its potential to revolutionize teaching and learning practices. Undoubtedly, there has been development, but has it transferred to a new pedagogical trend? Indeed, research shows more tools, software, etc., built through AI, but there is still a limited understanding of its pedagogical impact. This review aims to assess whether AI has indeed led to new pedagogical trends in education using a Human Center AI framework. To accomplish this, a systematic review of research on the pedagogical applications of AI in K-12 contexts was conducted, following the PRISMA guidelines. The review involved an inductive coding analysis of a comprehensive search across WoS, Scopus, and EBSBU. From a pool of 3277 publications spanning 2019 to 2023, 183 papers met the inclusion criteria for detailed analysis. Six categories emerged: Behaviorism, Cognitivism, Constructivism, Social Constructivism, Experiential Learning, and Community of Practices. The findings of this research provide a promising perspective on synthesizing the results based on the pedagogical framework that describes AI implementation. While technological advancements have improved AI capabilities, the application of AI in education largely follows the same principles of previous technologies. This research suggests that the failure to transform education through AI stems from a lack of consideration of Gardner 's proposed ninth intelligence type -pedagogical intelligence. Furthermore, this paper offers a critical analysis of the HCAI framework and proposes an adaptation called Pedagogical Centered AI (PCAI) for designing and using AI in K-12 education. Final discussions highlight the implications and future perspectives of AI in educational settings.</t>
  </si>
  <si>
    <t>[Diaz, Brayan] North Carolina State Univ, Dept STEM Educ, Raleigh, NC 27695 USA; [Nussbaum, Miguel] Pontificia Univ Catolica Chile, Sch Engn, Comp Sci Dept, Ave Vicuna,Mackenna 4860, Santiago, Chile</t>
  </si>
  <si>
    <t>North Carolina State University; Pontificia Universidad Catolica de Chile</t>
  </si>
  <si>
    <t>Díaz, B (corresponding author), North Carolina State Univ, Dept STEM Educ, Raleigh, NC 27695 USA.</t>
  </si>
  <si>
    <t>badiaz@ncsu.edu</t>
  </si>
  <si>
    <t>Diaz, Brayan/HTM-7935-2023; Nussbaum, Miguel/D-1341-2013</t>
  </si>
  <si>
    <t>Nussbaum, Miguel/0000-0001-5617-5983; Duque, Jorge/0000-0003-4939-6176; Diaz Michell, Brayan/0000-0001-5382-6074</t>
  </si>
  <si>
    <t>National Center for Artificial Intelligence, Basal ANID [CENIA FB210017]</t>
  </si>
  <si>
    <t>National Center for Artificial Intelligence, Basal ANID</t>
  </si>
  <si>
    <t>This research was supported by the National Center for Artificial Intelligence CENIA FB210017, Basal ANID.</t>
  </si>
  <si>
    <t>0360-1315</t>
  </si>
  <si>
    <t>1873-782X</t>
  </si>
  <si>
    <t>COMPUT EDUC</t>
  </si>
  <si>
    <t>Comput. Educ.</t>
  </si>
  <si>
    <t>10.1016/j.compedu.2024.105071</t>
  </si>
  <si>
    <t>Computer Science, Interdisciplinary Applications; Education &amp; Educational Research</t>
  </si>
  <si>
    <t>TM6S4</t>
  </si>
  <si>
    <t>WOS:001241725800001</t>
  </si>
  <si>
    <t>Naudé, W</t>
  </si>
  <si>
    <t>Naude, Wim</t>
  </si>
  <si>
    <t>Artificial intelligence: neither Utopian nor apocalyptic impacts soon</t>
  </si>
  <si>
    <t>ECONOMICS OF INNOVATION AND NEW TECHNOLOGY</t>
  </si>
  <si>
    <t>Technology; artificial intelligence; unemployment; income distribution</t>
  </si>
  <si>
    <t>LABOR; GROWTH; JOBS; INEQUALITY; EMPLOYMENT; RACE; POLARIZATION; KNOWLEDGE; EDUCATION; FUTURE</t>
  </si>
  <si>
    <t>After a number of AI-winters, AI is back with a boom. There are concerns that it will disrupt society. The immediate concern is whether labor can win a 'race against the robots' and the longer-term concern is whether an artificial general intelligence (super-intelligence) can be controlled. This paper describes the nature and context of these concerns, reviews the current state of the empirical and theoretical literature in economics on the impact of AI on jobs and inequality, and discusses the challenge of AI arms races. It is concluded that despite the media hype neither massive jobs losses nor a 'Singularity' is imminent. In part, this is because current AI, based on deep learning, is expensive and difficult for most businesses to adopt, not only displaces but in fact also create jobs, and may not be the route to a super-intelligence. Thus AI is unlikely to have either Utopian or apocalyptic impacts soon. Considering Amara's Law, one should however be wary not to underestimate the long-run impacts of AI.</t>
  </si>
  <si>
    <t>[Naude, Wim] Rhein Westfal TH Aachen, Aachen, Germany; [Naude, Wim] IZA Inst Lab Econ, Bonn, Germany; [Naude, Wim] MSM, Maastricht, Netherlands; [Naude, Wim] ASC Univ Leiden, Leiden, Netherlands</t>
  </si>
  <si>
    <t>RWTH Aachen University; IZA Institute Labor Economics</t>
  </si>
  <si>
    <t>Naudé, W (corresponding author), Rhein Westfal TH Aachen, Aachen, Germany.;Naudé, W (corresponding author), IZA Inst Lab Econ, Bonn, Germany.;Naudé, W (corresponding author), MSM, Maastricht, Netherlands.;Naudé, W (corresponding author), ASC Univ Leiden, Leiden, Netherlands.</t>
  </si>
  <si>
    <t>naude@time.rwth-aachen.de</t>
  </si>
  <si>
    <t>Naude, Wim/E-3812-2017</t>
  </si>
  <si>
    <t>Naude, Wim/0000-0003-2496-6945</t>
  </si>
  <si>
    <t>1043-8599</t>
  </si>
  <si>
    <t>1476-8364</t>
  </si>
  <si>
    <t>ECON INNOV NEW TECH</t>
  </si>
  <si>
    <t>Econ. Innov. New Technol.</t>
  </si>
  <si>
    <t>10.1080/10438599.2020.1839173</t>
  </si>
  <si>
    <t>NOV 2020</t>
  </si>
  <si>
    <t>PM7WS</t>
  </si>
  <si>
    <t>WOS:000590808700001</t>
  </si>
  <si>
    <t>Peters, M</t>
  </si>
  <si>
    <t>Peters, Martine</t>
  </si>
  <si>
    <t>Can artificial intelligence and academic integrity coexist?</t>
  </si>
  <si>
    <t>REVUE DES SCIENCES DE L EDUCATION</t>
  </si>
  <si>
    <t>academic integrity; artificial intelligence; academic writing; plagiarism; text generation</t>
  </si>
  <si>
    <t>Since the wake of the arrival of conversational agents using artificial intelligence (AI) in teaching and research, it is important to question the impact these tools will have on plagiarism. Many academic writers, whether students or researchers, will be tempted by the power, accessibility, and ease of AI to generate a sentence, a part of a text or an entire text. However, using the generated text and passing it off as one's own is plagiarism. It is therefore essential for academic writers to learn how to use AI to write with integrity.</t>
  </si>
  <si>
    <t>[Peters, Martine] Univ Quebec Outaouais, Quebec City, PQ, Canada</t>
  </si>
  <si>
    <t>University of Quebec; University Quebec Outaouais</t>
  </si>
  <si>
    <t>Peters, M (corresponding author), Univ Quebec Outaouais, Quebec City, PQ, Canada.</t>
  </si>
  <si>
    <t>martine.peters@uqo.ca</t>
  </si>
  <si>
    <t>ASSOC CANADIENNE-FRANCAISE AVANCEMENT SCIENCES</t>
  </si>
  <si>
    <t>MONTREAL</t>
  </si>
  <si>
    <t>425 RUE DE LA GAUCHETIERE E, MONTREAL, QC H2L 2M7, CANADA</t>
  </si>
  <si>
    <t>0318-479X</t>
  </si>
  <si>
    <t>1705-0065</t>
  </si>
  <si>
    <t>REV SCI EDUC</t>
  </si>
  <si>
    <t>Rev. Sci. Educ.</t>
  </si>
  <si>
    <t>HB0E3</t>
  </si>
  <si>
    <t>WOS:001156901900006</t>
  </si>
  <si>
    <t>Jereb, E; Urh, M</t>
  </si>
  <si>
    <t>Jereb, Eva; Urh, Marko</t>
  </si>
  <si>
    <t>The Use of Artificial Intelligence among Students in Higher Education</t>
  </si>
  <si>
    <t>ORGANIZACIJA</t>
  </si>
  <si>
    <t>Artificial intelligence; AI tools; Higher education; Students; Skills</t>
  </si>
  <si>
    <t>Background/Purpose Artificial intelligence (AI) impacts our everyday lives, from business to social areas, and, in recent years, more and more education. This paper aims to discuss using artificial intelligence tools for educational purposes from the student's perspective.Methods A quantitative approach was used for the research using the questioning method. Data were collected using an e-survey. The questionnaire contained closed questions referring to (i) general data, (ii) the use of specific artificial intelligence tools, and open questions (iii) about using artificial intelligence for study purposes. Parametric Independent - Samples t-Test and One-Way ANOVA tests were used for normal and near-normal distributions of the responses.Results The study conducted with 258 university students in Slovenia reveals a general familiarity with AI concepts yet with a limited ability to articulate this understanding. Popular AI tools like ChatGPT and Grammarly are predominantly used for information retrieval and idea generation. Notable differences in AI tool usage were observed based on gender and field of study.Conclusion The rapid advancement of AI is significantly transforming higher education. Integrating AI into education fosters the development of adaptive, personalized, and inclusive learning environments. Due to the study's limited sample size and geographic focus, further research with more diverse samples is needed to understand global AI tool usage in higher education fully.</t>
  </si>
  <si>
    <t>[Jereb, Eva; Urh, Marko] Univ Maribor, Fac Org Sci, Kranj, Slovenia</t>
  </si>
  <si>
    <t>University of Maribor</t>
  </si>
  <si>
    <t>Jereb, E (corresponding author), Univ Maribor, Fac Org Sci, Kranj, Slovenia.</t>
  </si>
  <si>
    <t>eva.jereb@um.si; marko.urh@um.si</t>
  </si>
  <si>
    <t>1318-5454</t>
  </si>
  <si>
    <t>1581-1832</t>
  </si>
  <si>
    <t>Organizacija</t>
  </si>
  <si>
    <t>10.2478/orga-2024-0024</t>
  </si>
  <si>
    <t>P1J9Y</t>
  </si>
  <si>
    <t>WOS:001375572400004</t>
  </si>
  <si>
    <t>Cheng, J; Xu, NR; Khan, NU; Singh, HSM</t>
  </si>
  <si>
    <t>Cheng, Jie; Xu, Nai Ru; Khan, Noor Ullah; Singh, Harcharanjit Singh Mahinder</t>
  </si>
  <si>
    <t>The impacts of artificial intelligence literacy, green absorptive capacity, and green information system on green innovation</t>
  </si>
  <si>
    <t>CORPORATE SOCIAL RESPONSIBILITY AND ENVIRONMENTAL MANAGEMENT</t>
  </si>
  <si>
    <t>artificial intelligence literacy; green absorptive capacity; green information system; green innovation; manufacturing industry</t>
  </si>
  <si>
    <t>ENTREPRENEURIAL ORIENTATION; PERFORMANCE</t>
  </si>
  <si>
    <t>In the contemporary digital landscape, the focus of manufacturing companies on green innovation has garnered attention in the business and academic realms. Nonetheless, the existing research system for manufacturers lacks a systematic study on how artificial intelligence literacy may bolster green innovation efforts. This study endeavors to construct a theoretical framework for artificial intelligence literacy, green information system, green absorptive capacity, and green innovation with respect to the dynamic capability theory and conducting empirical analysis utilizing survey data obtained from 288 ISO14001 manufacturing firms in Malaysia. The findings revealed that artificial intelligence literacy is a significant determinator of green absorptive capacity, the positive outcome of green absorptive capacity is green innovation, and the positive link between artificial intelligence literacy and green absorptive capacity is moderated by green information system. However, artificial intelligence literacy didn't exhibit a direct relationship with green innovation, even when considering green absorptive capacity as a mediator. These results not only offer compelling insights into the link between artificial intelligence literacy and green innovation, but also hold significant implications for academic research and policymaking concerning sustainable development and cleaner manufacturing production.</t>
  </si>
  <si>
    <t>[Cheng, Jie] Huangshan Univ, Sch Foreign Studies, Huangshan, Peoples R China; [Xu, Nai Ru] Anhui Vocat &amp; Tech Coll, Modern Sch Business, Hefei 230011, Peoples R China; [Xu, Nai Ru] Anhui Xinhua Univ, Suzhi Educ Res Ctr, Sch Business, Hefei, Peoples R China; [Khan, Noor Ullah] Univ Malaysia Kelantan, Malaysian Grad Sch Entrepreneurship &amp; Business, Pengkalan Chepa, Malaysia; [Khan, Noor Ullah] Natl Univ Sci &amp; Technol, NUST Business Sch, Dept HRM, Islamabad, Pakistan; [Singh, Harcharanjit Singh Mahinder] Univ Teknol Malaysia UTM, Azman Hashim Int Business Sch, Kuala Lumpur, Malaysia</t>
  </si>
  <si>
    <t>Huangshan University; Anhui Xinhua University; Universiti Malaysia Kelantan; National University of Sciences &amp; Technology - Pakistan; Universiti Teknologi Malaysia</t>
  </si>
  <si>
    <t>Xu, NR (corresponding author), Anhui Vocat &amp; Tech Coll, Modern Sch Business, Hefei 230011, Peoples R China.</t>
  </si>
  <si>
    <t>xunr@uta.edu.cn</t>
  </si>
  <si>
    <t>Cheng, Jie/ABZ-7025-2022; Khan, Noor Ullah/GSI-7114-2022</t>
  </si>
  <si>
    <t>Cheng, Jie/0000-0001-6133-6534; Khan, Noor Ullah/0000-0002-8766-7531</t>
  </si>
  <si>
    <t>Humanities and Social Science Project of Anhui Provincial Education Department; Ministry of Education Anhui, China; Anhui Xinhua University; Anhui Xinhua University, Suzhi Education Research Center Project [2024AH052546]; Ministry of Education Anhui Province, Innovation and Entrepreneurship Project [S202212216163, S202212216174]</t>
  </si>
  <si>
    <t>Humanities and Social Science Project of Anhui Provincial Education Department; Ministry of Education Anhui, China; Anhui Xinhua University; Anhui Xinhua University, Suzhi Education Research Center Project; Ministry of Education Anhui Province, Innovation and Entrepreneurship Project</t>
  </si>
  <si>
    <t>We are profoundly thankful for the trust and investment placed in our research endeavors by the Ministry of Education Anhui, China and the Anhui Xinhua University. Their support not only helped in the execution of this study but also significantly contributed to the advancement of knowledge in corporate sustainability performance. This work was supported by (1) Humanities and Social Science Project of Anhui Provincial Education Department (Grant no.), (2) Anhui Xinhua University, Suzhi Education Research Center Project (Grant no. 2024AH052546), (3) Ministry of Education Anhui Province, Innovation and Entrepreneurship Project (Grant no. S202212216163, S202212216174).</t>
  </si>
  <si>
    <t>1535-3958</t>
  </si>
  <si>
    <t>1535-3966</t>
  </si>
  <si>
    <t>CORP SOC RESP ENV MA</t>
  </si>
  <si>
    <t>Corp. Soc. Responsib. Environ. Manag.</t>
  </si>
  <si>
    <t>2024 DEC 8</t>
  </si>
  <si>
    <t>10.1002/csr.3017</t>
  </si>
  <si>
    <t>Business; Environmental Studies; Management</t>
  </si>
  <si>
    <t>Business &amp; Economics; Environmental Sciences &amp; Ecology</t>
  </si>
  <si>
    <t>O9A6W</t>
  </si>
  <si>
    <t>WOS:001373972300001</t>
  </si>
  <si>
    <t>Cherednik, I</t>
  </si>
  <si>
    <t>Cherednik, Ivan</t>
  </si>
  <si>
    <t>Artificial Intelligence Approach to Momentum Risk-Taking</t>
  </si>
  <si>
    <t>news impact; decision-making; risk management; momentum trading; power laws; econophysics; behavioral finance; cognitive theory; artificial intelligence; Bessel functions</t>
  </si>
  <si>
    <t>VOLATILITY; IMPACT</t>
  </si>
  <si>
    <t>We propose a mathematical model of momentum risk-taking, which is essentially real-time risk management focused on short-term volatility. Its implementation, a fully automated momentum equity trading system, is systematically discussed in this paper. It proved to be successful in extensive historical and real-time experiments. Momentum risk-taking is one of the key components of general decision-making, a challenge for artificial intelligence and machine learning. We begin with a new mathematical approach to news impact on share prices, which models well their power-type growth, periodicity, and the market phenomena like price targets and profit-taking. This theory generally requires Bessel and hypergeometric functions. Its discretization results in some tables of bids, basically, expected returns for main investment horizons, the key in our trading system. A preimage of our approach is a new contract card game. There are relations to random processes and the fractional Brownian motion. The ODE we obtained, especially those of Bessel-type, appeared to give surprisingly accurate modeling of the spread of COVID-19.</t>
  </si>
  <si>
    <t>[Cherednik, Ivan] Univ N Carolina, Dept Math, Chapel Hill, NC 27599 USA</t>
  </si>
  <si>
    <t>University of North Carolina; University of North Carolina Chapel Hill</t>
  </si>
  <si>
    <t>Cherednik, I (corresponding author), Univ N Carolina, Dept Math, Chapel Hill, NC 27599 USA.</t>
  </si>
  <si>
    <t>chered@email.unc.edu</t>
  </si>
  <si>
    <t>NSF [DMS-1901796]; Simons Foundation</t>
  </si>
  <si>
    <t>NSF(National Science Foundation (NSF)); Simons Foundation</t>
  </si>
  <si>
    <t>Partially supported by NSF grant DMS-1901796, and Simons Foundation.</t>
  </si>
  <si>
    <t>10.3390/ijfs9040058</t>
  </si>
  <si>
    <t>YG8EV</t>
  </si>
  <si>
    <t>gold, Green Submitted, Green Published</t>
  </si>
  <si>
    <t>WOS:000742715400001</t>
  </si>
  <si>
    <t>Svantesson, D</t>
  </si>
  <si>
    <t>Svantesson, Dan</t>
  </si>
  <si>
    <t>The European Union Artificial Intelligence Act: Potential implications for Australia</t>
  </si>
  <si>
    <t>ALTERNATIVE LAW JOURNAL</t>
  </si>
  <si>
    <t>Artificial Intelligence; data privacy; technology law; extraterritoriality; rep localisation; international law; jurisdiction</t>
  </si>
  <si>
    <t>The European Union (EU) published its proposed Regulation laying down harmonised rules for Artificial Intelligence (the Artificial Intelligence Act) on 21 April 2021. Once it comes into force, this Act will impact upon Australia. It is therefore important that Australians take note of the proposal at this relatively early stage. This article brings attention to the key features of the EU's proposed Artificial Intelligence Act. However, the main aim is to highlight why it is important for Australia and to examine, in some detail, the rules that will determine when the Act applies to Australians.</t>
  </si>
  <si>
    <t>[Svantesson, Dan] Bond Univ, Fac Law, Robina, Qld 4226, Australia</t>
  </si>
  <si>
    <t>Bond University</t>
  </si>
  <si>
    <t>Svantesson, D (corresponding author), Bond Univ, Fac Law, Robina, Qld 4226, Australia.</t>
  </si>
  <si>
    <t>dasvante@bond.edu.au</t>
  </si>
  <si>
    <t>Svantesson, Dan/0000-0003-2106-5594</t>
  </si>
  <si>
    <t>Masaryk University [CZ.02.1.01/0.0/0.0/16_019/0000822]</t>
  </si>
  <si>
    <t>Masaryk University</t>
  </si>
  <si>
    <t>The author(s) disclosed receipt of the following financial support for the research, authorship, and/or publication of this article: Work on this article was supported by Masaryk University project No. CZ.02.1.01/0.0/0.0/16_019/0000822 (C4E).</t>
  </si>
  <si>
    <t>1037-969X</t>
  </si>
  <si>
    <t>2398-9084</t>
  </si>
  <si>
    <t>ALTERN LAW J</t>
  </si>
  <si>
    <t>Altern. Law J.</t>
  </si>
  <si>
    <t>1037969X211052339</t>
  </si>
  <si>
    <t>10.1177/1037969X211052339</t>
  </si>
  <si>
    <t>0F6BX</t>
  </si>
  <si>
    <t>WOS:000739452000001</t>
  </si>
  <si>
    <t>Abdullah, R; Fakieh, B</t>
  </si>
  <si>
    <t>Abdullah, Rana; Fakieh, Bahjat</t>
  </si>
  <si>
    <t>Health Care Employees' Perceptions of the Use of Artificial Intelligence Applications: Survey Study</t>
  </si>
  <si>
    <t>artificial intelligence; employees; healthcare sector; perception; Saudi Arabia</t>
  </si>
  <si>
    <t>Background: The advancement of health care information technology and the emergence of artificial intelligence has yielded tools to improve the quality of various health care processes. Few studies have investigated employee perceptions of artificial intelligence implementation in Saudi Arabia and the Arabian world. In addition, limited studies investigated the effect of employee knowledge and job title on the perception of artificial intelligence implementation in the workplace. Objective: The aim of this study was to explore health care employee perceptions and attitudes toward the implementation of artificial intelligence technologies in health care institutions in Saudi Arabia. Methods: An online questionnaire was published, and responses were collected from 250 employees, including doctors, nurses, and technicians at 4 of the largest hospitals in Riyadh, Saudi Arabia. Results: The results of this study showed that 3.11 of 4 respondents feared artificial intelligence would replace employees and had a general lack of knowledge regarding artificial intelligence. In addition, most respondents were unaware of the advantages and most common challenges to artificial intelligence applications in the health sector, indicating a need for training. The results also showed that technicians were the most frequently impacted by artificial intelligence applications due to the nature of their jobs, which do not require much direct human interaction. Conclusions: The Saudi health care sector presents an advantageous market potential that should be attractive to researchers and developers of artificial intelligence solutions.</t>
  </si>
  <si>
    <t>[Abdullah, Rana; Fakieh, Bahjat] King Abdulaziz Univ, Informat Syst Dept, Jeddah 21589, Saudi Arabia</t>
  </si>
  <si>
    <t>King Abdulaziz University</t>
  </si>
  <si>
    <t>Fakieh, B (corresponding author), King Abdulaziz Univ, Informat Syst Dept, Jeddah 21589, Saudi Arabia.</t>
  </si>
  <si>
    <t>bfakieh@kau.edu.sa</t>
  </si>
  <si>
    <t>Fakieh, Bahjat/H-3018-2018</t>
  </si>
  <si>
    <t>Abdullah, Rana/0000-0002-6507-2844</t>
  </si>
  <si>
    <t>MAY 14</t>
  </si>
  <si>
    <t>e17620</t>
  </si>
  <si>
    <t>10.2196/17620</t>
  </si>
  <si>
    <t>LM9LI</t>
  </si>
  <si>
    <t>WOS:000532569200001</t>
  </si>
  <si>
    <t>Wang, LH; Zhao, H; Cao, ZL; Dong, ZQ</t>
  </si>
  <si>
    <t>Wang, Linhui; Zhao, He; Cao, Zhanglu; Dong, Zhiqing</t>
  </si>
  <si>
    <t>Artificial intelligence and intergenerational occupational mobility</t>
  </si>
  <si>
    <t>JOURNAL OF ASIAN ECONOMICS</t>
  </si>
  <si>
    <t>Artificial Intelligence; Intergenerational Occupational Mobility; Direction of Occupational Mobility; Occupational Task Attributes</t>
  </si>
  <si>
    <t>TECHNOLOGY; JOBS</t>
  </si>
  <si>
    <t>Artificial intelligence (AI) has a huge impact on economic development, while the literature focuses on the effect of AI on employment, and little is known about the impact of AI on intergenerational occupational mobility. Using a large, representative survey of individual-level data from the CGSS database, this paper presents novel evidence on the effect of AI on intergenerational occupational mobility. The results indicate that AI significantly increases intergenerational occupational mobility and induces more upward mobility, which stems from AI-induced demand for more high-skilled labors and changes in occupational task attributes. Furthermore, the effect of AI is heterogeneous for different groups in cognitive ability, family economic conditions, paternal educational attainment, and paternal occupational type.</t>
  </si>
  <si>
    <t>[Wang, Linhui; Cao, Zhanglu; Dong, Zhiqing] East China Normal Univ, Fac Econ &amp; Management, Shanghai 200062, Peoples R China; [Zhao, He] Shanghai Business Sch, Sch Business &amp; Econ, Shanghai 201499, Peoples R China</t>
  </si>
  <si>
    <t>East China Normal University; Shanghai Business School</t>
  </si>
  <si>
    <t>Dong, ZQ (corresponding author), East China Normal Univ, Fac Econ &amp; Management, Shanghai 200062, Peoples R China.;Zhao, H (corresponding author), Shanghai Business Sch, Sch Business &amp; Econ, Shanghai 201499, Peoples R China.</t>
  </si>
  <si>
    <t>zqdong_ecnu@163.com</t>
  </si>
  <si>
    <t>Later Funded Major Project of the Ministry of Education of China for Philosophical and Social Science Research [22JHQ011]</t>
  </si>
  <si>
    <t>Later Funded Major Project of the Ministry of Education of China for Philosophical and Social Science Research</t>
  </si>
  <si>
    <t>This research was supported by the Later Funded Major Project of the Ministry of Education of China for Philosophical and Social Science Research [grant numbers 22JHQ011] .</t>
  </si>
  <si>
    <t>1049-0078</t>
  </si>
  <si>
    <t>1873-7927</t>
  </si>
  <si>
    <t>J ASIAN ECON</t>
  </si>
  <si>
    <t>J. Asian Econ.</t>
  </si>
  <si>
    <t>10.1016/j.asieco.2023.101675</t>
  </si>
  <si>
    <t>CP1D4</t>
  </si>
  <si>
    <t>WOS:001126349200001</t>
  </si>
  <si>
    <t>Goglia, M; Pace, M; Yusef, M; Gallo, G; Pavone, M; Petrucciani, N; Aurello, P</t>
  </si>
  <si>
    <t>Goglia, Marta; Pace, Marco; Yusef, Marco; Gallo, Gaetano; Pavone, Matteo; Petrucciani, Niccolo; Aurello, Paolo</t>
  </si>
  <si>
    <t>Artificial Intelligence and ChatGPT in Abdominopelvic Surgery: A Systematic Review of Applications and Impact</t>
  </si>
  <si>
    <t>IN VIVO</t>
  </si>
  <si>
    <t>Artificial intelligence; abdominopelvic surgery; ChatGPT; innovation</t>
  </si>
  <si>
    <t>Background/Aim: The integration of AI and natural language processing technologies, such as ChatGPT, into surgical practice has shown promising potential in enhancing various aspects of abdominopelvic surgical procedures. This systematic review aims to comprehensively evaluate the current state of research on the applications and impact of artificial intelligence (AI) and ChatGPT in abdominopelvic surgery summarizing existing literature towards providing a comprehensive overview of the diverse applications, effectiveness, challenges, and future directions of these innovative technologies. Materials and Methods: A systematic search of major electronic databases, including PubMed, Google Scholar, Cochrane Library, Web of Science, was conducted from October to November 2023, to identify relevant studies. Inclusion criteria encompassed studies that investigated the utilization of AI and ChatGPT in abdominopelvic surgical settings, including, but not limited to preoperative planning, intraoperative decision-making, postoperative care, and patient communication. Results: Fourteen studies met the inclusion criteria and were included in this review. The majority of the studies were analysing ChatGPT's data output and decision making while two studies reported patient and general surgery resident perception of the tool applied to clinical practice. Most studies reported a high accuracy of ChatGPT in data output and decision-making process, however with an unforgettable number of errors. Conclusion: This systematic review contributes to the current understanding of the role of AI and ChatGPT in abdominopelvic surgery, providing insight into their applications and impact on clinical practice. The synthesis of available evidence will inform future research directions, clinical guidelines, and development of these technologies to optimize their potential benefits in enhancing surgical care within the abdominopelvic domain.</t>
  </si>
  <si>
    <t>[Goglia, Marta; Pace, Marco; Yusef, Marco; Petrucciani, Niccolo] Sapienza Univ Rome, Fac Med &amp; Psychol, Sch Translat Med &amp; Oncol, Dept Med &amp; Surg Sci &amp; Translat Med, Rome, Italy; [Goglia, Marta] Inst Image Guided Surg, IHU Strasbourg, Strasbourg, France; [Goglia, Marta] Res Inst Digest Canc, IRCAD, Strasbourg, France; [Gallo, Gaetano; Aurello, Paolo] Sapienza Univ Rome, Dept Surg, Rome, Italy; [Pavone, Matteo] Fdn Policlin Univ A Gemelli, IRCCS, UOC Ginecol Oncolog, Dipartimento Sci Salute Donna Bambino &amp; San Pubbl, Rome, Italy; [Pace, Marco] Sapienza Univ Rome, Dept Med Surg Sci &amp; Translat Med, Via Grottarossa 1035, I-00189 Rome, Italy</t>
  </si>
  <si>
    <t>Sapienza University Rome; Universites de Strasbourg Etablissements Associes; Universite de Strasbourg; Sapienza University Rome; Catholic University of the Sacred Heart; IRCCS Policlinico Gemelli; Sapienza University Rome</t>
  </si>
  <si>
    <t>Pace, M (corresponding author), Sapienza Univ Rome, Dept Med Surg Sci &amp; Translat Med, Via Grottarossa 1035, I-00189 Rome, Italy.</t>
  </si>
  <si>
    <t>marco.pace@uniroma1.it</t>
  </si>
  <si>
    <t>Pavone, Matteo/HOH-8637-2023; Gallo, Gaetano/I-6917-2019</t>
  </si>
  <si>
    <t>Gallo, Gaetano/0000-0003-1066-4671; Pavone, Matteo/0000-0002-9791-9464</t>
  </si>
  <si>
    <t>INT INST ANTICANCER RESEARCH</t>
  </si>
  <si>
    <t>ATHENS</t>
  </si>
  <si>
    <t>EDITORIAL OFFICE 1ST KM KAPANDRITIOU-KALAMOU RD KAPANDRITI, PO BOX 22, ATHENS 19014, GREECE</t>
  </si>
  <si>
    <t>0258-851X</t>
  </si>
  <si>
    <t>1791-7549</t>
  </si>
  <si>
    <t>In Vivo</t>
  </si>
  <si>
    <t>10.21873/invivo.13534</t>
  </si>
  <si>
    <t>Medicine, Research &amp; Experimental</t>
  </si>
  <si>
    <t>Research &amp; Experimental Medicine</t>
  </si>
  <si>
    <t>RT6X3</t>
  </si>
  <si>
    <t>WOS:001229960900041</t>
  </si>
  <si>
    <t>Ameen, LT; Yousif, MR; Alnoori, NAJ; Majeed, BH</t>
  </si>
  <si>
    <t>Ameen, Linda Talib; Yousif, Maysam Raad; Alnoori, Najwa Abdulmunem Jasim; Majeed, Ban Hassan</t>
  </si>
  <si>
    <t>The Impact of Artificial Intelligence on Computational Thinking in Education at University</t>
  </si>
  <si>
    <t>INTERNATIONAL JOURNAL OF ENGINEERING PEDAGOGY</t>
  </si>
  <si>
    <t>effect; artificial intelligence (AI); ChatGPT; computational thinking; education; university; achievement; chemistry; computer science; students</t>
  </si>
  <si>
    <t>This study aims to reveal the role of one of the artificial intelligence (AI) techniques, ChatGPT, in improving the educational process by following it as a teaching method for the subject of automatic analysis for students of the Chemistry Department and the subject of computer security for students of the Computer Science Department, from the fourth stage at the College of Education for Pure Science (Ibn Al-Haitham), and its impact on their computational thinking to have a good educational environment. The experimental approach was used, and the research samples were chosen intentionally by the research community. Research tools were prepared, which included a scale for CT that included 12 items and the achievement test in both scientific subjects for departments as the second tool. They reached a lot of conclusions. Accordingly, a set of recommendations were proposed.</t>
  </si>
  <si>
    <t>[Ameen, Linda Talib; Yousif, Maysam Raad; Alnoori, Najwa Abdulmunem Jasim; Majeed, Ban Hassan] Univ Baghdad, Coll Educ Pure Sci Ibn Al Haitham, Baghdad, Iraq</t>
  </si>
  <si>
    <t>University of Baghdad</t>
  </si>
  <si>
    <t>Majeed, BH (corresponding author), Univ Baghdad, Coll Educ Pure Sci Ibn Al Haitham, Baghdad, Iraq.</t>
  </si>
  <si>
    <t>ban.h.m@ihcoedu.uobaghdad.edu.iq</t>
  </si>
  <si>
    <t>Talib, Linda/GPW-7902-2022; Alnoori, Najwa/HNQ-7266-2023; Majeed, Ban/AAT-1102-2021; raad yousif, maysam/GPW-7889-2022</t>
  </si>
  <si>
    <t>raad yousif, maysam/0000-0002-5319-6479; Majeed, Ban Hassan/0000-0001-9787-3745; Talib, Linda/0000-0002-3379-0921</t>
  </si>
  <si>
    <t>Int Federation Engineering Education Societies-IFEES</t>
  </si>
  <si>
    <t>Fairfax</t>
  </si>
  <si>
    <t>4400 University Drive, MS 4A3, Fairfax, VA, UNITED STATES</t>
  </si>
  <si>
    <t>2192-4880</t>
  </si>
  <si>
    <t>INT J ENG PEDAGOG</t>
  </si>
  <si>
    <t>Int. J. Eng. Pedagog.</t>
  </si>
  <si>
    <t>10.3991/ijep.v14i5.49995</t>
  </si>
  <si>
    <t>TL8N8</t>
  </si>
  <si>
    <t>WOS:001241510000010</t>
  </si>
  <si>
    <t>Campillo-Alhama, C; Torres-Valdes, RM; Santa-Soriano, A</t>
  </si>
  <si>
    <t>Campillo-Alhama, Concepcion; Torres-Valdes, Rosa M.; Santa-Soriano, Alba</t>
  </si>
  <si>
    <t>Citizen Science and Artificial Intelligence in Horizon 2020 and Horizon Europe Projects: Communication and Scientific Impact</t>
  </si>
  <si>
    <t>PROFESIONAL DE LA INFORMACION</t>
  </si>
  <si>
    <t>Citizen Science; Communication Studies; Artificial Intelligence; Open Science; Impact; Horizon 2020; Horizon Europe; Communication Strategy; Scientific Dissemination; FWCI; CiteScore; Research; Development; and Innovation Projects; CORDIS</t>
  </si>
  <si>
    <t>The Horizon 2020 and Horizon Europe framework programs are the key funding programs for the European Union's policy on innovation, research, and development (R&amp;D&amp;I) in all scientific subject areas. These instruments promote open science by using citizen science as a collaborative methodology and artificial intelligence as a disruptive technology, thereby encouraging public participation and engagement in scientific research. This paradigm shift in the scientific landscape is the impetus for this descriptive and exploratory study analyzing the effectiveness of communication policies and the quality of the dissemination and scientific impact of 28 R&amp;D&amp;I projects developed using citizen science and artificial intelligence, which were selected from the Community Research and Development Information Service ( CORDIS ) repository. This case study employs a methodological procedure grounded in content analysis and bibliometric indicators to meet four specific objectives: to determine the main formats and channels used in the projects' communication strategies, as well as which category the projects' papers fall into; to analyze the effectiveness of the projects' scientific dissemination using articles published in Scopus according to subject area; to analyze the quality of scientific impact of the 234 articles that the projects produced using the SCImago Journal Rank (SJR) indicator; and to evaluate their specific and comparative impact using the standardized indicators Field-weighted citation impact (FWCI) and CiteScore. The findings confirmed that there were substantial differences in terms of the effectiveness of communication and the quality of dissemination and scientific impact among the projects analyzed. In this context, communication science could help efficiently navigate the challenges and opportunities in scientific communication.</t>
  </si>
  <si>
    <t>[Campillo-Alhama, Concepcion; Torres-Valdes, Rosa M.; Santa-Soriano, Alba] Univ Alicante, Dept Comunicac &amp; Psicol Social, Campus San Vicente Raspeig s-n, Alicante 03080, Spain</t>
  </si>
  <si>
    <t>Universitat d'Alacant</t>
  </si>
  <si>
    <t>Campillo-Alhama, C (corresponding author), Univ Alicante, Dept Comunicac &amp; Psicol Social, Campus San Vicente Raspeig s-n, Alicante 03080, Spain.</t>
  </si>
  <si>
    <t>concepcion.campillo@ua.es; rosa.torres@ua.es; alba.santa@ua.es</t>
  </si>
  <si>
    <t>EDICIONES PROFESIONALES INFORMACION SL-EPI</t>
  </si>
  <si>
    <t>MISTRAL, 36, BARCELONA, ALBOLOTE, SPAIN</t>
  </si>
  <si>
    <t>1386-6710</t>
  </si>
  <si>
    <t>1699-2407</t>
  </si>
  <si>
    <t>PROF INFORM</t>
  </si>
  <si>
    <t>Prof. Inf.</t>
  </si>
  <si>
    <t>e330417</t>
  </si>
  <si>
    <t>10.3145/epi.2024.0417</t>
  </si>
  <si>
    <t>S7M3C</t>
  </si>
  <si>
    <t>WOS:001400012100017</t>
  </si>
  <si>
    <t>Rodríguez-Borlado, PF; Pérez-Curiel, C</t>
  </si>
  <si>
    <t>Rodriguez-Borlado, Paula Fajardo; Perez-Curiel, Concha</t>
  </si>
  <si>
    <t>Impact of artificial intelligence on fashion: analysis of digital influencers in international fashion weeks</t>
  </si>
  <si>
    <t>UNIVERSITAS-REVISTA DE CIENCIAS SOCIALES Y HUMANAS</t>
  </si>
  <si>
    <t>Influencer; artificial intelligence; company; Instagram; social networks; digital influencers; brands; metaverse</t>
  </si>
  <si>
    <t>The phenomenon of digital influencers has transformed the way brands communicate with their au-dience via social networks. In a society that is governed by immediacy, companies have taken the lead in considering Instagram as the platform on which to advertise their products. In this scenario, influencers become a key tool and a business market for advertising. In parallel, Artificial Intelligence has given rise to a world of avatars, a non-human profile that develop capabilities with unknown effects on audiences and that focus the attention on fashion brands. The objective of this research is to unders-tand how digital influencers communicate on Instagram and the impact on luxury brands. A dual-focus content analysis methodology (quantitative/qualitative) and SPSS statistical tool are applied. The first results show the level of frequency of digital influencers in the advertising campaigns of fashion brands, the presence of luxury brands in their conversations and a positive interaction with users, despite being profiles that cannot reproduce the emotions of human language, we have been able to obtain some results which support that, although the avatars generated by artificial intelligence (AI) have the necessary characteristics to play a relevant role in brand advertising on social networks, it cannot be said that are involved in the influencer profession in at least not in the near future. In the future, it may be equivalent to the work done by humans</t>
  </si>
  <si>
    <t>[Rodriguez-Borlado, Paula Fajardo; Perez-Curiel, Concha] Univ Seville, Seville, Spain</t>
  </si>
  <si>
    <t>University of Sevilla</t>
  </si>
  <si>
    <t>Rodríguez-Borlado, PF (corresponding author), Univ Seville, Seville, Spain.</t>
  </si>
  <si>
    <t>paulafajardorb@gmail.com; cperez1@us.es</t>
  </si>
  <si>
    <t>UNIV POLITECNICA SALESIANA ECUADOR-SALESIAN POLYTECNIC UNIV</t>
  </si>
  <si>
    <t>CUENCA</t>
  </si>
  <si>
    <t>CALLE TURUHUAYO 3-69 &amp; CALLE VIEJA, CUENCA, 00000, ECUADOR</t>
  </si>
  <si>
    <t>1390-3837</t>
  </si>
  <si>
    <t>1390-8634</t>
  </si>
  <si>
    <t>UNIVERSITAS</t>
  </si>
  <si>
    <t>Universitas</t>
  </si>
  <si>
    <t>10.17163/uni.n41.2024.03</t>
  </si>
  <si>
    <t>H0X0A</t>
  </si>
  <si>
    <t>WOS:001320746900003</t>
  </si>
  <si>
    <t>Straub, J</t>
  </si>
  <si>
    <t>Straub, Jeremy</t>
  </si>
  <si>
    <t>Increasing Trust in Artificial Intelligence with a Defensible AI Technique</t>
  </si>
  <si>
    <t>2022 IEEE APPLIED IMAGERY PATTERN RECOGNITION WORKSHOP, AIPR</t>
  </si>
  <si>
    <t>IEEE Applied Imagery Pattern Recognition Workshop</t>
  </si>
  <si>
    <t>IEEE Applied Imagery Pattern Recognition Workshop (AIPR)</t>
  </si>
  <si>
    <t>OCT 11-13, 2022</t>
  </si>
  <si>
    <t>DC</t>
  </si>
  <si>
    <t>artificial intelligence; trust; defensible AI; DAI; explainable AI; XAI; neural networks</t>
  </si>
  <si>
    <t>Artificial intelligence (AI) systems are prevalent throughout society and have significant impact on peoples' everyday lives. Explainable artificial intelligence techniques have been developed in response to concerns about the opaqueness of many AI techniques, given their potential impact. Explainable techniques, though, do not guarantee performance - instead, they simply explain what was recommended or decided. This paper discusses how a new class of AI techniques, defensible AI (DAI) can increase public trust in AI. Issues with existing techniques are reviewed and an example DAI technique is presented and its benefits - relative to reliability, trust and security - are assessed.</t>
  </si>
  <si>
    <t>[Straub, Jeremy] North Dakota State Univ, Dept Comp Sci, Fargo, ND 58105 USA</t>
  </si>
  <si>
    <t>North Dakota State University Fargo</t>
  </si>
  <si>
    <t>Straub, J (corresponding author), North Dakota State Univ, Dept Comp Sci, Fargo, ND 58105 USA.</t>
  </si>
  <si>
    <t>jeremy.straub@ndsu.edu</t>
  </si>
  <si>
    <t>Straub, Jeremy/O-7131-2016</t>
  </si>
  <si>
    <t>1550-5219</t>
  </si>
  <si>
    <t>978-1-6654-7729-1</t>
  </si>
  <si>
    <t>IEEE APP IMG PAT</t>
  </si>
  <si>
    <t>10.1109/AIPR57179.2022.10092226</t>
  </si>
  <si>
    <t>Computer Science, Artificial Intelligence; Computer Science, Interdisciplinary Applications; Engineering, Electrical &amp; Electronic; Imaging Science &amp; Photographic Technology</t>
  </si>
  <si>
    <t>Computer Science; Engineering; Imaging Science &amp; Photographic Technology</t>
  </si>
  <si>
    <t>BV1MI</t>
  </si>
  <si>
    <t>WOS:000991969300028</t>
  </si>
  <si>
    <t>Herrera, MAM; Alvarez, JCE; Guzmán, DMC</t>
  </si>
  <si>
    <t>Herrera, Melina Abigail Medina; Alvarez, Juan Carlos Erazo; Guzman, Diego Marcelo Cordero</t>
  </si>
  <si>
    <t>THE IMPACT OF ARTIFICIAL INTELLIGENCE ON THE PERSONALIZATION OF THE CUSTOMER EXPERIENCE IN E-COMMERCE</t>
  </si>
  <si>
    <t>Artificial intelligence; e-commerce; financial institutions; automation; algorithm</t>
  </si>
  <si>
    <t>In recent decades, there have been significant changes in the business and financial environment, due to technological progress, where the introduction of new approaches to information management within institutions and massive data processing, presents a trend towards market globalization. The objective of the research is to analyze the impact of artificial intelligence (AI) in financial institutions in Ecuador, which optimizes customer response time. A mixed qualitative-quantitative approach was employed, using inductive-deductive and analytical-synthetic methods. The results show a growing presence of AI in financial services, as well as a diversity of preferences between efficiency and personalization, and a clear demand for continuous availability of customer services. These findings suggest the need to balance automation with personalization and to provide adequate training to ensure widespread acceptance of AI in the financial sector.</t>
  </si>
  <si>
    <t>[Herrera, Melina Abigail Medina; Alvarez, Juan Carlos Erazo; Guzman, Diego Marcelo Cordero] Univ Catolica Cuenca, Cuenca, Ecuador</t>
  </si>
  <si>
    <t>Universidad Catolica de Cuenca</t>
  </si>
  <si>
    <t>Herrera, MAM (corresponding author), Univ Catolica Cuenca, Cuenca, Ecuador.</t>
  </si>
  <si>
    <t>melina.medina@psg.ucacue.edu.ec; jcerazo@ucacue.edu.ec; dcordero@ucacue.edu.ec</t>
  </si>
  <si>
    <t>Moran Alvarez, Juan Carlos/C-1337-2019</t>
  </si>
  <si>
    <t>Moran Alvarez, Juan Carlos/0000-0002-8914-9631</t>
  </si>
  <si>
    <t>ZA4R8</t>
  </si>
  <si>
    <t>WOS:001272562500040</t>
  </si>
  <si>
    <t>Aschner, M; Mesnage, R; Docea, AO; Paoliello, MMB; Tsatsakis, A; Giannakakis, G; Papadakis, GZ; Vinceti, SR; Santamaria, A; Skalny, AV; Tinkov, AA</t>
  </si>
  <si>
    <t>Aschner, Michael; Mesnage, Robin; Docea, Anca Oana; Paoliello, Monica Maria Bastos; Tsatsakis, Aristides; Giannakakis, Georgios; Papadakis, Georgios Z.; Vinceti, Silvio Roberto; Santamaria, Abel; Skalny, Anatoly, V; Tinkov, Alexey A.</t>
  </si>
  <si>
    <t>Leveraging artificial intelligence to advance the understanding of chemical neurotoxicity</t>
  </si>
  <si>
    <t>NEUROTOXICOLOGY</t>
  </si>
  <si>
    <t>Neurotoxicity; Artificial intelligence; Commentary</t>
  </si>
  <si>
    <t>PREDICTION; HEALTH</t>
  </si>
  <si>
    <t>Neurotoxicology is a specialty that aims to understand and explain the impact of chemicals, xenobiotics and physical conditions on nervous system function throughout the life span. Herein, we point to the need for integration of novel translational bioinformatics and chemo-informatics approaches, such as machine learning (ML) and artificial intelligence (AI) to the discipline. Specifically, we advance the notion that AI and ML will be helpful in identifying neurotoxic signatures, provide reliable data in predicting neurotoxicity in the context of genetic variability, and improve the understanding of neurotoxic outcomes associated with exposures to mixtures, to name a few.</t>
  </si>
  <si>
    <t>[Aschner, Michael; Paoliello, Monica Maria Bastos] Albert Einstein Coll Med, Dept Mol Pharmacol, Bronx, NY 10461 USA; [Mesnage, Robin] Kings Coll London, Fac Life Sci &amp; Med, Dept Med &amp; Mol Genet, Gene Express &amp; Therapy Grp,Guys Hosp, London SE1 9RT, England; [Docea, Anca Oana] Univ Med &amp; Pharm Craiova, Dept Toxicol, Craiova 200349, Romania; [Tsatsakis, Aristides] Univ Crete, Fac Med, Dept Forens Sci &amp; Toxicol, Iraklion 71003, Greece; [Tsatsakis, Aristides] Sechenov Univ, Dept Analyt &amp; Forens Med Toxicol, Moscow 119991, Russia; [Giannakakis, Georgios; Papadakis, Georgios Z.] Fdn Res &amp; Technol Hellas FORTH, Hybrid Mol Imaging Unit HMIU, Rethimnon, Greece; [Vinceti, Silvio Roberto] Univ Modena &amp; Reggio Emilia, Modena, Italy; [Santamaria, Abel] Inst Nacl Neurol &amp; Neurocirug, Lab Aminoacidos Excitadores, SSA, Mexico City 14269, DF, Mexico; [Skalny, Anatoly, V] IM Sechenov First Moscow State Med Univ, World Class Res Ctr Digital Biodesign &amp; Personali, Sechenov Univ, Moscow, Russia; [Skalny, Anatoly, V] KG Razumovsky Moscow State Univ Technol &amp; Managem, Moscow, Russia; [Tinkov, Alexey A.] IM Sechenov First Moscow State Med Univ, Sechenov Univ, Moscow 119146, Russia; [Tinkov, Alexey A.] Yaroslavl State Univ, Sovetskaya Str 14, Yaroslavl 150000, Russia</t>
  </si>
  <si>
    <t>Yeshiva University; Montefiore Medical Center; Albert Einstein College of Medicine; University of London; King's College London; Guy's &amp; St Thomas' NHS Foundation Trust; University of Medicine &amp; Pharmacy of Craiova; University of Crete; Sechenov First Moscow State Medical University; Universita di Modena e Reggio Emilia; Sechenov First Moscow State Medical University; K.G. Razumovsky Moscow State University of Technologies &amp; Management the First Cossack University; Sechenov First Moscow State Medical University; Yaroslavl State University</t>
  </si>
  <si>
    <t>Aschner, M (corresponding author), Albert Einstein Coll Med, Dept Mol Pharmacol, Bronx, NY 10461 USA.</t>
  </si>
  <si>
    <t>michael.aschner@einsteinmed.org</t>
  </si>
  <si>
    <t>Tinkov, Alexey/H-5842-2016; Skalny, Anatoly/J-3953-2019; Vinceti, Silvio/KVB-8096-2024; Docea, Anca/P-5807-2019; Aschner, Michael/ACO-6461-2022; Papadakis, George/AAG-4010-2021; TSATSAKIS, ARISTIDIS/H-2890-2013</t>
  </si>
  <si>
    <t>TSATSAKIS, ARISTIDIS/0000-0003-3824-2462; Docea, Anca Oana/0000-0002-8162-5955; aschner, michael/0000-0002-2619-1656</t>
  </si>
  <si>
    <t>[NIEHSR01ES07331]</t>
  </si>
  <si>
    <t>MA was supported in part by a grant from NIEHSR01ES07331.</t>
  </si>
  <si>
    <t>0161-813X</t>
  </si>
  <si>
    <t>1872-9711</t>
  </si>
  <si>
    <t>Neurotoxicology</t>
  </si>
  <si>
    <t>10.1016/j.neuro.2021.12.007</t>
  </si>
  <si>
    <t>Neurosciences; Pharmacology &amp; Pharmacy; Toxicology</t>
  </si>
  <si>
    <t>Neurosciences &amp; Neurology; Pharmacology &amp; Pharmacy; Toxicology</t>
  </si>
  <si>
    <t>2P6IN</t>
  </si>
  <si>
    <t>WOS:000819842300002</t>
  </si>
  <si>
    <t>Maras, G; Günday, EA; Sürme, Y</t>
  </si>
  <si>
    <t>Maras, Gulseren; Gunday, Eda Albayrak; Surme, Yeliz</t>
  </si>
  <si>
    <t>Examining the Anxiety and Preparedness Levels of Nurses and Nurse Candidates for Artificial Intelligence Health Technologies</t>
  </si>
  <si>
    <t>JOURNAL OF CLINICAL NURSING</t>
  </si>
  <si>
    <t>artificial intelligence; nurse; nurse candidate</t>
  </si>
  <si>
    <t>Aims: This study examined the anxiety levels of nurses and nurse candidates regarding humanoid nurse robots and artificial intelligence health technologies in perioperative patient care. Design: Descriptive and cross-sectional study. Methods: The research was conducted with 158 intern students and 167 surgical nurses. Socio-demographic characteristics form, Questions Form Regarding Humanoid Nurse Robots and Artificial Intelligence Health Technologies, Artificial Intelligence Anxiety Scale and The Medical Artificial Intelligence Preparedness Scale were used. The independent t-test and one-way analysis of variance (ANOVA) were used. This study complied with Appendix S1. Results: The total scores on the Artificial Intelligence Anxiety Scale for nurses and nursing students are 73.089 +/- 31.667 and 73.624 +/- 28.029, respectively. The total scores on the Artificial Intelligence Readiness Scale for nurses and nursing students are 71.736 +/- 15.064 and 72.183 +/- 13.714, respectively. When comparing the sociodemographic characteristics and scale scores of nurses, a statistically significant difference was found between age and the Artificial Intelligence Anxiety Scale scores (p &lt; 0.05). There was also a statistically significant difference between age, gender and work duration and the Artificial Intelligence Readiness Scale scores for nurses (p &lt; 0.05). Conclusion: Both groups exhibited moderate levels of anxiety and readiness regarding artificial intelligence. Comprehensive research is needed to elucidate the impact of artificial intelligence technologies on nursing professionals. Implication for the ProfessionThe proper use of Artificial Intelligence technologies can enhance the quality of patient care, alleviate the workload, increase patient and staff satisfaction and foster new perspectives on acceptance. With their integration into clinics, a patient-centred care environment will emerge, improving patient safety, outcomes and overall well-being. Thus, the anxieties of nurses and students towards artificial intelligence technologies will decrease, and their readiness will increase. Patient or Public Contribution: No Patient or Public Contribution.</t>
  </si>
  <si>
    <t>[Maras, Gulseren; Surme, Yeliz] Erciyes Univ, Fac Hlth Sci, Surg Nursing, Kayseri, Turkiye; [Gunday, Eda Albayrak] Erciyes Univ, Fac Hlth Sci, Mental Hlth &amp; Dis Nursing, Kayseri, Turkiye</t>
  </si>
  <si>
    <t>Erciyes University; Erciyes University</t>
  </si>
  <si>
    <t>Sürme, Y (corresponding author), Erciyes Univ, Fac Hlth Sci, Surg Nursing, Kayseri, Turkiye.</t>
  </si>
  <si>
    <t>Maraş, Gülseren/ABC-8016-2021; Albayrak, Eda/GPX-3564-2022; SURME, Yeliz/AAM-2027-2021</t>
  </si>
  <si>
    <t>Albayrak Gunday, Eda/0000-0002-0271-2955; surme, yeliz/0000-0002-0851-0254</t>
  </si>
  <si>
    <t>0962-1067</t>
  </si>
  <si>
    <t>1365-2702</t>
  </si>
  <si>
    <t>J CLIN NURS</t>
  </si>
  <si>
    <t>J. Clin. Nurs.</t>
  </si>
  <si>
    <t>2024 NOV 18</t>
  </si>
  <si>
    <t>10.1111/jocn.17562</t>
  </si>
  <si>
    <t>M7G1O</t>
  </si>
  <si>
    <t>WOS:001359170900001</t>
  </si>
  <si>
    <t>Richter, L; Lehna, M; Marchand, S; Scholz, C; Dreher, A; Klaiber, S; Lenk, S</t>
  </si>
  <si>
    <t>Richter, Lucas; Lehna, Malte; Marchand, Sophie; Scholz, Christoph; Dreher, Alexander; Klaiber, Stefan; Lenk, Steve</t>
  </si>
  <si>
    <t>Artificial Intelligence for Electricity Supply Chain automation</t>
  </si>
  <si>
    <t>RENEWABLE &amp; SUSTAINABLE ENERGY REVIEWS</t>
  </si>
  <si>
    <t>Electricity supply chain; Energy management; Energy transition; Artificial intelligence automation data; processing forecasting optimization; autonomous trading; interaction</t>
  </si>
  <si>
    <t>NUMERICAL WEATHER PREDICTION; PARTICLE SWARM OPTIMIZATION; SUPPORT VECTOR REGRESSION; ENERGY MANAGEMENT; FAULT-DIAGNOSIS; FORECASTING PERFORMANCE; NEURAL-NETWORKS; DATA QUALITY; WIND-SPEED; REAL-TIME</t>
  </si>
  <si>
    <t>The Electricity Supply Chain is a system of enabling procedures to optimize processes ranging from production to transportation and consumption of electricity. The proportion of distributed energy sources within the electricity system increases steadily, which necessitates an improved monitoring capability to ensure the overall reliability and quality of the Electricity Supply Chain. Automation is strongly required to process the growing amount of data. Thus, it is inevitable to handle large amounts of heterogeneous data and process the information using forecasting and optimization techniques. Artificial Intelligence techniques are crucial for extending human cognitive abilities in these tasks. In our work, we synthesize the main impacts of the Artificial Intelligence paradigm on the automation of the Electricity Supply Chain. We describe the emerging automation through Artificial Intelligence in every layer of the Smart Grid Architecture Model and highlight state-of-the-art approaches. In the review, we focus on the following Electricity Supply Chain functionalities: generation, maintenance, pre-processing, analysis, forecasting, optimization, and trading within energy systems. After investigating the individual perspectives, we examine the potential implementation of a fully automated Electricity Supply Chain. Lastly, we discuss perspectives and limitations for the transformation from conventional to automated Electricity Supply Chains, specifically in terms of human interaction, Artificial Intelligence adaptation, energy transition, and sustainability.</t>
  </si>
  <si>
    <t>[Richter, Lucas; Klaiber, Stefan; Lenk, Steve] Fraunhofer Inst Optron Syst Technol &amp; Image Explo, Adv Syst Technol Branch AST, Vogelherd 90, D-98693 Ilmenau, Germany; [Lehna, Malte; Scholz, Christoph; Dreher, Alexander] Fraunhofer Inst Energy Econ &amp; Energy Syst Technol, Konigstor 59, D-34119 Kassel, Germany; [Marchand, Sophie] Fraunhofer Inst Solar Energy Syst ISE, Heidenhofstr 2, D-79110 Freiburg, Germany</t>
  </si>
  <si>
    <t>Fraunhofer Gesellschaft; Fraunhofer Gesellschaft; Fraunhofer Germany; Fraunhofer Institute of Solar Energy Systems</t>
  </si>
  <si>
    <t>Lenk, S (corresponding author), Fraunhofer Inst Optron Syst Technol &amp; Image Explo, Adv Syst Technol Branch AST, Vogelherd 90, D-98693 Ilmenau, Germany.</t>
  </si>
  <si>
    <t>steve.lenk@iosb-ast.fraunhofer.de</t>
  </si>
  <si>
    <t>Scholz, Christoph/JZD-2372-2024</t>
  </si>
  <si>
    <t>Lenk, Steve/0000-0002-3376-0589; Lehna, Malte/0000-0003-0621-1442; Dreher, Alexander/0000-0002-4779-953X; Scholz, Christoph/0000-0002-8719-8261</t>
  </si>
  <si>
    <t>Fraunhofer Cluster of Excellence Integrated Energy Systems (CINES); BMBF (Bundesministerium fur Bildung und Forschung) [01IS18074D]</t>
  </si>
  <si>
    <t>Fraunhofer Cluster of Excellence Integrated Energy Systems (CINES); BMBF (Bundesministerium fur Bildung und Forschung)(Federal Ministry of Education &amp; Research (BMBF))</t>
  </si>
  <si>
    <t>This work was supported by the Fraunhofer Cluster of Excellence Integrated Energy Systems (CINES) . S. L. acknowledges financial support from BMBF (Bundesministerium fur Bildung und Forschung) under the project reDesigN (support code 01IS18074D) . L. R. and S. L. thank Florian Rippstein for many fruitful discussions regarding the automated ESC architecture.</t>
  </si>
  <si>
    <t>1364-0321</t>
  </si>
  <si>
    <t>1879-0690</t>
  </si>
  <si>
    <t>RENEW SUST ENERG REV</t>
  </si>
  <si>
    <t>Renew. Sust. Energ. Rev.</t>
  </si>
  <si>
    <t>10.1016/j.rser.2022.112459</t>
  </si>
  <si>
    <t>Green &amp; Sustainable Science &amp; Technology; Energy &amp; Fuels</t>
  </si>
  <si>
    <t>Science &amp; Technology - Other Topics; Energy &amp; Fuels</t>
  </si>
  <si>
    <t>1K2XF</t>
  </si>
  <si>
    <t>WOS:000798469500001</t>
  </si>
  <si>
    <t>Loan, FA; Bashir, B; Nasreen, N</t>
  </si>
  <si>
    <t>Loan, Fayaz Ahmad; Bashir, Bisma; Nasreen, Nahida</t>
  </si>
  <si>
    <t>Applied artificial intelligence : A bibliometric study of an International Journal</t>
  </si>
  <si>
    <t>COLLNET JOURNAL OF SCIENTOMETRICS AND INFORMATION MANAGEMENT</t>
  </si>
  <si>
    <t>Artificial intelligence; Applied artificial intelligence; Bibliometrics; Scientometrics; Citation analysis; Keyword analysis</t>
  </si>
  <si>
    <t>SCIENTOMETRIC ANALYSIS; RESEARCH OUTPUT; SCIENCE; PRODUCTIVITY; MANAGEMENT; AMERICAN; PATTERNS; IMPACT</t>
  </si>
  <si>
    <t>Purpose: The study aims to conduct a bibliometric analysis of an international journal Applied Artificial Intelligence (AAI) to analyze publication trends, authorship patterns, collaborative networks, citation behaviors, and research hotspots of authors, organizations, and countries. Research Design/Methodology: Applied Artificial Intelligence is a peer-reviewed international journal, published by Taylor &amp; Francis. The journal has published more than 1100 articles in 34 volumes so far. The idea was conceived to conduct the bibliometric study of the AAI journal. The data were collected from the Web of Science (WOS) database, owned by the Clarivate Analytics. A total of 1109 articles were retrieved and their metadata was collected for further analysis and interpretation. Additionally, the VOS viewer software was used for mapping and visualization of the bibliographic information. Findings: The journal has experienced positive growth in research productivity and negative growth in citations. Authors of 74 prominent countries have contributed to the journal and the USA has occupied the first position in publication count followed by Italy, India and England respectively. All the countries work in close collaboration and created a collaborative network and sub-networks. The USA is the pivot of the collaborative network, mostly collaborating with England, Japan, Italy, China and Germany. The keywords like the classification, optimization, algorithms and neural networks are the most common and hence the hot topics of research in the journal. Originality/Value: The main advantage of this study is that it provides profound knowledge of the content structure and developmental process of the journal to date. It is also valuable for researchers in the field of artificial intelligence to identify the research hotspots in this field.</t>
  </si>
  <si>
    <t>[Loan, Fayaz Ahmad; Bashir, Bisma; Nasreen, Nahida] Univ Kashmir, Ctr Cent Asian Studies, Srinagar, Jammu &amp; Kashmir, India</t>
  </si>
  <si>
    <t>University of Kashmir</t>
  </si>
  <si>
    <t>Loan, FA (corresponding author), Univ Kashmir, Ctr Cent Asian Studies, Srinagar, Jammu &amp; Kashmir, India.</t>
  </si>
  <si>
    <t>fayazlib@yahoo.co.in; bismabashir53@gmail.com; nahidariasreen94@gmail.com</t>
  </si>
  <si>
    <t>Nasreen, Naila/AAL-1205-2020</t>
  </si>
  <si>
    <t>0973-7766</t>
  </si>
  <si>
    <t>2168-930X</t>
  </si>
  <si>
    <t>COLLNET J SCIENTOMET</t>
  </si>
  <si>
    <t>Collnet J. Scientometr. Inf. Manag.</t>
  </si>
  <si>
    <t>10.1080/09737766.2021.1938742</t>
  </si>
  <si>
    <t>TI9DQ</t>
  </si>
  <si>
    <t>WOS:000673096200003</t>
  </si>
  <si>
    <t>Soldic-Aleksic, J; Zecevic, A; Krasavac, BC</t>
  </si>
  <si>
    <t>Soldic-Aleksic, Jasna; Zecevic, Aleksandra; Krasavac, Biljana Chroneos</t>
  </si>
  <si>
    <t>ARTIFICIAL INTELLIGENCE IN AGRICULTURE: THE IMPACT ON LABOR PRODUCTIVITY</t>
  </si>
  <si>
    <t>EKONOMIKA POLJOPRIVREDA-ECONOMICS OF AGRICULTURE</t>
  </si>
  <si>
    <t>artificial intelligence; productivity in agriculture; European Union countries; correlation and regression; analysis, Serbias' position in AI</t>
  </si>
  <si>
    <t>The last few years have seen the artificial intelligence industries, including agriculture, by optimizing the use of resources, increasing productivity, work efficiency, and resistance to climate change. The basic research question here is the degree of connection between the level of productivity in agriculture, on the one hand, and the degree of acceptance of AI technologies and a number of agriculture-related economic indicators, on the other hand. For this purpose, an empirical data analysis was carried out for EU 27 member countries. The results of the analysis show a moderately strong positive relationship between the level of the Labor Productivity in Agriculture and the AI Readiness Index score. Also, there is a statistically significant, but slightly less pronounced, positive relationship between the level of the Labor Productivity in Agriculture and GDP per capita and Agriculture, Forestry, and Fishing, Value Added (current US$) in Millions.</t>
  </si>
  <si>
    <t>[Soldic-Aleksic, Jasna; Zecevic, Aleksandra; Krasavac, Biljana Chroneos] Univ Belgrade, Fac Econ &amp; Business, 6 Kamenicka St, Belgrade 11000, Serbia</t>
  </si>
  <si>
    <t>University of Belgrade</t>
  </si>
  <si>
    <t>Soldic-Aleksic, J (corresponding author), Univ Belgrade, Fac Econ &amp; Business, 6 Kamenicka St, Belgrade 11000, Serbia.</t>
  </si>
  <si>
    <t>jasna.soldic@ekof.bg.ac.rs; aleksandra.zecevic@ekof.bg.ac.rs; biljana.krasavac@ekof.bg.ac.rs</t>
  </si>
  <si>
    <t>Krasavac, Biljana/ABA-1845-2020; Zecevic, Aleksandra/AAY-3984-2020</t>
  </si>
  <si>
    <t>BALKAN SCIENTIFIC ASSOC AGRARIAN ECONOMISTS</t>
  </si>
  <si>
    <t>BELGRADE</t>
  </si>
  <si>
    <t>VOLGINA 15, PO BOX 93, BELGRADE, 11060, SERBIA</t>
  </si>
  <si>
    <t>0352-3462</t>
  </si>
  <si>
    <t>EKON POLJOPR</t>
  </si>
  <si>
    <t>Ekon. Poljopr.</t>
  </si>
  <si>
    <t>10.59267/ekoPolj2403957S</t>
  </si>
  <si>
    <t>Agricultural Economics &amp; Policy</t>
  </si>
  <si>
    <t>I9T0L</t>
  </si>
  <si>
    <t>WOS:001333591700014</t>
  </si>
  <si>
    <t>Fox, R; Bui, Y</t>
  </si>
  <si>
    <t>Silhavy, R; Senkerik, R; Oplatkova, ZK; Prokopova, Z; Silhavy, P</t>
  </si>
  <si>
    <t>Fox, Richard; Bui, Yuliya</t>
  </si>
  <si>
    <t>An Artificial Intelligence Approach to Nutritional Meal Planning for Cancer Patients</t>
  </si>
  <si>
    <t>ARTIFICIAL INTELLIGENCE PERSPECTIVES AND APPLICATIONS (CSOC2015)</t>
  </si>
  <si>
    <t>4th Computer Science On-line Conference (CSOC)</t>
  </si>
  <si>
    <t>APR 27-30, 2015</t>
  </si>
  <si>
    <t>CZECH REPUBLIC</t>
  </si>
  <si>
    <t>Artificial Intelligence; Planning; Nutrition; Chemotherapy</t>
  </si>
  <si>
    <t>It is well-known that cancer patients undergoing chemotherapy suffer from nausea at a time when it is important for them to receive proper nutrition to fight not only the cancer but the impact that chemotherapy has on their body. Yet due to the debilitating nature of both the cancer and the chemotherapy treatment, such patients often have little energy to spend on food selection and preparation. In this paper, an artificial intelligence approach is taken to generate meal plans for users who may or may not be suffering from nausea on any particular day. Specifically, a variety of preferences are applied to evaluate meal components (e.g., dinner entree, dinner side dish, lunch entree) in an attempt to generate a balanced, healthy and palatable meal plan for the user.</t>
  </si>
  <si>
    <t>[Fox, Richard; Bui, Yuliya] No Kentucky Univ, Dept Comp Sci, Highland Hts, KY 41076 USA</t>
  </si>
  <si>
    <t>Northern Kentucky University</t>
  </si>
  <si>
    <t>Fox, R (corresponding author), No Kentucky Univ, Dept Comp Sci, Highland Hts, KY 41076 USA.</t>
  </si>
  <si>
    <t>foxr@nku.edu; buijulia@gmail.com</t>
  </si>
  <si>
    <t>978-3-319-18476-0; 978-3-319-18475-3</t>
  </si>
  <si>
    <t>10.1007/978-3-319-18476-0_22</t>
  </si>
  <si>
    <t>BE3ZB</t>
  </si>
  <si>
    <t>WOS:000371407800022</t>
  </si>
  <si>
    <t>Newman, J; Mintrom, M; O'Neill, D</t>
  </si>
  <si>
    <t>Newman, Joshua; Mintrom, Michael; O'Neill, Deirdre</t>
  </si>
  <si>
    <t>Digital technologies, artificial intelligence, and bureaucratic transformation</t>
  </si>
  <si>
    <t>Artificial intelligence; Digital technologies; Bureaucracy; Bureaucratic transformation; Max Weber</t>
  </si>
  <si>
    <t>RED TAPE; PUBLIC-SERVICE; GOVERNMENT; FORMALIZATION; REVOLUTION; SOCIETY; IMPACT</t>
  </si>
  <si>
    <t>Bureaucracies are often criticized for their inflexibility, budget-maximizing wastefulness, and excessive rules and procedures. Rapid advances in technology, including the expansion of digital government, the use of artificial intelligence, and the ability to collect and analyze big data, promise to make public sector organizations leaner, more efficient, and more responsive to citizens' needs. While these technological changes have prompted some observers to forecast the end of bureaucracy, data from many countries show that bureaucratic public organizations are not disappearing. In this article, we argue that this paradox can be explained by revisiting some of the foundational work of sociologist Max Weber, who envisioned public administration itself as a bureaucratic machine. Advanced computing technologies, like artificial intelligence, are reinforcing bureaucratic tendencies in the public sector, not eliminating them. While advances in technology may transform the way public sector organizations operate, they can also serve to strengthen bureaucracy's core purpose.</t>
  </si>
  <si>
    <t>[Newman, Joshua; Mintrom, Michael; O'Neill, Deirdre] Monash Univ, Clayton, Vic, Australia</t>
  </si>
  <si>
    <t>Monash University</t>
  </si>
  <si>
    <t>Newman, J (corresponding author), Monash Univ, Fac Arts, Wellington Rd, Clayton, Vic 3800, Australia.</t>
  </si>
  <si>
    <t>joshua.newman@monash.edu</t>
  </si>
  <si>
    <t>Newman, Joshua/0000-0002-6492-0194</t>
  </si>
  <si>
    <t>10.1016/j.futures.2021.102886</t>
  </si>
  <si>
    <t>XX8WJ</t>
  </si>
  <si>
    <t>WOS:000736568200003</t>
  </si>
  <si>
    <t>Bélisle-Pipon, JC; Couture, V; Roy, MC; Ganache, I; Goetghebeur, M; Cohen, IG</t>
  </si>
  <si>
    <t>Belisle-Pipon, Jean-Christophe; Couture, Vincent; Roy, Marie-Christine; Ganache, Isabelle; Goetghebeur, Mireille; Cohen, I. Glenn</t>
  </si>
  <si>
    <t>What Makes Artificial Intelligence Exceptional in Health Technology Assessment?</t>
  </si>
  <si>
    <t>artificial intelligence; exceptionalism; ethical; social and legal implications; health technology assessment; health regulation</t>
  </si>
  <si>
    <t>ETHICAL CONSIDERATIONS; BIG DATA; CARE; FRAMEWORK; CHALLENGES; MEDICINE</t>
  </si>
  <si>
    <t>The application of artificial intelligence (AI) may revolutionize the healthcare system, leading to enhance efficiency by automatizing routine tasks and decreasing health-related costs, broadening access to healthcare delivery, targeting more precisely patient needs, and assisting clinicians in their decision-making. For these benefits to materialize, governments and health authorities must regulate AI, and conduct appropriate health technology assessment (HTA). Many authors have highlighted that AI health technologies (AIHT) challenge traditional evaluation and regulatory processes. To inform and support HTA organizations and regulators in adapting their processes to AIHTs, we conducted a systematic review of the literature on the challenges posed by AIHTs in HTA and health regulation. Our research question was: What makes artificial intelligence exceptional in HTA? The current body of literature appears to portray AIHTs as being exceptional to HTA. This exceptionalism is expressed along 5 dimensions: 1) AIHT's distinctive features; 2) their systemic impacts on health care and the health sector; 3) the increased expectations towards AI in health; 4) the new ethical, social and legal challenges that arise from deploying AI in the health sector; and 5) the new evaluative constraints that AI poses to HTA. Thus, AIHTs are perceived as exceptional because of their technological characteristics and potential impacts on society at large. As AI implementation by governments and health organizations carries risks of generating new, and amplifying existing, challenges, there are strong arguments for taking into consideration the exceptional aspects of AIHTs, especially as their impacts on the healthcare system will be far greater than that of drugs and medical devices. As AIHTs begin to be increasingly introduced into the health care sector, there is a window of opportunity for HTA agencies and scholars to consider AIHTs' exceptionalism and to work towards only deploying clinically, economically, socially acceptable AIHTs in the health care system.</t>
  </si>
  <si>
    <t>[Belisle-Pipon, Jean-Christophe] Simon Fraser Univ, Fac Hlth Sci, Burnaby, BC, Canada; [Couture, Vincent] Laval Univ, Fac Nursing, Quebec City, PQ, Canada; [Roy, Marie-Christine] Univ Montreal, Ecole Sante Publ, Quebec City, PQ, Canada; [Ganache, Isabelle; Goetghebeur, Mireille] Inst Natl Excellence Sante &amp; Serv Sociaux INESSS, Montreal, PQ, Canada; [Cohen, I. Glenn] Harvard Law Sch, Cambridge, MA USA</t>
  </si>
  <si>
    <t>Simon Fraser University; Laval University; Universite de Montreal; Harvard University</t>
  </si>
  <si>
    <t>Bélisle-Pipon, JC (corresponding author), Simon Fraser Univ, Fac Hlth Sci, Burnaby, BC, Canada.</t>
  </si>
  <si>
    <t>Bélisle-Pipon, Jean-Christophe/P-3132-2017</t>
  </si>
  <si>
    <t>Couture, Vincent/0000-0002-8811-0524; Roy, Marie-Christine/0000-0002-1803-4079</t>
  </si>
  <si>
    <t>Collaborative Research Program for Biomedical Innovation Law, a scientifically independent collaborative research program from the Novo Nordisk Foundation [NNF17SA0027784]; SFU</t>
  </si>
  <si>
    <t>Collaborative Research Program for Biomedical Innovation Law, a scientifically independent collaborative research program from the Novo Nordisk Foundation(Novo Nordisk Foundation); SFU</t>
  </si>
  <si>
    <t>IGC was supported by the Collaborative Research Program for Biomedical Innovation Law, a scientifically independent collaborative research program, which is supported by grant NNF17SA0027784 from the Novo Nordisk Foundation. The SFU Open Access Fund has generously covered the publishing fee to make this article widely accessible.</t>
  </si>
  <si>
    <t>10.3389/frai.2021.736697</t>
  </si>
  <si>
    <t>WOS:000751704800151</t>
  </si>
  <si>
    <t>Nilsen, P; Svedberg, P; Nygren, J; Frideros, M; Johansson, J; Schueller, S</t>
  </si>
  <si>
    <t>Nilsen, Per; Svedberg, Petra; Nygren, Jens; Frideros, Micael; Johansson, Jan; Schueller, Stephen</t>
  </si>
  <si>
    <t>Accelerating the impact of artificial intelligence in mental healthcare through implementation science</t>
  </si>
  <si>
    <t>IMPLEMENTATION RESEARCH AND PRACTICE</t>
  </si>
  <si>
    <t>mental health services; implementation; artificial intelligence</t>
  </si>
  <si>
    <t>MEDICINE</t>
  </si>
  <si>
    <t>Background The implementation of artificial intelligence (AI) in mental healthcare offers a potential solution to some of the problems associated with the availability, attractiveness, and accessibility of mental healthcare services. However, there are many knowledge gaps regarding how to implement and best use AI to add value to mental healthcare services, providers, and consumers. The aim of this paper is to identify challenges and opportunities for AI use in mental healthcare and to describe key insights from implementation science of potential relevance to understand and facilitate AI implementation in mental healthcare.Methods The paper is based on a selective review of articles concerning AI in mental healthcare and implementation science.Results Research in implementation science has established the importance of considering and planning for implementation from the start, the progression of implementation through different stages, and the appreciation of determinants at multiple levels. Determinant frameworks and implementation theories have been developed to understand and explain how different determinants impact on implementation. AI research should explore the relevance of these determinants for AI implementation. Implementation strategies to support AI implementation must address determinants specific to AI implementation in mental health. There might also be a need to develop new theoretical approaches or augment and recontextualize existing ones. Implementation outcomes may have to be adapted to be relevant in an AI implementation context.Conclusion Knowledge derived from implementation science could provide an important starting point for research on implementation of AI in mental healthcare. This field has generated many insights and provides a broad range of theories, frameworks, and concepts that are likely relevant for this research. However, when taking advantage of the existing knowledge basis, it is important to also be explorative and study AI implementation in health and mental healthcare as a new phenomenon in its own right since implementing AI may differ in various ways from implementing evidence-based practices in terms of what implementation determinants, strategies, and outcomes are most relevant. Plain Language Summary: The implementation of artificial intelligence (AI) in mental healthcare offers a potential solution to some of the problems associated with the availability, attractiveness, and accessibility of mental healthcare services. However, there are many knowledge gaps concerning how to implement and best use AI to add value to mental healthcare services, providers, and consumers. This paper is based on a selective review of articles concerning AI in mental healthcare and implementation science, with the aim to identify challenges and opportunities for the use of AI in mental healthcare and describe key insights from implementation science of potential relevance to understand and facilitate AI implementation in mental healthcare. AI offers opportunities for identifying the patients most in need of care or the interventions that might be most appropriate for a given population or individual. AI also offers opportunities for supporting a more reliable diagnosis of psychiatric disorders and ongoing monitoring and tailoring during the course of treatment. However, AI implementation challenges exist at organizational/policy, individual, and technical levels, making it relevant to draw on implementation science knowledge for understanding and facilitating implementation of AI in mental healthcare. Knowledge derived from implementation science could provide an important starting point for research on AI implementation in mental healthcare. This field has generated many insights and provides a broad range of theories, frameworks, and concepts that are likely relevant for this research.Conclusion Knowledge derived from implementation science could provide an important starting point for research on implementation of AI in mental healthcare. This field has generated many insights and provides a broad range of theories, frameworks, and concepts that are likely relevant for this research. However, when taking advantage of the existing knowledge basis, it is important to also be explorative and study AI implementation in health and mental healthcare as a new phenomenon in its own right since implementing AI may differ in various ways from implementing evidence-based practices in terms of what implementation determinants, strategies, and outcomes are most relevant. Plain Language Summary: The implementation of artificial intelligence (AI) in mental healthcare offers a potential solution to some of the problems associated with the availability, attractiveness, and accessibility of mental healthcare services. However, there are many knowledge gaps concerning how to implement and best use AI to add value to mental healthcare services, providers, and consumers. This paper is based on a selective review of articles concerning AI in mental healthcare and implementation science, with the aim to identify challenges and opportunities for the use of AI in mental healthcare and describe key insights from implementation science of potential relevance to understand and facilitate AI implementation in mental healthcare. AI offers opportunities for identifying the patients most in need of care or the interventions that might be most appropriate for a given population or individual. AI also offers opportunities for supporting a more reliable diagnosis of psychiatric disorders and ongoing monitoring and tailoring during the course of treatment. However, AI implementation challenges exist at organizational/policy, individual, and technical levels, making it relevant to draw on implementation science knowledge for understanding and facilitating implementation of AI in mental healthcare. Knowledge derived from implementation science could provide an important starting point for research on AI implementation in mental healthcare. This field has generated many insights and provides a broad range of theories, frameworks, and concepts that are likely relevant for this research.</t>
  </si>
  <si>
    <t>[Nilsen, Per; Frideros, Micael] Linkoping Univ, Uvebergsv 47, S-58183 Linkoping, Sweden; [Svedberg, Petra; Nygren, Jens] Halmstad Univ, Sch Hlth &amp; Welf, Halmstad, Sweden; [Johansson, Jan] Reg Halland, Halmstad, Sweden; [Schueller, Stephen] Univ Calif Irvine, Psychol Sci, Irvine, CA USA</t>
  </si>
  <si>
    <t>Linkoping University; Halmstad University; University of California System; University of California Irvine</t>
  </si>
  <si>
    <t>Nilsen, P (corresponding author), Linkoping Univ, Uvebergsv 47, S-58183 Linkoping, Sweden.</t>
  </si>
  <si>
    <t>per.nilsen@liu.se</t>
  </si>
  <si>
    <t>Frideros, Micael/0000-0003-4241-0270</t>
  </si>
  <si>
    <t>The authors thank Fredrik Heintz for valuable comments on the technology of AI.</t>
  </si>
  <si>
    <t>2633-4895</t>
  </si>
  <si>
    <t>IMPLEMENT RES PRACT</t>
  </si>
  <si>
    <t>Implement. Res. Pract.</t>
  </si>
  <si>
    <t>10.1177/26334895221112033</t>
  </si>
  <si>
    <t>Health Care Sciences &amp; Services; Health Policy &amp; Services; Public, Environmental &amp; Occupational Health</t>
  </si>
  <si>
    <t>Health Care Sciences &amp; Services; Public, Environmental &amp; Occupational Health</t>
  </si>
  <si>
    <t>TK6A3</t>
  </si>
  <si>
    <t>WOS:001241183400028</t>
  </si>
  <si>
    <t>Brennan, HL; Kirby, SD</t>
  </si>
  <si>
    <t>Brennan, Hannah L.; Kirby, Simon D.</t>
  </si>
  <si>
    <t>Barriers of artificial intelligence implementation in the diagnosis of obstructive sleep apnea</t>
  </si>
  <si>
    <t>JOURNAL OF OTOLARYNGOLOGY-HEAD &amp; NECK SURGERY</t>
  </si>
  <si>
    <t>Artificial intelligence; Obstructive sleep apnea; Diagnosis; Barriers</t>
  </si>
  <si>
    <t>NEURAL-NETWORK; PREDICTION; POLYSOMNOGRAPHY; CLASSIFICATION; PERFORMANCE; CANCER; SYSTEM; RISK</t>
  </si>
  <si>
    <t>Background: Obstructive sleep apnea is a common clinical condition and has a significant impact on the health of patients if untreated. The current diagnostic gold standard for obstructive sleep apnea is polysomnography, which is labor intensive, requires specialists to utilize, expensive, and has accessibility challenges. There are also challenges with awareness and identification of obstructive sleep apnea in the primary care setting. Artificial intelligence systems offer the opportunity for a new diagnostic approach that addresses the limitations of polysomnography and ultimately benefits patients by streamlining the diagnostic expedition. Main body: The purpose of this project is to elucidate the barriers that exist in the implementation of artificial intelligence systems into the diagnostic context of obstructive sleep apnea. It is essential to understand these challenges in order to proactively create solutions and establish an efficient adoption of this new technology. The literature regarding the evolution of the diagnosis of obstructive sleep apnea, the role of artificial intelligence in the diagnosis, and the barriers in artificial intelligence implementation was reviewed and analyzed. Conclusion: The barriers identified were categorized into different themes including technology, data, regulation, human resources, education, and culture. Many of these challenges are ubiquitous across artificial intelligence implementation in any medical diagnostic setting. Future research directions include developing solutions to the barriers presented in this project.</t>
  </si>
  <si>
    <t>[Brennan, Hannah L.; Kirby, Simon D.] Mem Univ Newfoundland &amp; Labrador, Fac Med, 98 Pearltown Rd, St John, NF A1G 1P3, Canada</t>
  </si>
  <si>
    <t>Memorial University Newfoundland</t>
  </si>
  <si>
    <t>Brennan, HL (corresponding author), Mem Univ Newfoundland &amp; Labrador, Fac Med, 98 Pearltown Rd, St John, NF A1G 1P3, Canada.</t>
  </si>
  <si>
    <t>hlb423@mun.ca</t>
  </si>
  <si>
    <t>Brennan, Hannah/0000-0003-1004-3170</t>
  </si>
  <si>
    <t>Memorial University of Newfoundland and Labrador Summer Undergrad Research Award (SURA)</t>
  </si>
  <si>
    <t>This research was supported by Memorial University of Newfoundland and Labrador Summer Undergrad Research Award (SURA).</t>
  </si>
  <si>
    <t>1916-0216</t>
  </si>
  <si>
    <t>J OTOLARYNGOL-HEAD N</t>
  </si>
  <si>
    <t>J. Otolaryngol-Head Neck Surg.</t>
  </si>
  <si>
    <t>APR 25</t>
  </si>
  <si>
    <t>10.1186/s40463-022-00566-w</t>
  </si>
  <si>
    <t>0T9WC</t>
  </si>
  <si>
    <t>WOS:000787310900002</t>
  </si>
  <si>
    <t>Medaglia, R; Tangi, L</t>
  </si>
  <si>
    <t>Amaral, L; Soares, D; Zheng, L</t>
  </si>
  <si>
    <t>Medaglia, Rony; Tangi, Luca</t>
  </si>
  <si>
    <t>The adoption of Artificial Intelligence in the public sector in Europe: drivers, features, and impacts</t>
  </si>
  <si>
    <t>PROCEEDINGS OF THE 15TH INTERNATIONAL CONFERENCE ON THEORY AND PRACTICE OF ELECTRONIC GOVERNANCE, ICEGOV 2022</t>
  </si>
  <si>
    <t>15th International Conference on Theory and Practice of Electronic Governance (ICEGOV)</t>
  </si>
  <si>
    <t>OCT 04-07, 2022</t>
  </si>
  <si>
    <t>Guimaraes, PORTUGAL</t>
  </si>
  <si>
    <t>Adm Modernizat Agcy,Univ Minho,United Nat Univ Operating Unit Policy Driven Elect Governance,Norte Portugal Reg Operat Programme 2020</t>
  </si>
  <si>
    <t>Artificial Intelligence; Public sector; Digital government; Survey; Europe</t>
  </si>
  <si>
    <t>SUSTAINABLE DEVELOPMENT GOALS; GOVERNMENT; FRAMEWORK; PROJECTS; CHALLENGES; CITIZENS; AI</t>
  </si>
  <si>
    <t>This paper presents the findings of an online survey carried out as part of AI Watch, the European Commission knowledge service to monitor the development, uptake and impact of Artificial Intelligence (AI) for Europe. The survey was addressed at practitioners of public administrations at central, regional, and local level and aimed to compile a collection of cases of AI-enabled solutions used by public sector administrations. It analyses the drivers, obstacles, opportunities, and influencing factors of AI adoption and use by European public sector administrations, and identifies the perceived impacts of AI-enabled solutions on the different beneficiaries/users of services provided by public sector administrations. Findings from 62 respondents show that there is a wide array of AI initiatives in the public sector in European Member States moving beyond the pilot stage, that there is lack of citizen involvement in the design of AI services, low digital literacy of employees using AI systems, and that the disrupting effect that AI is expected to have in the public sector is still not mirrored in concrete large-scale AI projects with wide impact on public affairs.</t>
  </si>
  <si>
    <t>[Medaglia, Rony] Copenhagen Business Sch, Copenhagen, Denmark; [Tangi, Luca] European Commiss, Joint Res Ctr, Ispra, Italy</t>
  </si>
  <si>
    <t>Copenhagen Business School; European Commission Joint Research Centre; EC JRC ISPRA Site</t>
  </si>
  <si>
    <t>Medaglia, R (corresponding author), Copenhagen Business Sch, Copenhagen, Denmark.</t>
  </si>
  <si>
    <t>rm.digi@cbs.dk; luca.tangi@ec.europa.eu</t>
  </si>
  <si>
    <t>; Medaglia, Rony/C-4161-2019</t>
  </si>
  <si>
    <t>Tangi, Luca/0000-0002-2245-6813; Medaglia, Rony/0000-0001-7292-5895</t>
  </si>
  <si>
    <t>978-1-4503-9635-6</t>
  </si>
  <si>
    <t>10.1145/3560107.3560110</t>
  </si>
  <si>
    <t>Computer Science, Interdisciplinary Applications; Political Science; Public Administration</t>
  </si>
  <si>
    <t>Computer Science; Government &amp; Law; Public Administration</t>
  </si>
  <si>
    <t>BW0NT</t>
  </si>
  <si>
    <t>WOS:001098408200002</t>
  </si>
  <si>
    <t>Patel, M; Surti, M; Adnan, M</t>
  </si>
  <si>
    <t>Patel, Mitesh; Surti, Malvi; Adnan, Mohd</t>
  </si>
  <si>
    <t>Artificial intelligence (AI) in Monkeypox infection prevention</t>
  </si>
  <si>
    <t>JOURNAL OF BIOMOLECULAR STRUCTURE &amp; DYNAMICS</t>
  </si>
  <si>
    <t>Artificial intelligence; Monkeypox infection; outbreak; infectious diseases; epidemic</t>
  </si>
  <si>
    <t>VIRUS</t>
  </si>
  <si>
    <t>Monkeypox is a possible public health concern that requires appropriate attention in order to prevent the spread of the disease. Currently, artificial intelligence (AI) is making a significant impact on precision medicine, reshaping and integrating the large amount of data derived from multiomics analyses and revolutionizing the deep-learning strategies. There has been a significant progress in the use of AI to detect, screen, diagnose, and classify diseases, characterize virus genomes, assess biomarkers for prognostic and predictive purposes, and develop follow-up strategies. Hence, it is possible to use AI for the identification of disease clusters, cases monitoring, forecasting the future outbreak, determining mortality risk, diagnosing, managing, and identifying patterns for studying disease trends. AI may also be utilized to assist gene therapy and other therapies that we are not currently able to use in healthcare. It is possible to combine pharmacology and gene therapy with regenerative medicine with the help of AI. It will directly benefit the public in overcoming fear and panic of health risks. Therefore, AI can be an effective weapon to fight against Monkeypox infection, and may prove to be an invaluable future tool in improving the clinical management of patients. Key Points: Emergence and spread of the Monkeypox virus is a new public health crisis; threatening the world. This opinion piece highlights the urgently required information for immediate delivery of solutions on controlling and monitoring the spread of Monkeypox infection through Artificial Intelligence</t>
  </si>
  <si>
    <t>[Patel, Mitesh] Parul Univ, Parul Inst Appl Sci, Dept Biotechnol, Vadodara, Gujarat, India; [Patel, Mitesh] Parul Univ, Ctr Res Dev, Vadodara, Gujarat, India; [Surti, Malvi] Veer Narmad South Gujarat Univ, Bapalal Vaidya Bot Res Ctr, Dept Biosci, Surat, Gujarat, India; [Adnan, Mohd] Univ Hail, Coll Sci, Dept Biol, Hail, Saudi Arabia</t>
  </si>
  <si>
    <t>Parul University; Parul Institute of Applied Sciences; Parul University; Veer Narmad South Gujarat University; University Ha'il</t>
  </si>
  <si>
    <t>Patel, M (corresponding author), Parul Univ, Parul Inst Appl Sci, Dept Biotechnol, Vadodara, Gujarat, India.;Patel, M (corresponding author), Parul Univ, Ctr Res Dev, Vadodara, Gujarat, India.</t>
  </si>
  <si>
    <t>patelmeet15@gmail.com</t>
  </si>
  <si>
    <t>Snoussi, Mejdi/AAE-4486-2020; Adnan, Mohd/N-9207-2015; Patel, Dr. Mitesh/AAR-7248-2021</t>
  </si>
  <si>
    <t>Adnan, Mohd/0000-0002-7080-6822; Patel, Dr. Mitesh/0000-0002-9283-2124; Surti, Malvi/0000-0002-7609-3026</t>
  </si>
  <si>
    <t>TAYLOR &amp; FRANCIS INC</t>
  </si>
  <si>
    <t>530 WALNUT STREET, STE 850, PHILADELPHIA, PA 19106 USA</t>
  </si>
  <si>
    <t>0739-1102</t>
  </si>
  <si>
    <t>1538-0254</t>
  </si>
  <si>
    <t>J BIOMOL STRUCT DYN</t>
  </si>
  <si>
    <t>J. Biomol. Struct. Dyn.</t>
  </si>
  <si>
    <t>10.1080/07391102.2022.2134214</t>
  </si>
  <si>
    <t>Biochemistry &amp; Molecular Biology; Biophysics</t>
  </si>
  <si>
    <t>R4JT9</t>
  </si>
  <si>
    <t>WOS:000866036600001</t>
  </si>
  <si>
    <t>Beebeejaun, A; Gunputh, RP</t>
  </si>
  <si>
    <t>Beebeejaun, Ambareen; Gunputh, Rajendra Parsad</t>
  </si>
  <si>
    <t>A Study of the Influence of Artificial Intelligence and Its Challenges: The Impact on Employees of the Legal Sector of Mauritius</t>
  </si>
  <si>
    <t>GLOBAL BUSINESS REVIEW</t>
  </si>
  <si>
    <t>Artificial Intelligence; legal sector and artificial intelligence; legal tools and artificial intelligence; employees and artificial intelligence</t>
  </si>
  <si>
    <t>The Mauritius Artificial Intelligence Strategy 2018, established by the government, aims at making Artificial Intelligence (AI) a cornerstone of the next development model by recognizing the potential of technology to improve growth, productivity and quality of life. In this regard, AI has already started to shape the legal sector, for instance, by assisting law practitioners to identify and minimize bias in client intake, offer initial consultation solutions, expand the scope of information for law practitioners and predict the outcome of future legal cases, among others. Nevertheless, while the legal profession worldwide is facing pressure to innovate and transform, the emergence of AI is causing significant disruption to long-established practices in the legal world, especially since this particular sector has traditionally under-utilized technology. Consequently, this study seeks to assess the influence of AI on employees from the legal profession mainly in terms of their performance, their reaction, and adaptability to change and to identify the challenges faced by these employees in Mauritius in adopting AI for their operational activities.</t>
  </si>
  <si>
    <t>[Beebeejaun, Ambareen; Gunputh, Rajendra Parsad] Univ Mauritius, Dept Law, Moka, Mauritius</t>
  </si>
  <si>
    <t>University of Mauritius</t>
  </si>
  <si>
    <t>Beebeejaun, A (corresponding author), Univ Mauritius, Dept Law, Moka, Mauritius.</t>
  </si>
  <si>
    <t>a.beebeejaun@uom.ac.mu</t>
  </si>
  <si>
    <t>The authors are grateful to the journal's anonymous referees for their beneficial suggestions to improve the quality of the paper.</t>
  </si>
  <si>
    <t>0972-1509</t>
  </si>
  <si>
    <t>0973-0664</t>
  </si>
  <si>
    <t>GLOB BUS REV</t>
  </si>
  <si>
    <t>Glob. Bus. Rev.</t>
  </si>
  <si>
    <t>2023 SEP 18</t>
  </si>
  <si>
    <t>10.1177/09721509231193803</t>
  </si>
  <si>
    <t>R9RL9</t>
  </si>
  <si>
    <t>WOS:001067650100001</t>
  </si>
  <si>
    <t>Genguta, A; Stefea, P; Noja, GG; Munteanu, VP</t>
  </si>
  <si>
    <t>Ginguta, Andrea; Stefea, Petru; Noja, Gratiela Georgiana; Munteanu, Valentin Partenie</t>
  </si>
  <si>
    <t>Ethical Impacts, Risks and Challenges of Artificial Intelligence Technologies in Business Consulting: A New Modelling Approach Based on Structural Equations</t>
  </si>
  <si>
    <t>artificial intelligence; ethical challenges; business consulting; technological impact; structural equation modelling</t>
  </si>
  <si>
    <t>REVOLUTION; SOCIETY; AI</t>
  </si>
  <si>
    <t>Artificial intelligence (AI) affects all aspects of a business, significantly contributing to problem-solving and introducing new operational processes within companies. Interest in AI is growing due to its capacities regarding the efficiency of operations, reduced working time, and quality improvements. However, to ensure proper development, businesses should also address the ethical effects generated by AI technologies. This research aims to identify AI's ethical impact and associated challenges in the business consulting industry and the consultants' perspective on AI's future implementation in their specific sector. The methodology is based on the design of a structural equation modelling using data collected through a survey addressed to business consultants. The results highlight that ethical concerns are positively correlated with the identified harmful consequences of AI, such as high implementation costs, the possibility that this technology will lead to job losses, or a lack of human interaction and creativity. The consultants' perspective on the future aspects of AI's use in business consulting is negatively impacted by the following ethical outcomes: discrimination, invasions of privacy, denial of individual autonomy, unjustifiable results, and disintegration of social connection.</t>
  </si>
  <si>
    <t>[Ginguta, Andrea] West Univ Timisoara, Doctoral Sch Econ &amp; Business Adm, Timisoara 300115, Romania; [Stefea, Petru; Munteanu, Valentin Partenie] West Univ Timisoara, Fac Econ &amp; Business Adm, Dept Management, Timisoara 300115, Romania; [Noja, Gratiela Georgiana] West Univ Timisoara, Fac Econ &amp; Business Adm, Dept Mkt &amp; Int Econ Relat, Timisoara 300115, Romania</t>
  </si>
  <si>
    <t>West University of Timisoara; West University of Timisoara; West University of Timisoara</t>
  </si>
  <si>
    <t>Noja, GG (corresponding author), West Univ Timisoara, Fac Econ &amp; Business Adm, Dept Mkt &amp; Int Econ Relat, Timisoara 300115, Romania.</t>
  </si>
  <si>
    <t>gratiela.noja@e-uvt.ro</t>
  </si>
  <si>
    <t>Ginguta, Andrea/HHC-5001-2022; Noja, Gratiela Georgiana/X-2471-2019</t>
  </si>
  <si>
    <t>Noja, Gratiela Georgiana/0000-0002-9201-3057; Ginguta, Andrea/0000-0002-0167-0706</t>
  </si>
  <si>
    <t>West University of Timisoara</t>
  </si>
  <si>
    <t>This research received funding from the West University of Timisoara.</t>
  </si>
  <si>
    <t>10.3390/electronics12061462</t>
  </si>
  <si>
    <t>D4IH4</t>
  </si>
  <si>
    <t>WOS:000968378500001</t>
  </si>
  <si>
    <t>Khan, GEL; Irshad, G; Ijaz, R; Javaid, S; Tahir, N; Mehmood, S</t>
  </si>
  <si>
    <t>Khan, Gull-e-laala; Irshad, Gulshan; Ijaz, Raina; Javaid, Sabah; Tahir, Noor; Mehmood, Sajid</t>
  </si>
  <si>
    <t>Emboldening food security for global sustainability yoking artificial intelligence</t>
  </si>
  <si>
    <t>DISCOVER FOOD</t>
  </si>
  <si>
    <t>Artificial intelligence; Precision agriculture models; Food loss reduction</t>
  </si>
  <si>
    <t>AGRICULTURE; SYSTEMS</t>
  </si>
  <si>
    <t>Food security is a fundamental global concern, where severe consequences may lead towards hunger and malnutrition. To intricate novel paradigm-shifting tactics correlating artificial intelligence and agriculture, the primary focus should rely on the predominant real-life implementation of AI research models addressing global food security and safety challenges. Artificial intelligence postulates noteworthy tactics improving precision agriculture models, crop-disease management, postharvest food loss reduction, smart inventory execution and global food quality assurance routes. It is estimated that future impact of AI on food safety and security will ominously increase providing better nutrition utilizing minimum agri-resources. Present study underlines AI influence in transforming sustainable future by minimizing food loss by developing a predictive and focused food security forecast following assorted socio-economic and environmental dynamics. The field of AI is practically vast and its impact on nutritional security holds central potential bridging comprehensive awareness gap for revolutionizing sustainability around the globe. From seed to fork a robust deep-learning systemic AI powered innovation models enhance global opportunities reshaping food industry and creating a resilient strategic transformation addressing food security following climate change challenges.</t>
  </si>
  <si>
    <t>[Khan, Gull-e-laala] Univ Poonch, Dept Plant Pathol, Rawalakot, AJK, Pakistan; [Irshad, Gulshan; Mehmood, Sajid] Pir Mehr Ali Shah Arid Agr Univ, Dept Plant Pathol, Rawalpindi, Pakistan; [Ijaz, Raina] Univ Poonch, Dept Hort, Rawalakot, Ajk, Pakistan; [Javaid, Sabah] Natl Univ Sci &amp; Technol, Sch Mech &amp; Mfg Engn, Islamabad, Pakistan; [Tahir, Noor] Northwestern Polytech Univ, Sch Astronaut, Xian, Peoples R China</t>
  </si>
  <si>
    <t>Arid Agriculture University; National University of Sciences &amp; Technology - Pakistan; Northwestern Polytechnical University</t>
  </si>
  <si>
    <t>Khan, GEL (corresponding author), Univ Poonch, Dept Plant Pathol, Rawalakot, AJK, Pakistan.</t>
  </si>
  <si>
    <t>gulelalahkhan@upr.edu.pk</t>
  </si>
  <si>
    <t>Irshad, Gulshan/CAG-1182-2022; Javaid, Sabah/ITV-3811-2023</t>
  </si>
  <si>
    <t>2731-4286</t>
  </si>
  <si>
    <t>DISCOV FOOD</t>
  </si>
  <si>
    <t>Discov. Food</t>
  </si>
  <si>
    <t>JAN 7</t>
  </si>
  <si>
    <t>10.1007/s44187-025-00273-1</t>
  </si>
  <si>
    <t>Food Science &amp; Technology</t>
  </si>
  <si>
    <t>R5C7Q</t>
  </si>
  <si>
    <t>WOS:001391634300001</t>
  </si>
  <si>
    <t>Zhou, BW</t>
  </si>
  <si>
    <t>Zhou, Bowen</t>
  </si>
  <si>
    <t>Transforming Retailing Experiences with Artificial Intelligence</t>
  </si>
  <si>
    <t>PROCEEDINGS OF THE 2018 ACM MULTIMEDIA CONFERENCE (MM'18)</t>
  </si>
  <si>
    <t>26th ACM Multimedia Conference (MM)</t>
  </si>
  <si>
    <t>OCT 22-26, 2018</t>
  </si>
  <si>
    <t>Seoul, SOUTH KOREA</t>
  </si>
  <si>
    <t>Assoc Comp Machinery,ACM SIGMM</t>
  </si>
  <si>
    <t>Artificial Intelligence (AI); Retail as a Service (RaaS)</t>
  </si>
  <si>
    <t>Artificial Intelligence (AI) is making big impacts in our daily life. In this talk, we will show how AI is transforming retail industry. In particular, we propose the brand-new concept of Retail as a Service (RaaS), where retail is redefined as the natural combination of content and interaction. With the capability of knowing more about consumers, products and retail scenarios integrating online and offline, AI is providing more personalized and comprehensive multimodal content and enabling more natural interactions between consumers and services, through the innovative technologies we invented at JD.com. We will show 1) how computer vision techniques can better understand consumers, help consumers easily discover products, and support multimodal content generation, 2) how the natural language processing techniques can be used to support intelligent customer services through emotion computing, 3) how AI is building the very fundamental technology infrastructure for RaaS.</t>
  </si>
  <si>
    <t>[Zhou, Bowen] AI Res &amp; Platform, Beijing, Peoples R China</t>
  </si>
  <si>
    <t>Zhou, BW (corresponding author), AI Res &amp; Platform, Beijing, Peoples R China.</t>
  </si>
  <si>
    <t>bowen.zhou@jd.com</t>
  </si>
  <si>
    <t>978-1-4503-5665-7</t>
  </si>
  <si>
    <t>10.1145/3240508.3267341</t>
  </si>
  <si>
    <t>Computer Science, Theory &amp; Methods; Engineering, Electrical &amp; Electronic</t>
  </si>
  <si>
    <t>BO2ZN</t>
  </si>
  <si>
    <t>WOS:000509665700236</t>
  </si>
  <si>
    <t>Intahchomphoo, C; Gundersen, OE</t>
  </si>
  <si>
    <t>Intahchomphoo, Channarong; Gundersen, Odd Erik</t>
  </si>
  <si>
    <t>Artificial Intelligence and Race: a Systematic Review</t>
  </si>
  <si>
    <t>LEGAL INFORMATION MANAGEMENT</t>
  </si>
  <si>
    <t>artificial intelligence; AI; race; review</t>
  </si>
  <si>
    <t>This paper examines peer-reviewed publications to learn about the relationships between artificial intelligence (AI) and the human race. For this systematic review, papers were collected from three academic databases: Scopus, Web of Science, and Academic Search Complete. From 1,222 papers reviewed, 36 papers were included. The findings indicate that there are four relationships between AI and race (i). AI causes unequal opportunities for people from certain racial groups, (ii). AI helps to detect racial discrimination, (iii). AI is applied to study health conditions of specific racial population groups, and (iv). AI is used to study demographics and facial images of people from different racial backgrounds. To widen the knowledge related to AI and race, all four finding categories in this review included supplementary studies as lessons learned for legal information management research. The authors, Channarong Intahchomphoo and Odd Erik Gundersen, use these findings to discuss how AI could impact libraries and how legal information management professionals might have to cope with the problem of biased AI.</t>
  </si>
  <si>
    <t>[Intahchomphoo, Channarong] Univ Ottawa, Elect Business, Fac Engn, Ottawa, ON, Canada; [Gundersen, Odd Erik] Norwegian Univ Sci &amp; Technol, Dept Comp Sci, Trondheim, Norway</t>
  </si>
  <si>
    <t>University of Ottawa; Norwegian University of Science &amp; Technology (NTNU)</t>
  </si>
  <si>
    <t>Intahchomphoo, C (corresponding author), Univ Ottawa, Elect Business, Fac Engn, Ottawa, ON, Canada.</t>
  </si>
  <si>
    <t>Gundersen, Odd Erik/IUQ-6430-2023</t>
  </si>
  <si>
    <t>Gundersen, Odd Erik/0000-0002-9754-5941</t>
  </si>
  <si>
    <t>1472-6696</t>
  </si>
  <si>
    <t>1741-2021</t>
  </si>
  <si>
    <t>LEG INF MANAG</t>
  </si>
  <si>
    <t>Leg. Inf. Manag.</t>
  </si>
  <si>
    <t>PII S147266962000016X</t>
  </si>
  <si>
    <t>10.1017/S1472669620000183</t>
  </si>
  <si>
    <t>NP0LI</t>
  </si>
  <si>
    <t>WOS:000569874800004</t>
  </si>
  <si>
    <t>Ryan, M</t>
  </si>
  <si>
    <t>Ryan, Mark</t>
  </si>
  <si>
    <t>The social and ethical impacts of artificial intelligence in agriculture: mapping the agricultural AI literature</t>
  </si>
  <si>
    <t>AI &amp; SOCIETY</t>
  </si>
  <si>
    <t>AI ethics; Artificial intelligence; Digital farming; Agricultural robots</t>
  </si>
  <si>
    <t>PRECISION AGRICULTURE; FUTURE; TRUST</t>
  </si>
  <si>
    <t>This paper will examine the social and ethical impacts of using artificial intelligence (AI) in the agricultural sector. It will identify what are some of the most prevalent challenges and impacts identified in the literature, how this correlates with those discussed in the domain of AI ethics, and are being implemented into AI ethics guidelines. This will be achieved by examining published articles and conference proceedings that focus on societal or ethical impacts of AI in the agri-food sector, through a thematic analysis of the literature. The thematic analysis will be divided based on the classifications outlined through 11 overarching principles, from an established lexicon (transparency, justice and fairness, non-maleficence, responsibility, privacy, beneficence, freedom and autonomy, trust, dignity, sustainability, and solidarity). While research on AI agriculture is still relatively new, this paper aims to map the debate and illustrate what the literature says in the context of social and ethical impacts. It aim is to analyse these impacts, based on these 11 principles. This research will contrast which impacts are not being discussed in agricultural AI and which issues are not being discussed in AI ethics guidelines, but which are discussed in relation to agricultural AI. The aim of this is to identify gaps within the agricultural literature, and gaps in AI ethics guidelines, that may need to be addressed.</t>
  </si>
  <si>
    <t>[Ryan, Mark] Wageningen Univ &amp; Res, Wageningen Econ Res, Droevendaalsesteeg 4, NL-6708 PB Wageningen, Netherlands</t>
  </si>
  <si>
    <t>Wageningen University &amp; Research</t>
  </si>
  <si>
    <t>Ryan, M (corresponding author), Wageningen Univ &amp; Res, Wageningen Econ Res, Droevendaalsesteeg 4, NL-6708 PB Wageningen, Netherlands.</t>
  </si>
  <si>
    <t>mark.ryan@wur.nl</t>
  </si>
  <si>
    <t>/0000-0003-4850-0111</t>
  </si>
  <si>
    <t>Wageningen Economic Research Management Team</t>
  </si>
  <si>
    <t>This research received funding from the Wageningen Economic Research Management Team.</t>
  </si>
  <si>
    <t>0951-5666</t>
  </si>
  <si>
    <t>1435-5655</t>
  </si>
  <si>
    <t>AI SOC</t>
  </si>
  <si>
    <t>AI Soc.</t>
  </si>
  <si>
    <t>10.1007/s00146-021-01377-9</t>
  </si>
  <si>
    <t>HH8Z7</t>
  </si>
  <si>
    <t>WOS:000737750900001</t>
  </si>
  <si>
    <t>Kelly, CJ; Karthikesalingam, A; Suleyman, M; Corrado, G; King, D</t>
  </si>
  <si>
    <t>Kelly, Christopher J.; Karthikesalingam, Alan; Suleyman, Mustafa; Corrado, Greg; King, Dominic</t>
  </si>
  <si>
    <t>Key challenges for delivering clinical impact with artificial intelligence</t>
  </si>
  <si>
    <t>BMC MEDICINE</t>
  </si>
  <si>
    <t>Artificial intelligence; Machine learning; Algorithms; Translation; Evaluation; Regulation</t>
  </si>
  <si>
    <t>DEEP-LEARNING ALGORITHM; DIABETIC-RETINOPATHY; HEALTH; CLASSIFICATION; PREDICTION; VALIDATION; TRIPLE; CARE; AIM</t>
  </si>
  <si>
    <t>Background: Artificial intelligence (AI) research in healthcare is accelerating rapidly, with potential applications being demonstrated across various domains of medicine. However, there are currently limited examples of such techniques being successfully deployed into clinical practice. This article explores the main challenges and limitations of AI in healthcare, and considers the steps required to translate these potentially transformative technologies from research to clinical practice. Main body: Key challenges for the translation of AI systems in healthcare include those intrinsic to the science of machine learning, logistical difficulties in implementation, and consideration of the barriers to adoption as well as of the necessary sociocultural or pathway changes. Robust peer-reviewed clinical evaluation as part of randomised controlled trials should be viewed as the gold standard for evidence generation, but conducting these in practice may not always be appropriate or feasible. Performance metrics should aim to capture real clinical applicability and be understandable to intended users. Regulation that balances the pace of innovation with the potential for harm, alongside thoughtful post-market surveillance, is required to ensure that patients are not exposed to dangerous interventions nor deprived of access to beneficial innovations. Mechanisms to enable direct comparisons of AI systems must be developed, including the use of independent, local and representative test sets. Developers of AI algorithms must be vigilant to potential dangers, including dataset shift, accidental fitting of confounders, unintended discriminatory bias, the challenges of generalisation to new populations, and the unintended negative consequences of new algorithms on health outcomes. Conclusion: The safe and timely translation of AI research into clinically validated and appropriately regulated systems that can benefit everyone is challenging. Robust clinical evaluation, using metrics that are intuitive to clinicians and ideally go beyond measures of technical accuracy to include quality of care and patient outcomes, is essential. Further work is required (1) to identify themes of algorithmic bias and unfairness while developing mitigations to address these, (2) to reduce brittleness and improve generalisability, and (3) to develop methods for improved interpretability of machine learning predictions. If these goals can be achieved, the benefits for patients are likely to be transformational.</t>
  </si>
  <si>
    <t>[Kelly, Christopher J.; Karthikesalingam, Alan; King, Dominic] Google Hlth, London, England; [Suleyman, Mustafa] DeepMind, London, England; [Corrado, Greg] Google Hlth, Mountain View, CA USA</t>
  </si>
  <si>
    <t>Kelly, CJ (corresponding author), Google Hlth, London, England.</t>
  </si>
  <si>
    <t>cjkelly@google.com</t>
  </si>
  <si>
    <t>Kelly, Christopher John/0000-0002-1246-844X</t>
  </si>
  <si>
    <t>Google LLC</t>
  </si>
  <si>
    <t>Google LLC(Google Incorporated)</t>
  </si>
  <si>
    <t>Google LLC.</t>
  </si>
  <si>
    <t>1741-7015</t>
  </si>
  <si>
    <t>BMC MED</t>
  </si>
  <si>
    <t>BMC Med.</t>
  </si>
  <si>
    <t>OCT 29</t>
  </si>
  <si>
    <t>10.1186/s12916-019-1426-2</t>
  </si>
  <si>
    <t>KE2WD</t>
  </si>
  <si>
    <t>WOS:000508420300001</t>
  </si>
  <si>
    <t>Butow, P; Hoque, E</t>
  </si>
  <si>
    <t>Butow, Phyllis; Hoque, Ehsan</t>
  </si>
  <si>
    <t>Using artificial intelligence to analyse and teach communication in healthcare</t>
  </si>
  <si>
    <t>BREAST</t>
  </si>
  <si>
    <t>Artificial intelligence; Machine learning; Communication; Healthcare</t>
  </si>
  <si>
    <t>DOCTOR-PATIENT-RELATIONSHIP; DECISION-MAKING; PHYSICIAN COMMUNICATION; MEDICAL-STUDENTS; CANCER; SATISFACTION; CONSULTATIONS; SKILLS; PREFERENCES; INFORMATION</t>
  </si>
  <si>
    <t>Communication is a core component of effective healthcare that impacts many patient and doctor outcomes, yet is complex and challenging to both analyse and teach. Human-based coding and audit systems are time-intensive and costly; thus, there is considerable interest in the application of artificial intelligence to this topic, through machine learning using both supervised and unsupervised learning algorithms. In this article we introduce health communication, its importance for patient and health professional outcomes, and the need for rigorous empirical data to support this field. We then discuss historical interaction coding systems and recent developments in applying artificial intelligence (AI) to automate such coding in the health setting. Finally, we discuss available evidence for the reliability and validity of AI coding, application of AI in training and audit of communication, as well as limitations and future directions in this field. In summary, recent advances in machine learning have allowed accurate textual transcription, and analysis of prosody, pauses, energy, intonation, emotion and communication style. Studies have established moderate to good reliability of machine learning algorithms, comparable with human coding (or better), and have identified some expected and unexpected associations between communication variables and patient satisfaction. Finally, application of artificial intelligence to communication skills training has been attempted, to provide audit and feedback, and through the use of avatars. This looks promising to provide confidential and easily accessible training, but may be best used as an adjunct to human-based training. (C) 2020 Published by Elsevier Ltd.</t>
  </si>
  <si>
    <t>[Butow, Phyllis] Univ Sydney, Ctr Med Psychol &amp; Evidence Based Med CeMPED, Sch Psychol, Sydney, NSW, Australia; [Hoque, Ehsan] Univ Rochester, Rochester Human Comp Interact Grp, Rochester, NY USA</t>
  </si>
  <si>
    <t>University of Sydney; University of Rochester</t>
  </si>
  <si>
    <t>Butow, P (corresponding author), Univ Sydney, Ctr Med Psychol &amp; Evidence Based Med CeMPED, Sch Psychol, Sydney, NSW, Australia.;Butow, P (corresponding author), Univ Sydney, Sch Psychol, Lifehouse Level 6 North C39Z, Sydney, NSW 2006, Australia.</t>
  </si>
  <si>
    <t>phyllis.butow@sydney.edu.au</t>
  </si>
  <si>
    <t>Butow, Phyllis/JDV-8766-2023; Hoque, Ehsan/LMN-8307-2024</t>
  </si>
  <si>
    <t>CHURCHILL LIVINGSTONE</t>
  </si>
  <si>
    <t>EDINBURGH</t>
  </si>
  <si>
    <t>JOURNAL PRODUCTION DEPT, ROBERT STEVENSON HOUSE, 1-3 BAXTERS PLACE, LEITH WALK, EDINBURGH EH1 3AF, MIDLOTHIAN, SCOTLAND</t>
  </si>
  <si>
    <t>0960-9776</t>
  </si>
  <si>
    <t>1532-3080</t>
  </si>
  <si>
    <t>Breast</t>
  </si>
  <si>
    <t>10.1016/j.breast.2020.01.008</t>
  </si>
  <si>
    <t>KU6HI</t>
  </si>
  <si>
    <t>WOS:000519815500007</t>
  </si>
  <si>
    <t>Maqsood, A; Chen, C; Jacobsson, TJ</t>
  </si>
  <si>
    <t>Maqsood, Ayman; Chen, Chen; Jacobsson, T. Jesper</t>
  </si>
  <si>
    <t>The Future of Material Scientists in an Age of Artificial Intelligence</t>
  </si>
  <si>
    <t>ADVANCED SCIENCE</t>
  </si>
  <si>
    <t>artificial intelligence; closed-loop experimentation; machine learning; material science</t>
  </si>
  <si>
    <t>MACHINE LEARNING FRAMEWORK; PREDICTION; OPTIMIZATION; NETWORKS; PLATFORM; CHATGPT; MODELS; IMPACT; WORK; ART</t>
  </si>
  <si>
    <t>Material science has historically evolved in tandem with advancements in technologies for characterization, synthesis, and computation. Another type of technology to add to this mix is machine learning (ML) and artificial intelligence (AI). Now increasingly sophisticated AI-models are seen that can solve progressively harder problems across a variety of fields. From a material science perspective, it is indisputable that machine learning and artificial intelligence offer a potent toolkit with the potential to substantially accelerate research efforts in areas such as the development and discovery of new functional materials. Less clear is how to best harness this development, what new skill sets will be required, and how it may affect established research practices. In this paper, those question are explored with respect to increasingly more sophisticated ML/AI-approaches. To structure the discussion, a conceptual framework of an AI-ladder is introduced. This AI-ladder ranges from basic data-fitting techniques to more advanced functionalities such as semi-autonomous experimentation, experimental design, knowledge generation, hypothesis formulation, and the orchestration of specialized AI modules as stepping-stones toward general artificial intelligence. This ladder metaphor provides a hierarchical framework for contemplating the opportunities, challenges, and evolving skill sets required to stay competitive in the age of artificial intelligence. In this perspective, the implications of adopting increasingly advanced AI technologies in materials science are discussed. It is considered how to best utilize AI technologies, identify the necessary new skills, and examine the impact they may have on traditional research methodologies. Central to the discussion is a conceptual AI ladder that spans from elementary data fitting to general artificial intelligence. image</t>
  </si>
  <si>
    <t>[Maqsood, Ayman; Chen, Chen; Jacobsson, T. Jesper] Nankai Univ, Inst Photoelect Thin Film Devices &amp; Technol, Coll Elect Informat &amp; Opt Engn, Key Lab Photoelect Thin Film Devices &amp; Technol Tia, Tianjin 300350, Peoples R China; [Jacobsson, T. Jesper] Linkoping Univ, Dept Phys Chem &amp; Biol IFM, S-58183 Linkoping, Sweden</t>
  </si>
  <si>
    <t>Nankai University; Linkoping University</t>
  </si>
  <si>
    <t>Jacobsson, TJ (corresponding author), Nankai Univ, Inst Photoelect Thin Film Devices &amp; Technol, Coll Elect Informat &amp; Opt Engn, Key Lab Photoelect Thin Film Devices &amp; Technol Tia, Tianjin 300350, Peoples R China.;Jacobsson, TJ (corresponding author), Linkoping Univ, Dept Phys Chem &amp; Biol IFM, S-58183 Linkoping, Sweden.</t>
  </si>
  <si>
    <t>Jesper.jacobsson@liu.se</t>
  </si>
  <si>
    <t>Jacobsson, Jesper/KFS-5407-2024; Jacobsson, Jesper/F-6869-2018</t>
  </si>
  <si>
    <t>Jacobsson, Jesper/0000-0002-4317-2879; Maqsood, Dr. Ayman/0000-0003-3652-4159; , Chen/0000-0002-5566-8898</t>
  </si>
  <si>
    <t>Ministry of science and technology in China via the National Key Research and Development Program of China [2021YFF0500501]; Applied Basic Research Projects in Tianjin [22JCYBJC01530]; Aforsk [23-629]</t>
  </si>
  <si>
    <t>Ministry of science and technology in China via the National Key Research and Development Program of China(National Key Research &amp; Development Program of China); Applied Basic Research Projects in Tianjin; Aforsk</t>
  </si>
  <si>
    <t>The author would like to acknowledge the Ministry of science and technology in China via the National Key Research and Development Program of China (Grant No. 2021YFF0500501), Applied Basic Research Projects in Tianjin, (Grant No. 22JCYBJC01530), and aforsk (Grant No. 23-629).</t>
  </si>
  <si>
    <t>2198-3844</t>
  </si>
  <si>
    <t>ADV SCI</t>
  </si>
  <si>
    <t>Adv. Sci.</t>
  </si>
  <si>
    <t>10.1002/advs.202401401</t>
  </si>
  <si>
    <t>Chemistry, Multidisciplinary; Nanoscience &amp; Nanotechnology; Materials Science, Multidisciplinary</t>
  </si>
  <si>
    <t>Chemistry; Science &amp; Technology - Other Topics; Materials Science</t>
  </si>
  <si>
    <t>RR0M6</t>
  </si>
  <si>
    <t>WOS:001183836100001</t>
  </si>
  <si>
    <t>Konovalova, V; Mitrofanova, E; Mitrofanova, A; Gevorgyan, R</t>
  </si>
  <si>
    <t>Konovalova, Valeriya; Mitrofanova, Elena; Mitrofanova, Alexandra; Gevorgyan, Rita</t>
  </si>
  <si>
    <t>THE IMPACT OF ARTIFICIAL INTELLIGENCE ON HUMAN RESOURCES MANAGEMENT STRATEGY: OPPORTUNITIES FOR THE HUMANISATION AND RISKS</t>
  </si>
  <si>
    <t>WISDOM</t>
  </si>
  <si>
    <t>artificial intelligence; digital humanism; experience management; engagement; wellbeing; discrimination; HR management strategy</t>
  </si>
  <si>
    <t>The article discusses the growing role of artificial intelligence in human resources management strategy. The results of research and practical experience confirm the possibility of using artificial intelligence to humanise human resource management (reducing bias in the selection of personnel, mastering employees. experience, personalising training, analysing the emotional state of employees, and managing their wellbeing) are generalised. Highlighted are the risks of dehumanisation of personnel management when introducing artificial intelligence, which can be caused by both new threats and the strengthening of existing problems in this area.</t>
  </si>
  <si>
    <t>[Konovalova, Valeriya; Mitrofanova, Elena; Mitrofanova, Alexandra] State Univ Management, Dept Human Resource Management, Moscow, Russia; [Gevorgyan, Rita] Khachatur Abovyan ASPU, Yerevan, Armenia; [Gevorgyan, Rita] Khachatur Abovyan ASPU, Dept Econ &amp; Management, Yerevan, Armenia</t>
  </si>
  <si>
    <t>State University of Management</t>
  </si>
  <si>
    <t>Konovalova, V (corresponding author), State Univ Management, Dept Human Resource Management, Moscow, Russia.</t>
  </si>
  <si>
    <t>vg_konovalova@guu.ru; elmitr@mail.ru; ae_mitrofanova@guu.ru; gevorgyanrita32@aspu.am</t>
  </si>
  <si>
    <t>Mitrofanova, Elena/U-4348-2019; Mitrofanova, Alexandra/GPS-9579-2022; Konovalova, Valeriya/F-5840-2019; Mitrofanova, Alexandra/N-4020-2016</t>
  </si>
  <si>
    <t>Konovalova, Valeriya/0000-0002-1275-1309; Mitrofanova, Alexandra/0000-0001-6368-8138</t>
  </si>
  <si>
    <t>ARMENIAN STATE PEDAGOGICAL UNIV</t>
  </si>
  <si>
    <t>YEREVAN</t>
  </si>
  <si>
    <t>17 TIGRAN METS AVE, ROOM 207, YEREVAN, 0010, ARMENIA</t>
  </si>
  <si>
    <t>1829-3824</t>
  </si>
  <si>
    <t>Wisdom</t>
  </si>
  <si>
    <t>10.24234/wisdom.v2i1.763</t>
  </si>
  <si>
    <t>1S3WP</t>
  </si>
  <si>
    <t>WOS:000803984900009</t>
  </si>
  <si>
    <t>Pérez-Pérez, JF; Bonet, I; Sánchez-Pinzón, MS; Caraffini, F; Lochmuller, C</t>
  </si>
  <si>
    <t>Perez-Perez, Juan F.; Bonet, Isis; Sanchez-Pinzon, Maria Solange; Caraffini, Fabio; Lochmuller, Christian</t>
  </si>
  <si>
    <t>Using Artificial Intelligence to Predict the Financial Impact of Climate Transition Risks Within Organisations</t>
  </si>
  <si>
    <t>INTERNATIONAL JOURNAL OF INTELLIGENT SYSTEMS</t>
  </si>
  <si>
    <t>artificial intelligence; climate scenarios; climate transition risk; prediction</t>
  </si>
  <si>
    <t>Addressing climate change represents one of the most pressing challenges for organisations in developing nations. This is particularly relevant for companies navigating the shift towards a low-carbon economy. This research leverages artificial intelligence (AI) methodologies to evaluate the financial implications of climate transition risks, encompassing both direct and indirect energy usage, including expenditures on electricity and fossil fuels. Advanced machine learning (ML) and deep learning (DL) models are employed to predict electricity and diesel consumption trends along with their associated costs. Findings from this study indicate an average prediction accuracy of 90.36%, underscoring the value of these tools in supporting organisational decision making related to climate transition risks. The study lays a foundation for comprehending not only the added costs linked to climate risks but also the potential advantages of transitioning to a low-carbon economy, particularly from an energy-focused perspective. Additionally, the proposed climate transition risk adjustment factor offers a framework for visualising the financial impacts of scenarios outlined by the Network for Greening the Financial System.</t>
  </si>
  <si>
    <t>[Perez-Perez, Juan F.; Bonet, Isis; Lochmuller, Christian] EIA Univ, Dept Engn &amp; Basic Sci, Computat Intelligence &amp; Automation Res Grp, Envigado, Colombia; [Sanchez-Pinzon, Maria Solange] Vicepresidency Sustainabil Grp Nutresa, Medellin, Colombia; [Caraffini, Fabio] Swansea Univ, Dept Comp Sci, Swansea, Wales</t>
  </si>
  <si>
    <t>Swansea University</t>
  </si>
  <si>
    <t>Caraffini, F (corresponding author), Swansea Univ, Dept Comp Sci, Swansea, Wales.</t>
  </si>
  <si>
    <t>fabio.caraffini@swansea.ac.uk</t>
  </si>
  <si>
    <t>Caraffini, Fabio/AAE-2809-2019; Bonet, Isis/AAC-4440-2021</t>
  </si>
  <si>
    <t>Caraffini, Fabio/0000-0001-9199-7368; Bonet, Isis/0000-0002-3031-2334; Perez-Perez, Juan Fernando/0000-0002-5650-2451; Lochmuller, Christian/0009-0008-7322-5311</t>
  </si>
  <si>
    <t>0884-8173</t>
  </si>
  <si>
    <t>1098-111X</t>
  </si>
  <si>
    <t>INT J INTELL SYST</t>
  </si>
  <si>
    <t>Int. J. Intell. Syst.</t>
  </si>
  <si>
    <t>10.1155/int/3334263</t>
  </si>
  <si>
    <t>P9Y7A</t>
  </si>
  <si>
    <t>WOS:001381375200001</t>
  </si>
  <si>
    <t>Zhao, W; Zhang, S; Li, X</t>
  </si>
  <si>
    <t>Zhao, Wei; Zhang, Shuai; Li, Xin</t>
  </si>
  <si>
    <t>Impact of virtual reality technology on digital media in the context of big data and artificial intelligence</t>
  </si>
  <si>
    <t>JOURNAL OF COMPUTATIONAL METHODS IN SCIENCES AND ENGINEERING</t>
  </si>
  <si>
    <t>Big data; artificial intelligence; virtual reality; digital media; impact research</t>
  </si>
  <si>
    <t>The widespread development of big data and artificial intelligence technology has brought a new development path to digital media technology at this stage. By applying virtual reality technology to multiple areas of digital media, digital media technology has fully demonstrated the actual ability of the scene structure of virtual reality technology in film and television production, game scene settings, urban planning, construction tourism and other industries. The development of digital media technology has brought new development space. The application of virtual reality technology can further shorten the distance between customers and information providers, bring the development of digital media technology into a new fast lane, and further increase the efficiency of digital media information dissemination. This article uses data analysis methods to build an evaluation model, study virtual reality technology in terms of technological coverage, and further proves by data theory that virtual reality technology brings a new direction and role in the development of digital media technology.</t>
  </si>
  <si>
    <t>[Zhao, Wei; Zhang, Shuai; Li, Xin] Hebei Normal Univ Sci &amp; Technol, Qinhuangdao 066000, Hebei, Peoples R China</t>
  </si>
  <si>
    <t>Hebei Normal University of Science &amp; Technology</t>
  </si>
  <si>
    <t>Zhao, W (corresponding author), Hebei Normal Univ Sci &amp; Technol, Qinhuangdao 066000, Hebei, Peoples R China.</t>
  </si>
  <si>
    <t>zhaowei_edu@outlook.com</t>
  </si>
  <si>
    <t>1472-7978</t>
  </si>
  <si>
    <t>1875-8983</t>
  </si>
  <si>
    <t>J COMPUT METHODS SCI</t>
  </si>
  <si>
    <t>J. Comput. Methods Sci. Eng.</t>
  </si>
  <si>
    <t>10.3233/JCM-226611</t>
  </si>
  <si>
    <t>C8ZI9</t>
  </si>
  <si>
    <t>WOS:000964733000003</t>
  </si>
  <si>
    <t>Gandhi, Z; Gurram, P; Amgai, B; Lekkala, SP; Lokhandwala, A; Manne, S; Mohammed, A; Koshiya, H; Dewaswala, N; Desai, R; Bhopalwala, H; Ganti, S; Surani, S</t>
  </si>
  <si>
    <t>Gandhi, Zainab; Gurram, Priyatham; Amgai, Birendra; Lekkala, Sai Prasanna; Lokhandwala, Alifya; Manne, Suvidha; Mohammed, Adil; Koshiya, Hiren; Dewaswala, Nakeya; Desai, Rupak; Bhopalwala, Huzaifa; Ganti, Shyam; Surani, Salim</t>
  </si>
  <si>
    <t>Artificial Intelligence and Lung Cancer: Impact on Improving Patient Outcomes</t>
  </si>
  <si>
    <t>lung cancer; artificial intelligence; machine learning; deep learning; radiomics; screening; diagnosis; treatment; treatment response</t>
  </si>
  <si>
    <t>CLASSIFICATION; VALIDATION; BIOMARKERS; PROGNOSIS; NODULES; IMAGES</t>
  </si>
  <si>
    <t>Simple Summary In this comprehensive review, we aimed to summarize the advances made by artificial intelligence in the field of lung cancer screening, diagnosis, and management. We now understand the utility of AI as a tool that can supplement physicians to improve the quality of care provided, which is the core message of this review, along with the relevant literature supporting the advances.Abstract Lung cancer remains one of the leading causes of cancer-related deaths worldwide, emphasizing the need for improved diagnostic and treatment approaches. In recent years, the emergence of artificial intelligence (AI) has sparked considerable interest in its potential role in lung cancer. This review aims to provide an overview of the current state of AI applications in lung cancer screening, diagnosis, and treatment. AI algorithms like machine learning, deep learning, and radiomics have shown remarkable capabilities in the detection and characterization of lung nodules, thereby aiding in accurate lung cancer screening and diagnosis. These systems can analyze various imaging modalities, such as low-dose CT scans, PET-CT imaging, and even chest radiographs, accurately identifying suspicious nodules and facilitating timely intervention. AI models have exhibited promise in utilizing biomarkers and tumor markers as supplementary screening tools, effectively enhancing the specificity and accuracy of early detection. These models can accurately distinguish between benign and malignant lung nodules, assisting radiologists in making more accurate and informed diagnostic decisions. Additionally, AI algorithms hold the potential to integrate multiple imaging modalities and clinical data, providing a more comprehensive diagnostic assessment. By utilizing high-quality data, including patient demographics, clinical history, and genetic profiles, AI models can predict treatment responses and guide the selection of optimal therapies. Notably, these models have shown considerable success in predicting the likelihood of response and recurrence following targeted therapies and optimizing radiation therapy for lung cancer patients. Implementing these AI tools in clinical practice can aid in the early diagnosis and timely management of lung cancer and potentially improve outcomes, including the mortality and morbidity of the patients.</t>
  </si>
  <si>
    <t>[Gandhi, Zainab] Geisinger Wyoming Valley Med Ctr, Dept Internal Med, Wilkes Barre, PA 18711 USA; [Gurram, Priyatham; Lekkala, Sai Prasanna; Manne, Suvidha] Mamata Med Coll, Dept Med, Khammam 507002, India; [Amgai, Birendra] Geisinger Community Med Ctr, Dept Internal Med, Scranton, PA 18510 USA; [Lokhandwala, Alifya] Jawaharlal Nehru Med Coll, Dept Med, Wardha 442001, India; [Mohammed, Adil] Cent Michigan Univ, Coll Med, Dept Internal Med, Saginaw, MI 48602 USA; [Koshiya, Hiren] Prime West Consortium, Dept Internal Med, Inglewood, CA 92395 USA; [Dewaswala, Nakeya] Univ Kentucky, Dept Cardiol, Lexington, KY 40536 USA; [Bhopalwala, Huzaifa; Ganti, Shyam] Appalachian Reg Hosp, Dept Internal Med, Hazard, KY 41701 USA; [Surani, Salim] Texas A&amp;M Univ, Departmet Pulm, Crit Care Med, College Stn, TX 77845 USA</t>
  </si>
  <si>
    <t>Datta Meghe Institute of Higher Education &amp; Research (Deemed to be University); Jawaharlal Nehru Medical College Wardha; Central Michigan University; University of Kentucky; Texas A&amp;M University System; Texas A&amp;M University College Station</t>
  </si>
  <si>
    <t>Gandhi, Z (corresponding author), Geisinger Wyoming Valley Med Ctr, Dept Internal Med, Wilkes Barre, PA 18711 USA.</t>
  </si>
  <si>
    <t>drzainabgandhi@gmail.com; priyathamgurram@gmail.com; bamgai08@gmail.com; ekkala.saiprasanna@gmail.com; alifya.altaf.306@gmail.com; suvidha.manne97@gmail.com; s.aadil19@gmail.com; koshiyahiren5@gmail.com; nakeya52@gmail.com; drrupakdesai@gmail.com; bhopalwalahuzaifa@gmail.com; shyam.ganti@gmail.com; salim.surani@va.gov</t>
  </si>
  <si>
    <t>Ganti, Subramanya shyam/ABB-2771-2021; Desai, Rupak/K-9846-2019</t>
  </si>
  <si>
    <t>Manne, Suvidha/0009-0003-2606-8329; Bhopalwala, Huzefa/0000-0002-4289-7288; Mohammed, Adil Sarvar/0000-0002-4298-6459; Dewaswala, Nakeya/0000-0003-1637-3146; Desai, Rupak/0000-0002-5315-6426; Gurram, Priyatham/0000-0002-8640-3788; Lekkala, Sai Prasanna/0009-0006-4622-1775; Ganti, Subramanya shyam/0000-0002-2042-0964; Gandhi, Zainab/0000-0002-7214-4981</t>
  </si>
  <si>
    <t>10.3390/cancers15215236</t>
  </si>
  <si>
    <t>X7QR3</t>
  </si>
  <si>
    <t>WOS:001100356100001</t>
  </si>
  <si>
    <t>Buntak, K; Brlek, P; Cesarec, B</t>
  </si>
  <si>
    <t>Dujak, D</t>
  </si>
  <si>
    <t>Buntak, Kresimir; Brlek, Predrag; Cesarec, Bruno</t>
  </si>
  <si>
    <t>THE IMPACT OF THE INTERNET OF THINGS AND ARTIFICIAL INTELLIGENCE ON THE SUPPLY CHAIN</t>
  </si>
  <si>
    <t>BUSINESS LOGISTICS IN MODERN MANAGEMENT, 2021</t>
  </si>
  <si>
    <t>Proceedings of International Scientific Conference Business Logistics in Modern Management</t>
  </si>
  <si>
    <t>21st International Scientific Conference on Business Logistics in Modern Management (BLMM)</t>
  </si>
  <si>
    <t>OCT 07-08, 2021</t>
  </si>
  <si>
    <t>Josip Juraj Strossmayer Univ Osijek, Fac Econ Osijek, Osijek, CROATIA</t>
  </si>
  <si>
    <t>Josip Juraj Strossmayer Univ Osijek, Fac Econ Osijek</t>
  </si>
  <si>
    <t>market; technology; Internet of things; artificial intelligence; supply chain</t>
  </si>
  <si>
    <t>With the development of new technologies, increasing internet speeds and the more complex demands of customers in the market, many logistics companies are finding ways to increase the level of their services. Other goals include reducing business costs, shortening delivery time and very good so-called customer experience. The Internet of Things finds application across the entire supply chain, from the manufacturing process and warehousing to transportation and trade. By using such networked devices, greater control over limited resources is achieved, and the most important thing - time. One of the great advantages can be noticed when maintaining machines because the machine can easily communicate when it expects an error or risk of failure. Devices and machines also exchange information with each other, thus raising the productivity of the processes of which they are a part to a higher level. Other features that networked devices can improve include inventory recording and management, product lifecycle management, customer demographics, and consequently new marketing opportunities. On the other hand, artificial intelligence becomes an obligation to use. By using it, the optimization of the resources offered by the Internet of Things is achieved. As today's life unfolds in dynamic times when the time interval between the arrival of new and the departure of old technology has been reduced to a minimum, people find it difficult to adapt if they do not follow the idea of lifelong learning. Artificial intelligence brings with its machine learning and autonomous machines, which will be used in shipments to the customer's final address. Some of the concepts of artificial intelligence applications are fully automated warehouses, autonomous fleet, forecasting market needs and creating successful new products. In the same processes, there will be a need for better-educated staff to cope with today's complex and demanding tasks - which is both a challenge and an opportunity for new motivated professionals.</t>
  </si>
  <si>
    <t>[Buntak, Kresimir; Brlek, Predrag; Cesarec, Bruno] Univ North, Koprivnica, Croatia</t>
  </si>
  <si>
    <t>University North - Croatia</t>
  </si>
  <si>
    <t>Buntak, K (corresponding author), Univ North, Koprivnica, Croatia.</t>
  </si>
  <si>
    <t>krbuntak@unin.hr; pbrlek@unin.hr; brcesarec@unin.hr</t>
  </si>
  <si>
    <t>Buntak, Krešimir/F-1353-2015; Brlek, Predrag/AAF-9326-2021</t>
  </si>
  <si>
    <t>EKONOMSKI FAKULTET OSIJEKU-FAC ECONOMICS OSIJEK</t>
  </si>
  <si>
    <t>GAJEV TRG 7, OSIJEK, 31 000, CROATIA</t>
  </si>
  <si>
    <t>1849-5931</t>
  </si>
  <si>
    <t>PROC INT SCI CONF B</t>
  </si>
  <si>
    <t>Business; Management; Operations Research &amp; Management Science; Transportation Science &amp; Technology</t>
  </si>
  <si>
    <t>Business &amp; Economics; Operations Research &amp; Management Science; Transportation</t>
  </si>
  <si>
    <t>BX0AC</t>
  </si>
  <si>
    <t>WOS:001226759400022</t>
  </si>
  <si>
    <t>Pérez, RA; Sagrado, AL; González, EO; de Bedout, LF</t>
  </si>
  <si>
    <t>Perez, Raul Arango; Sagrado, Antonio Lovato; Gonzalez, Eric Ortega; de Bedout, Laura Fontan</t>
  </si>
  <si>
    <t>PHILOSOPHICAL, ETHICAL, AND PEDAGOGICAL IMPLICATIONS OF THE USE OF ARTIFICIAL INTELLIGENCE IN EDUCATION</t>
  </si>
  <si>
    <t>Artificial Intelligence; Teacher-Student Relationship; Ethics; Pedagogy</t>
  </si>
  <si>
    <t>This article examines the philosophical, ethical and pedagogical implications of the use of Artificial Intelligence (AI) in education. In this way, and starting from the diversity of existing opinions on the potential of AI in this field, ranging from enthusiastic perspectives to alarmist predictions, this study proposes a critical and exploratory analysis of these implications through a hermeneutic approach that considers different relevant perspectives in order to evaluate and guide the use of AI in education and its potential impact on the pedagogical relationship, betting on the humanisation of technology and avoiding the technologisation of humans. The ultimate purpose is to better understand the challenges and opportunities presented by the convergence of AI and education, and to promote a competent and conscious use of these technologies, especifically on terms of Teacher-Student Relationship.</t>
  </si>
  <si>
    <t>[Perez, Raul Arango; Sagrado, Antonio Lovato; Gonzalez, Eric Ortega; de Bedout, Laura Fontan] Univ Barcelona, Barcelona, Spain</t>
  </si>
  <si>
    <t>Pérez, RA (corresponding author), Univ Barcelona, Barcelona, Spain.</t>
  </si>
  <si>
    <t>arangoperez.r@ub.edu; alovato@ub.edu; ericortega@ub.edu; laurafontan@ub.edu</t>
  </si>
  <si>
    <t>10.1344/der.2024.45.29-36</t>
  </si>
  <si>
    <t>WOS:001270470900005</t>
  </si>
  <si>
    <t>Rodriguez, M; Peterson, R</t>
  </si>
  <si>
    <t>Rodriguez, Michael; Peterson, Robert</t>
  </si>
  <si>
    <t>Artificial intelligence in business-to-business (B2B) sales process: a conceptual framework</t>
  </si>
  <si>
    <t>JOURNAL OF MARKETING ANALYTICS</t>
  </si>
  <si>
    <t>Sales; Artificial Intelligence; AI; Sales performance; Sales process</t>
  </si>
  <si>
    <t>TECHNOLOGY; IMPACT; PROFESSIONALS; REVOLUTION; ANALYTICS; AI</t>
  </si>
  <si>
    <t>The present study introduces a conceptual framework to explore sales professionals' use of artificial intelligence (AI) in the sales process. The author explores AI's impact and its relationships with specific outcomes within the sales process. The study first explores the embryonic artificial intelligence literature on sales to measure sales professionals' perceptions of AI by conducting a content analysis. Based on the results, 79 studies were found on AI and sales, with only 13 specifically looking at the business-to-business sales process. Given the newness of AI, this is a dire need to dive deeper into the use of AI in the B2B sales process. A content analysis from the scant literature and data from 62 sales professionals was performed to conceptually develop a framework proposing AI's impact on several outcomes: sales process effectiveness, administrative efficiency, and performance with customers.</t>
  </si>
  <si>
    <t>[Rodriguez, Michael] Campbell Univ, Buies Creek, NC 27506 USA; [Peterson, Robert] Northern Illinois Univ, De Kalb, IL 60115 USA</t>
  </si>
  <si>
    <t>Campbell University; Northern Illinois University</t>
  </si>
  <si>
    <t>Rodriguez, M (corresponding author), Campbell Univ, Buies Creek, NC 27506 USA.</t>
  </si>
  <si>
    <t>mrodriguez@campbell.edu; peterson@niu.edu</t>
  </si>
  <si>
    <t>2050-3318</t>
  </si>
  <si>
    <t>2050-3326</t>
  </si>
  <si>
    <t>J MARK ANAL</t>
  </si>
  <si>
    <t>J. Market. Anal.</t>
  </si>
  <si>
    <t>10.1057/s41270-023-00287-7</t>
  </si>
  <si>
    <t>N0T1M</t>
  </si>
  <si>
    <t>WOS:001149226200003</t>
  </si>
  <si>
    <t>Claramunt, JC</t>
  </si>
  <si>
    <t>Castellanos Claramunt, Jorge</t>
  </si>
  <si>
    <t>DEMOCRACY, PUBLIC ADMINISTRATION AND ARTIFICIAL INTELLIGENCE FROM A POLITICAL AND LEGAL PERSPECTIVE</t>
  </si>
  <si>
    <t>REVISTA CATALANA DE DRET PUBLIC</t>
  </si>
  <si>
    <t>democracy; artificial intelligence; algorithms; administration; fundamental rights</t>
  </si>
  <si>
    <t>The roll-out of artificial intelligence and algorithms in many public settings collides with the democratic systems. Thus, whether from an individual point of view or with regard to the actions of government agencies, algorithms have a direct impact on people's lives. The aim of this article is therefore to analyse this situation from a political and legal perspective, focusing on the potential problems caused by the use of artificial intelligence and algorithms to improve the efficiency of government actions. Such issues mainly relate to the impact that these tools have on fundamental rights, especially when technological progress comes at the cost of freedom and hinders government agencies' compliance with the principle of transparency.</t>
  </si>
  <si>
    <t>[Castellanos Claramunt, Jorge] Univ Valencia, Dept Filosofia Derecho Moral &amp; Polit, Fac Derecho, Edificio Dept Occident,Campus Tarongers, Valencia 46071, Spain</t>
  </si>
  <si>
    <t>Claramunt, JC (corresponding author), Univ Valencia, Dept Filosofia Derecho Moral &amp; Polit, Fac Derecho, Edificio Dept Occident,Campus Tarongers, Valencia 46071, Spain.</t>
  </si>
  <si>
    <t>jorgc.castellanos@uv.es</t>
  </si>
  <si>
    <t>ESCOLA ADM PUBLICA CATALUNYA</t>
  </si>
  <si>
    <t>C GIRONA, 20, BARCELONA, 08010, SPAIN</t>
  </si>
  <si>
    <t>1885-5709</t>
  </si>
  <si>
    <t>1885-8252</t>
  </si>
  <si>
    <t>REV CATALANA DRET PU</t>
  </si>
  <si>
    <t>Rev. Catalana Dret Public</t>
  </si>
  <si>
    <t>10.2436/rcdp.i60.2020.3344</t>
  </si>
  <si>
    <t>LY8PJ</t>
  </si>
  <si>
    <t>WOS:000540790000008</t>
  </si>
  <si>
    <t>Bashkami, A; Nasayreh, A; Makhadmeh, SN; Gharaibeh, H; Alzahrani, AI; Alwadain, A; Heming, J; Ezugwu, AE; Abualigah, L</t>
  </si>
  <si>
    <t>Bashkami, Ayah; Nasayreh, Ahmad; Makhadmeh, Sharif Naser; Gharaibeh, Hasan; Alzahrani, Ahmed Ibrahim; Alwadain, Ayed; Heming, Jia; Ezugwu, Absalom E.; Abualigah, Laith</t>
  </si>
  <si>
    <t>A review of Artificial Intelligence methods in bladder cancer: segmentation, classification, and detection</t>
  </si>
  <si>
    <t>Artificial Intelligence; Bladder Cancer; Machine learning; Deep learning; Histopathology</t>
  </si>
  <si>
    <t>CONVOLUTIONAL NEURAL-NETWORKS; COMPUTER-AIDED DETECTION; AUTOMATIC SEGMENTATION; TUMOR-CELLS; PROGRESSION; NUCLEI</t>
  </si>
  <si>
    <t>Artificial intelligence (AI) and other disruptive technologies can potentially improve healthcare across various disciplines. Its subclasses, artificial neural networks, deep learning, and machine learning, excel in extracting insights from large datasets and improving predictive models to boost their utility and accuracy. Though research in this area is still in its early phases, it holds enormous potential for the diagnosis, prognosis, and treatment of urological diseases, such as bladder cancer. The long-used nomograms and other classic forecasting approaches are being reconsidered considering AI's capabilities. This review emphasizes the coming integration of artificial intelligence into healthcare settings while critically examining the most recent and significant literature on the subject. This study seeks to define the status of AI and its potential for the future, with a special emphasis on how AI can transform bladder cancer diagnosis and treatment.</t>
  </si>
  <si>
    <t>[Bashkami, Ayah] Al Balqa Appl Univ, Fac Sci, Dept Med Lab Sci, Salt 19117, Jordan; [Nasayreh, Ahmad; Gharaibeh, Hasan] Yarmouk Univ, Dept Informat Technol &amp; Comp Sci, Irbid 211633, Jordan; [Makhadmeh, Sharif Naser] Univ Jordan, King Abdullah Sch Informat Technol 2, Dept Informat Technol, Amman 11942, Jordan; [Makhadmeh, Sharif Naser] Ajman Univ, Artificial Intelligence Res Ctr AIRC, Ajman, U Arab Emirates; [Alzahrani, Ahmed Ibrahim; Alwadain, Ayed] King Saud Univ, Community Coll, Comp Sci Dept, Riyadh 11437, Saudi Arabia; [Heming, Jia] Sanming Univ, Coll Informat &amp; Engn, Sanming, Peoples R China; [Ezugwu, Absalom E.] North West Univ, Unit Data Sci &amp; Comp, 11 Hofman St, ZA-2520 Potchefstroom, South Africa; [Abualigah, Laith] Al al Bayt Univ, Comp Sci Dept, Mafraq 25113, Jordan; [Abualigah, Laith] Middle East Univ, MEU Res Unit, Amman 11831, Jordan; [Abualigah, Laith] Appl Sci Private Univ, Appl Sci Res Ctr, Amman 11931, Jordan; [Abualigah, Laith] Chitkara Univ, Chitkara Univ Inst Engn &amp; Technol, Ctr Res Impact &amp; Outcome, Rajpura 140401, Punjab, India; [Abualigah, Laith] Sunway Univ Malaysia, Sch Engn &amp; Technol, Petaling Jaya 27500, Malaysia</t>
  </si>
  <si>
    <t>Al-Balqa Applied University; Yarmouk University; University of Jordan; Ajman University; King Saud University; Sanming University; North West University - South Africa; Al al-Bayt University; Middle East University; Chitkara University, Punjab; Sunway University</t>
  </si>
  <si>
    <t>Ezugwu, AE (corresponding author), North West Univ, Unit Data Sci &amp; Comp, 11 Hofman St, ZA-2520 Potchefstroom, South Africa.;Abualigah, L (corresponding author), Al al Bayt Univ, Comp Sci Dept, Mafraq 25113, Jordan.;Abualigah, L (corresponding author), Middle East Univ, MEU Res Unit, Amman 11831, Jordan.;Abualigah, L (corresponding author), Appl Sci Private Univ, Appl Sci Res Ctr, Amman 11931, Jordan.;Abualigah, L (corresponding author), Chitkara Univ, Chitkara Univ Inst Engn &amp; Technol, Ctr Res Impact &amp; Outcome, Rajpura 140401, Punjab, India.;Abualigah, L (corresponding author), Sunway Univ Malaysia, Sch Engn &amp; Technol, Petaling Jaya 27500, Malaysia.</t>
  </si>
  <si>
    <t>ayahbashkami@gmail.com; nasayrahahmad@gmail.com; sharif.makhadmeh@uop.edu.jo; hasangharaibeh87@gmail.com; ahmed@ksu.edu.sa; aalwadain@ksu.edu.sa; jiaheming@fjsmu.edu.cn; Absalom.ezugwu@nwu.ac.za; aligah.2020@gmail.com</t>
  </si>
  <si>
    <t>Alzahrani, Ahmed/AGC-4025-2022; Ezugwu, Absalom/AIE-3466-2022; Abualigah, Laith/ABC-9695-2020; Makhadmeh, Sharif/A-3428-2019</t>
  </si>
  <si>
    <t>Makhadmeh, Sharif/0000-0002-2894-7998</t>
  </si>
  <si>
    <t>North-West University [RSP2024/309]; King Saud University, Riyadh, Saudi Arabia</t>
  </si>
  <si>
    <t>North-West University; King Saud University, Riyadh, Saudi Arabia(King Saud University)</t>
  </si>
  <si>
    <t>This work is funded by the Researchers Supporting Project number (RSP2024/309), King Saud University, Riyadh, Saudi Arabia.</t>
  </si>
  <si>
    <t>OCT 21</t>
  </si>
  <si>
    <t>10.1007/s10462-024-10953-6</t>
  </si>
  <si>
    <t>J5X3W</t>
  </si>
  <si>
    <t>WOS:001337789500004</t>
  </si>
  <si>
    <t>Koyamparambath, A; Adibi, N; Szablewski, C; Adibi, SA; Sonnemann, G</t>
  </si>
  <si>
    <t>Koyamparambath, Anish; Adibi, Naeem; Szablewski, Carolina; Adibi, Sierra A.; Sonnemann, Guido</t>
  </si>
  <si>
    <t>Implementing Artificial Intelligence Techniques to Predict Environmental Impacts: Case of Construction Products</t>
  </si>
  <si>
    <t>life cycle assessment; environmental product declaration; artificial intelligence; machine learning; environmental performance</t>
  </si>
  <si>
    <t>SYSTEMS; TREES; ANN</t>
  </si>
  <si>
    <t>Nowadays, product designers, manufacturers, and consumers consider the environmental impacts of products, processes, and services in their decision-making process. Life Cycle Assessment (LCA) is a tool that assesses the environmental impacts over a product's life cycle. Conducting a life cycle assessment (LCA) requires meticulous data sourcing and collection and is often time-consuming for both practitioner and verifier. However, predicting the environmental impacts of products and services can help stakeholders and decision-makers identify the hotspots. Our work proposes using Artificial Intelligence (AI) techniques to predict the environmental performance of a product or service to assist LCA practitioners and verifiers. This approach uses data from environmental product declarations of construction products. The data is processed utilizing natural language processing (NLP) which is then trained to random forest algorithm, an ensemble tree-based machine learning method. Finally, we trained the model with information on the product and their environmental impacts using seven impact category values and verified the results using a testing dataset (20% of EPD data). Our results demonstrate that the model was able to predict the values of impact categories: global warming potential, abiotic depletion potential for fossil resources, acidification potential, and photochemical ozone creation potential with an accuracy (measured using R-2 metrics, a measure to score the correlation of predicted values to real value) of 81%, 77%, 68%, and 70%, respectively. Our method demonstrates the capability to predict environmental performance with a defined variability by learning from the results of the previous LCA studies. The model's performance also depends on the amount of data available for training. However, this approach does not replace a detailed LCA but is rather a quick prediction and assistance to LCA practitioners and verifiers in realizing an LCA.</t>
  </si>
  <si>
    <t>[Koyamparambath, Anish; Sonnemann, Guido] Univ Bordeaux, Bordeaux INP, Inst Mol Sci, ISM,CNRS,UMR 5255, F-33400 Talence, France; [Koyamparambath, Anish; Adibi, Naeem; Szablewski, Carolina] WeLOOP, 254 Rue Bourg, F-59130 Lambersart, France; [Adibi, Sierra A.] Univ Washington, William E Boeing Dept Aeronaut &amp; Astronaut, Seattle, WA 98195 USA</t>
  </si>
  <si>
    <t>Centre National de la Recherche Scientifique (CNRS); CNRS - Institute of Chemistry (INC); Universite de Bordeaux; University of Washington; University of Washington Seattle</t>
  </si>
  <si>
    <t>Sonnemann, G (corresponding author), Univ Bordeaux, Bordeaux INP, Inst Mol Sci, ISM,CNRS,UMR 5255, F-33400 Talence, France.</t>
  </si>
  <si>
    <t>anish.koyamparambath@u-bordeaux.fr; n.adibi@weloop.org; c.szablewski@weloop.org; sierra.adibi@gmail.com; guido.sonnemann@u-bordeaux.fr</t>
  </si>
  <si>
    <t>Sonnemann, Guido/L-9425-2019; Koyamparambath, Anish/KDO-1957-2024</t>
  </si>
  <si>
    <t>Colli Szablewski, Carolina/0000-0003-1042-9663; Sonnemann, Guido/0000-0003-2581-1910; Koyamparambath, Anish/0000-0003-0839-0552</t>
  </si>
  <si>
    <t>EIT Raw Materials; EIT, a body of the European Union</t>
  </si>
  <si>
    <t>The Ph.D. thesis of the first author at the University of Bordeaux in the context of the TripleLink project funded by EIT Raw Materials was the opportunity to finalize this publication. The Ph.D. thesis is supported by EIT, a body of the European Union.</t>
  </si>
  <si>
    <t>10.3390/su14063699</t>
  </si>
  <si>
    <t>0B1GE</t>
  </si>
  <si>
    <t>WOS:000774389900001</t>
  </si>
  <si>
    <t>Hu, L; Xiao, WM; Zhu, WX; Zhu, LH; Hu, YT</t>
  </si>
  <si>
    <t>Hu, Liang; Xiao, Wenmin; Zhu, Wenxi; Zhu, Lihua; Hu, Yueting</t>
  </si>
  <si>
    <t>Impact of Artificial Intelligence, Smart Learning and Belief About Future on Academic Performance &amp; Moderating Effect of Desire for Knowledge</t>
  </si>
  <si>
    <t>Artificial Intelligence; Smart Learning; Desire for Knowledge; Academic Performance; Chinese Students</t>
  </si>
  <si>
    <t>EDUCATION; SATISFACTION; MOTIVATION; STUDENTS; USAGE</t>
  </si>
  <si>
    <t>In the modern education system, using artificial intelligence and smart learning techniques has become vital for students' academic success. This research examines the direct impact of smart learning, artificial intelligence, and beliefs about the future on academic performance. It further investigates whether the desire for knowledge mediates the relationships between these variables. A structural questionnaire was designed using the existing literature, and data was collected through face-to-face distribution. The respondents have diversified demographic dimensions for which a sample of 317 was empirically tested with the help of MS-Excel and Smart PLS version 4. The results signify the following output: (1) artificial intelligence, desire for knowledge, and smart learning promote the academic performance of the study. (2) Desire for knowledge fully mediates the relationship between smart learning and academic performance and between beliefs about the future and academic performance, respectively. A comprehensive list of policy recommendations is also provided</t>
  </si>
  <si>
    <t>[Hu, Liang; Xiao, Wenmin; Zhu, Wenxi] Hunan First Normal Univ, Sch Foreign Studies, Chang Sha 410205, Peoples R China; [Zhu, Lihua; Hu, Yueting] Hunan Univ Technol &amp; Business, Sch Foreign Languages, Chang Sha 410205, Peoples R China</t>
  </si>
  <si>
    <t>Hunan First Normal University</t>
  </si>
  <si>
    <t>Zhu, LH (corresponding author), Hunan Univ Technol &amp; Business, Sch Foreign Languages, Chang Sha 410205, Peoples R China.</t>
  </si>
  <si>
    <t>351085@hnfnu.edu.cn; 18229458205@163.com; 1727097447@qq.com; 19138354799@163.com; zhulihua@hutb.edu.cn</t>
  </si>
  <si>
    <t>Hu, yueting/LSL-6737-2024</t>
  </si>
  <si>
    <t>Teaching Reform Project Research on the Innovative Design and Application of Smart Teaching in Translation Practice Courses in the Digital Age [HNJG20231358, 2023]; National Social Science Fund of China (NSSFC) [23BYY150]; Hunan Social Sciences Planning Fund project [22YBJ02]; 13th Five-year Project of Educational Science Planning of Hunan Province [XJK19JGD005]</t>
  </si>
  <si>
    <t>Teaching Reform Project Research on the Innovative Design and Application of Smart Teaching in Translation Practice Courses in the Digital Age; National Social Science Fund of China (NSSFC); Hunan Social Sciences Planning Fund project; 13th Five-year Project of Educational Science Planning of Hunan Province</t>
  </si>
  <si>
    <t>This work was supported by Hunan Provincial Department of Education Science Research Excellence Youth Program: Construction and Application of Spoken English Corpus for English Learners in Hunan Dialect Area (NO.22B0884) ; Ministry of Education Humanities and Social Sciences Planning Fund project (22YJA740043) ; 2023 Hunan Provincial Higher Education Teaching Reform Project Research on the Innovative Design and Application of Smart Teaching in Translation Practice Courses in the Digital Age (HNJG20231358) ; 2023 National Social Science Fund of China (NSSFC) Project: Research on the Ecological Mechanism of Family-School Co-education of English Core Competency in Basic Education (23BYY150) ; Hunan Social Sciences Planning Fund project (22YBJ02) ; The 13th Five-year Project of Educational Science Planning of Hunan Province: A Study on Teaching Ability Improvement of Hunan Rural Primary School Teachers in the New Era (XJK19JGD005) .r Teaching Reform Project Research on the Innovative Design and Application of Smart Teaching in Translation Practice Courses in the Digital Age (HNJG20231358) ; 2023 National Social Science Fund of China (NSSFC) Project: Research on the Ecological Mechanism of Family-School Co-education of English Core Competency in Basic Education (23BYY150) ; Hunan Social Sciences Planning Fund project (22YBJ02) ; The 13th Five-year Project of Educational Science Planning of Hunan Province: A Study on Teaching Ability Improvement of Hunan Rural Primary School Teachers in the New Era (XJK19JGD005) .</t>
  </si>
  <si>
    <t>e330418</t>
  </si>
  <si>
    <t>10.3145/epi.2024.ene.0418</t>
  </si>
  <si>
    <t>WOS:001400012100018</t>
  </si>
  <si>
    <t>Manzoor, SR; Ullah, R; Khattak, A; Ullah, M; Han, H</t>
  </si>
  <si>
    <t>Manzoor, Sheikh Raheel; Ullah, Rezwan; Khattak, Afraseyab; Ullah, Munsif; Han, Heesup</t>
  </si>
  <si>
    <t>Exploring tourist perceptions of artificial intelligence devices in the hotel industry: impact of industry 4.0</t>
  </si>
  <si>
    <t>JOURNAL OF TRAVEL &amp; TOURISM MARKETING</t>
  </si>
  <si>
    <t>Artificial intelligence; emotions; industry 4.0; hotel industry; tourists</t>
  </si>
  <si>
    <t>SUPPLY CHAIN; INFORMATION-TECHNOLOGY; CONSUMER-BEHAVIOR; USER ACCEPTANCE; BLOCKCHAIN; CHALLENGES; CONSEQUENCES; INTEGRATION; EMOTIONS; CHATBOT</t>
  </si>
  <si>
    <t>This study explores the perceptions of tourists regarding the use of artificial intelligence (AI) devices in the hotel industry. Adopting the artificially intelligent device use acceptance (AIDUA) framework, this research uncovered the factors that influence tourists' attitudes towards AI devices and their willingness/unwillingness to use them. This study also demonstrated the moderating impact of Industry 4.0. The strong associations among social influence, hedonic motivation, anthropomorphism, performance expectancy, effort expectancy, users' emotions towards AI device usage, and their willingness/unwillingness to accept AI devices are explored. Furthermore, Industry 4.0 was of utmost importance in strengthening the relations among research constructs.</t>
  </si>
  <si>
    <t>[Manzoor, Sheikh Raheel] Iqra Natl Univ, Business Adm, Peshawar, Pakistan; [Ullah, Rezwan] Beijing Inst Technol, Management &amp; Econ, Beijing, Peoples R China; [Khattak, Afraseyab] Univ Agr, Business &amp; Management Sci, Peshawar, Khyber Pakhtunk, Pakistan; [Ullah, Munsif] INU, Business Adm Dept, Incheon, South Korea; [Han, Heesup] Sejong Univ, Hospitality &amp; Tourism Management, Seoul, South Korea</t>
  </si>
  <si>
    <t>Beijing Institute of Technology; University of Agriculture Faisalabad; Agricultural University Peshawar; Incheon National University; Sejong University</t>
  </si>
  <si>
    <t>Han, H (corresponding author), Sejong Univ, Hospitality &amp; Tourism Management, Seoul, South Korea.</t>
  </si>
  <si>
    <t>heesup.han@gmail.com</t>
  </si>
  <si>
    <t>Ullah, Rezwan/GLT-3586-2022; Han, Heesup/H-9859-2013</t>
  </si>
  <si>
    <t>1054-8408</t>
  </si>
  <si>
    <t>1540-7306</t>
  </si>
  <si>
    <t>J TRAVEL TOUR MARK</t>
  </si>
  <si>
    <t>J. Travel Tour. Mark.</t>
  </si>
  <si>
    <t>FEB 12</t>
  </si>
  <si>
    <t>10.1080/10548408.2024.2310169</t>
  </si>
  <si>
    <t>JA0W9</t>
  </si>
  <si>
    <t>WOS:001170321600001</t>
  </si>
  <si>
    <t>Garrido, IL</t>
  </si>
  <si>
    <t>Garrido, Ivan Lapuente</t>
  </si>
  <si>
    <t>Artificial Intelligence and Academic Journals: For Better and for Worse</t>
  </si>
  <si>
    <t>BRAZILIAN ADMINISTRATION REVIEW</t>
  </si>
  <si>
    <t>artificial intelligence; scientific journals; threats; nationalism; opportunities</t>
  </si>
  <si>
    <t>SOCIETY; IMPACT</t>
  </si>
  <si>
    <t>This editorial summarizes a talk presented during the 47th EnANPAD Annual Meeting in S &amp; atilde;o Paulo, Brazil, exploring the role of artificial intelligence (AI) in academic journals. It highlights the impact perspectives of AI, recognizing its effects in various social and academic areas. Although the effects are extensive and their full ramifications are unknown and uncertain, the editorial highlights elements of opportunities and threats of this impact, as well as some ways to mitigate the impact. Journals could become smarter and more accessible with AI, providing a personalized experience for researchers and readers. However, significant challenges, such as the risk of inequality between journals with and without AI capabilities, are also highlighted. To seize opportunities and mitigate challenges, the author advocates for investment in AI, the creation of clear editorial guidelines, and an institutional commitment to responsibility and ethics.</t>
  </si>
  <si>
    <t>[Garrido, Ivan Lapuente] Univ Vale Rio dos Sinos, Porto Alegre, RS, Brazil</t>
  </si>
  <si>
    <t>Universidade do Vale do Rio dos Sinos (Unisinos)</t>
  </si>
  <si>
    <t>Garrido, IL (corresponding author), Av Unisinos 950, BR-93022000 Sao Leopoldo, RS, Brazil.</t>
  </si>
  <si>
    <t>igarrido@unisinos.br</t>
  </si>
  <si>
    <t>Garrido, Ivan Lapuente/0000-0003-3741-7961</t>
  </si>
  <si>
    <t>ANPAD-ASSOC NACL POS-GRADUACAO &amp; PESQUISA ADM</t>
  </si>
  <si>
    <t>RIO DE JANEIRO RJ</t>
  </si>
  <si>
    <t>R MARQUES DE SAO VICENTE, 225, RIO DE JANEIRO RJ, 22451-900, BRAZIL</t>
  </si>
  <si>
    <t>1807-7692</t>
  </si>
  <si>
    <t>BRAZ ADM REV</t>
  </si>
  <si>
    <t>Braz. Adm. Rev.</t>
  </si>
  <si>
    <t>e230145</t>
  </si>
  <si>
    <t>10.1590/1807-7692bar2023230145</t>
  </si>
  <si>
    <t>K3Z7U</t>
  </si>
  <si>
    <t>WOS:001343298500001</t>
  </si>
  <si>
    <t>Li, CH</t>
  </si>
  <si>
    <t>Li, Chunhui</t>
  </si>
  <si>
    <t>Biodiversity assessment based on artificial intelligence and neural network algorithms</t>
  </si>
  <si>
    <t>MICROPROCESSORS AND MICROSYSTEMS</t>
  </si>
  <si>
    <t>Artificial intelligence and neural network algorithm; Biodiversity assessment</t>
  </si>
  <si>
    <t>Together with its associated economic activities, Biodiversity has the impact of increasing the global environment to an unprecedented extent. Around the world, countries are focusing on resource consumption and the ecosystem's ability to deliver them. The order is effectively preserved, and the decision-makers are in need of biodiversity indicators and knowledge which needs to be common in such a way that they can be utilized effectively. High-throughput environmental sensing technology is an increasingly important global monitoring of the impact of human activities on ecosystems. More recently, with passive acoustic sensors, the boom has provided a wide range of efficient, non-invasive, and taxonomic tools for studying wildlife populations and communities, responding to environmental changes. A proposed best practice criteria and detailed guidelines are to be proposed for achieving scores used in biodiversity assessment studies based on species distribution models. Artificial Intelligence and Neural Network Algorithms are highly efficient for the overall detection of the low model, which improves the usual model, takes much time. To establish a clear trend, biological assessments are used to a lesser extent than in the data and the model evaluation. Artificial Intelligence and Neural Network Algorithms agree with relevant model standards that promote transparency and reproducibility and argues that the implementation of biodiversity assessments will lead to high-quality models and inferences used in the final assessment. The expansion of Artificial Intelligence and Neural Network Algorithms standards and guidelines encourages a wider community to participate in ongoing improvement.</t>
  </si>
  <si>
    <t>[Li, Chunhui] Weifang Univ Sci &amp; Technol, Weifang 262700, Shandong, Peoples R China</t>
  </si>
  <si>
    <t>Weifang University of Science &amp; Technology</t>
  </si>
  <si>
    <t>Li, CH (corresponding author), Weifang Univ Sci &amp; Technol, Weifang 262700, Shandong, Peoples R China.</t>
  </si>
  <si>
    <t>lichunhui507330@163.com</t>
  </si>
  <si>
    <t>RADARWEG 29a, 1043 NX AMSTERDAM, NETHERLANDS</t>
  </si>
  <si>
    <t>0141-9331</t>
  </si>
  <si>
    <t>1872-9436</t>
  </si>
  <si>
    <t>MICROPROCESS MICROSY</t>
  </si>
  <si>
    <t>Microprocess. Microsyst.</t>
  </si>
  <si>
    <t>10.1016/j.micpro.2020.103321</t>
  </si>
  <si>
    <t>Computer Science, Hardware &amp; Architecture; Computer Science, Theory &amp; Methods; Engineering, Electrical &amp; Electronic</t>
  </si>
  <si>
    <t>PG7DN</t>
  </si>
  <si>
    <t>WOS:000599892000003</t>
  </si>
  <si>
    <t>Trinkley, KE; An, RP; Maw, AM; Glasgow, RE; Brownson, RC</t>
  </si>
  <si>
    <t>Trinkley, Katy E.; An, Ruopeng; Maw, Anna M.; Glasgow, Russell E.; Brownson, Ross C.</t>
  </si>
  <si>
    <t>Leveraging artificial intelligence to advance implementation science: potential opportunities and cautions</t>
  </si>
  <si>
    <t>IMPLEMENTATION SCIENCE</t>
  </si>
  <si>
    <t>Implementation science; Artificial intelligence; Team science; Translational research; Learning health systems</t>
  </si>
  <si>
    <t>HEALTH; AI</t>
  </si>
  <si>
    <t>BackgroundThe field of implementation science was developed to address the significant time delay between establishing an evidence-based practice and its widespread use. Although implementation science has contributed much toward bridging this gap, the evidence-to-practice chasm remains a challenge. There are some key aspects of implementation science in which advances are needed, including speed and assessing causality and mechanisms. The increasing availability of artificial intelligence applications offers opportunities to help address specific issues faced by the field of implementation science and expand its methods.Main textThis paper discusses the many ways artificial intelligence can address key challenges in applying implementation science methods while also considering potential pitfalls to the use of artificial intelligence. We answer the questions of why the field of implementation science should consider artificial intelligence, for what (the purpose and methods), and the what (consequences and challenges). We describe specific ways artificial intelligence can address implementation science challenges related to (1) speed, (2) sustainability, (3) equity, (4) generalizability, (5) assessing context and context-outcome relationships, and (6) assessing causality and mechanisms. Examples are provided from global health systems, public health, and precision health that illustrate both potential advantages and hazards of integrating artificial intelligence applications into implementation science methods. We conclude by providing recommendations and resources for implementation researchers and practitioners to leverage artificial intelligence in their work responsibly.ConclusionsArtificial intelligence holds promise to advance implementation science methods (why) and accelerate its goals of closing the evidence-to-practice gap (purpose). However, evaluation of artificial intelligence's potential unintended consequences must be considered and proactively monitored. Given the technical nature of artificial intelligence applications as well as their potential impact on the field, transdisciplinary collaboration is needed and may suggest the need for a subset of implementation scientists cross-trained in both fields to ensure artificial intelligence is used optimally and ethically.</t>
  </si>
  <si>
    <t>[Trinkley, Katy E.; Glasgow, Russell E.] Univ Colorado, Sch Med, Dept Family Med, Anschutz Med Campus, Aurora, CO 80045 USA; [Trinkley, Katy E.; Maw, Anna M.; Glasgow, Russell E.] Univ Colorado, Adult &amp; Child Ctr Outcomes Res &amp; Delivery Sci Ctr, Anschutz Med Campus, Aurora, CO 80045 USA; [Trinkley, Katy E.] Univ Colorado, Sch Med, Dept Biomed Informat, Anschutz Med Campus, Aurora, CO 80045 USA; [Trinkley, Katy E.] Univ Colorado, Colorado Ctr Personalized Med, Sch Med, Anschutz Med Campus, Aurora, CO 80045 USA; [An, Ruopeng] Washington Univ, Brown Sch, St Louis, MO USA; [An, Ruopeng] Washington Univ, Div Computat &amp; Data Sci, St Louis, MO USA; [Maw, Anna M.] Univ Colorado, Div Hosp Med, Sch Med, Anschutz Med Campus, Aurora, CO USA; [Brownson, Ross C.] Washington Univ, Prevent Res Ctr, Brown Sch, St Louis, MO USA; [Brownson, Ross C.] Washington Univ, Sch Med, Div Publ Hlth Sci, Dept Surg, St Louis, MO USA; [Brownson, Ross C.] Washington Univ, Alvin J Siteman Canc Ctr, Sch Med, St Louis, MO USA</t>
  </si>
  <si>
    <t>University of Colorado System; University of Colorado Anschutz Medical Campus; University of Colorado System; University of Colorado Anschutz Medical Campus; University of Colorado System; University of Colorado Anschutz Medical Campus; University of Colorado System; University of Colorado Anschutz Medical Campus; Washington University (WUSTL); Washington University (WUSTL); University of Colorado System; University of Colorado Anschutz Medical Campus; Washington University (WUSTL); Washington University (WUSTL); Washington University (WUSTL); Siteman Cancer Center</t>
  </si>
  <si>
    <t>Trinkley, KE (corresponding author), Univ Colorado, Sch Med, Dept Family Med, Anschutz Med Campus, Aurora, CO 80045 USA.;Trinkley, KE (corresponding author), Univ Colorado, Adult &amp; Child Ctr Outcomes Res &amp; Delivery Sci Ctr, Anschutz Med Campus, Aurora, CO 80045 USA.;Trinkley, KE (corresponding author), Univ Colorado, Sch Med, Dept Biomed Informat, Anschutz Med Campus, Aurora, CO 80045 USA.;Trinkley, KE (corresponding author), Univ Colorado, Colorado Ctr Personalized Med, Sch Med, Anschutz Med Campus, Aurora, CO 80045 USA.</t>
  </si>
  <si>
    <t>katy.trinkley@cuanschutz.edu</t>
  </si>
  <si>
    <t>Glasgow, Russell/ABS-2253-2022; Brownson, Ross/AEA-4811-2022</t>
  </si>
  <si>
    <t>National Cancer Institute</t>
  </si>
  <si>
    <t>National Cancer Institute(United States Department of Health &amp; Human ServicesNational Institutes of Health (NIH) - USANIH National Cancer Institute (NCI))</t>
  </si>
  <si>
    <t>Not applicable.</t>
  </si>
  <si>
    <t>1748-5908</t>
  </si>
  <si>
    <t>IMPLEMENT SCI</t>
  </si>
  <si>
    <t>Implement. Sci.</t>
  </si>
  <si>
    <t>FEB 21</t>
  </si>
  <si>
    <t>10.1186/s13012-024-01346-y</t>
  </si>
  <si>
    <t>IO4G9</t>
  </si>
  <si>
    <t>WOS:001167251400001</t>
  </si>
  <si>
    <t>Artificial Intelligence Theory in Service Management</t>
  </si>
  <si>
    <t>Artificial intelligence; Service management; Systematic literature review; Theory</t>
  </si>
  <si>
    <t>PERSPECTIVES; NETWORK; FUTURE; GAME; GO</t>
  </si>
  <si>
    <t>Artificial intelligence (AI) is expected to be more promising in the coming years, with, for example, notable gains in productivity, although there may be a significant impact on job reduction, which may jeopardize labor sustainability. Accordingly, there is a need to better understand this phenomenon and to analyze it in the light of a particular theory. However, there is a scarcity of AI theories in the service management literature. In order to obtain a better understanding of the subject, we have conducted a systematic review of the literature to provide a comprehensive analysis of the theories developed regarding AI in service management. The results have showed a wide range of theories, but not all directly related with AI; the latter are smaller in number making it difficult to draw a clear pattern. At current days, researchers are slowly advancing with new AI theories and moving away from those already in use, such as in computer science, ethics, philosophical theories, and so on.</t>
  </si>
  <si>
    <t>[Reis, Joao; Santo, Paula Espirito] Univ Lisbon, Inst Social &amp; Polit Sci ISCSP, Lisbon, Portugal; [Reis, Joao; Santo, Paula Espirito] Univ Lisbon, CAPP, Lisbon, Portugal; [Melao, Nuno] Polytech Inst Viseu, Sch Technol &amp; Management Viseu, Dept Management, Viseu, Portugal; [Melao, Nuno] Polytech Inst Viseu, Sch Technol &amp; Management Viseu, CISED, Viseu, Portugal</t>
  </si>
  <si>
    <t>Universidade de Lisboa; Universidade de Lisboa; Instituto Politecnico de Viseu; Instituto Politecnico de Viseu</t>
  </si>
  <si>
    <t>Reis, J (corresponding author), Univ Lisbon, Inst Social &amp; Polit Sci ISCSP, Lisbon, Portugal.;Reis, J (corresponding author), Univ Lisbon, CAPP, Lisbon, Portugal.</t>
  </si>
  <si>
    <t>Santo, Paula/F-1815-2010; Reis, Joao Carlos Goncalves dos/L-6686-2017; Melao, Nuno/F-6613-2018</t>
  </si>
  <si>
    <t>Reis, Joao Carlos Goncalves dos/0000-0002-8504-0065; Melao, Nuno/0000-0002-1359-3437</t>
  </si>
  <si>
    <t>10.1007/978-3-030-38724-2_10</t>
  </si>
  <si>
    <t>WOS:000654630700010</t>
  </si>
  <si>
    <t>Peng, CP; Wei, CC; Lin, HH; Chen, SH</t>
  </si>
  <si>
    <t>Peng, Chih-Piao; Wei, Chiu-Chi; Lin, Hsien-Hong; Chen, Su-Hui</t>
  </si>
  <si>
    <t>Artificial Intelligence in Market Segment Portfolio for Profit Maximization</t>
  </si>
  <si>
    <t>INZINERINE EKONOMIKA-ENGINEERING ECONOMICS</t>
  </si>
  <si>
    <t>Artificial Intelligence; Mathematical Programming; Market Segments; Segment Portfolio; Profit Maximization</t>
  </si>
  <si>
    <t>This paper proposes an approach to select a market segment portfolio to maximize overall profit. The study first uses artificial intelligence algorithms to select the market segments with high profitability. The mathematical programming model is then used to identify the most profitable market segment portfolio. The single-objective programming model is used to find the optimal profit for the baseline condition, and a sensitivity analysis is performed to understand the impact of the variable changes on the results. Then, a multi-objective programming model helps to identify the best profit when the evaluated items reach extreme values. A sensitivity analysis is conducted to reveal the impact of the variable changes on the results. The above results are compared with those of the scoring method. It is found that the artificial intelligence algorithm combined with mathematical programming models can indeed find the market segmentation portfolio with better profits than the conventional methods.</t>
  </si>
  <si>
    <t>[Peng, Chih-Piao; Wei, Chiu-Chi] Chung Hua Univ, PhD Program Technol Management, 707,Sec 2,WuFu Rd, Hsinchu 30012, Taiwan; [Lin, Hsien-Hong] Huaiyin Inst Technol, Dept Logist Engn, 1 East Meicheng Rd, Huaian, Jiangsu, Peoples R China; [Chen, Su-Hui] Huaiyin Normal Univ, Dept Human Resources Management, 15 West Beijing Rd, Nanjing, Jiangsu, Peoples R China</t>
  </si>
  <si>
    <t>Chung Hua University; Huaiyin Institute of Technology; Huaiyin Normal University</t>
  </si>
  <si>
    <t>Wei, CC (corresponding author), Chung Hua Univ, PhD Program Technol Management, 707,Sec 2,WuFu Rd, Hsinchu 30012, Taiwan.</t>
  </si>
  <si>
    <t>mihozip@gmail.com; a0824809@gmail.com; joelin2005usa@yahoo.com.tw; 8201901026@hytc.edu.cn</t>
  </si>
  <si>
    <t>KAUNAS UNIV TECHNOL</t>
  </si>
  <si>
    <t>LAISVES AL 55, KAUNAS, 44309, LITHUANIA</t>
  </si>
  <si>
    <t>1392-2785</t>
  </si>
  <si>
    <t>2029-5839</t>
  </si>
  <si>
    <t>INZ EKON</t>
  </si>
  <si>
    <t>Inz. Ekon.</t>
  </si>
  <si>
    <t>10.5755/j01.ee.33.4.29543</t>
  </si>
  <si>
    <t>8V3SU</t>
  </si>
  <si>
    <t>WOS:000930554900001</t>
  </si>
  <si>
    <t>Gaevskiy, VV; Popov, NV; Ivanov, AM; Shadrin, SS</t>
  </si>
  <si>
    <t>Gaevskiy, V. V.; Popov, N., V; Ivanov, A. M.; Shadrin, S. S.</t>
  </si>
  <si>
    <t>Localization of Meaningful Interfaces Human - Artificial Intelligence with Respect to Human Safety</t>
  </si>
  <si>
    <t>2021 INTELLIGENT TECHNOLOGIES AND ELECTRONIC DEVICES IN VEHICLE AND ROAD TRANSPORT COMPLEX (TIRVED)</t>
  </si>
  <si>
    <t>Conference on Intelligent Technologies and Electronic Devices in Vehicle and Road Transport Complex (TIRVED)</t>
  </si>
  <si>
    <t>NOV 11-12, 2021</t>
  </si>
  <si>
    <t>Moscow Automobile &amp; Road Construct State Tech Univ, Moscow, RUSSIA</t>
  </si>
  <si>
    <t>Inst Radio &amp; Informat Syst Assoc,IEEE Russia Section ED MTT AES Joint Chapter,IEEE</t>
  </si>
  <si>
    <t>Moscow Automobile &amp; Road Construct State Tech Univ</t>
  </si>
  <si>
    <t>interface; safety; car; artificial intelligence; infrastructure</t>
  </si>
  <si>
    <t>This article discusses various interfaces in vehicles, their types and purposes, as well as the impact of each type of interface on safety. The classification of interfaces human - artificial intelligence from the standpoint of significance and the possibility of influencing safety when driving, stopping and parking a vehicle is given. The significance of the interfaces used in vehicles has been studied from the standpoint of traffic safety. Considered are the minimum requirements for the operability of the human - artificial intelligence interface influencing the active safety of the vehicle. The influence of the type of information message on the response time of the driver was investigated.</t>
  </si>
  <si>
    <t>[Gaevskiy, V. V.; Popov, N., V; Ivanov, A. M.; Shadrin, S. S.] Moscow Automobile &amp; Rd Construct State Tech Univ, Dept Cars, Moscow, Russia</t>
  </si>
  <si>
    <t>Moscow Automobile &amp; Road Construction State Technical University (MADI)</t>
  </si>
  <si>
    <t>Gaevskiy, VV (corresponding author), Moscow Automobile &amp; Rd Construct State Tech Univ, Dept Cars, Moscow, Russia.</t>
  </si>
  <si>
    <t>vit-life@rambler.ru; niko-popov@yandex.ru; Ivanov-am@madi.ru; shadrin@madi.ru</t>
  </si>
  <si>
    <t>Shadrin, Sergey/J-3048-2014</t>
  </si>
  <si>
    <t>Shadrin, Sergey/0000-0002-2606-9984</t>
  </si>
  <si>
    <t>978-1-6654-0075-6</t>
  </si>
  <si>
    <t>10.1109/TIRVED53476.2021.9639093</t>
  </si>
  <si>
    <t>Automation &amp; Control Systems; Transportation Science &amp; Technology</t>
  </si>
  <si>
    <t>Automation &amp; Control Systems; Transportation</t>
  </si>
  <si>
    <t>BS8EE</t>
  </si>
  <si>
    <t>WOS:000771713900001</t>
  </si>
  <si>
    <t>Chen, HZ; Chen, S; Zhao, JF</t>
  </si>
  <si>
    <t>Chen, Huizhong; Chen, Shu; Zhao, Jingfeng</t>
  </si>
  <si>
    <t>Integrated Design of Financial Self-Service Terminal Based on Artificial Intelligence Voice Interaction</t>
  </si>
  <si>
    <t>artificial intelligence; intelligent voice; financial self-help; integrated design; terminal</t>
  </si>
  <si>
    <t>Integrated design of financial self-service terminal based on artificial intelligence voice interaction with the rapid development of science and technology, artificial intelligence technology is deepening in the field of intelligence and automation. The financial industry is the lifeblood of a country's economy, with great growth potential and high growth rate. The integrated design of intelligent financial self-service terminal has become an important topic in the field of rapid development of social economy and science and technology. Therefore, this paper designs the integration of financial self-service terminal based on artificial intelligence voice interaction. First, this paper introduces the meaning and composition of financial self-service terminal integration, then studies the voice interaction principle based on artificial intelligence technology, and designs the integrated structure of financial self-service terminal with voice interaction. After that, this paper makes a series of tests on voice interaction technology, user experience, and the performance of financial self-service terminal. Finally, the test results of voice interaction are as follows: the delay estimation results of voice interaction of the terminal are relatively accurate, and the error points are basically within five sampling points, which indicate that the delay estimation algorithm is practical. The endpoint detection method based on CO complexity can effectively overcome the impact of noise environment on speech endpoint detection system and is suitable for the requirements of robust speech recognition system. Considering that the actual application scenario of voice positioning can judge the speaker's position and turn to the speaker's direction during human-computer interaction, the azimuth error is acceptable within a few degrees to meet the application requirements. The direction angle error is acceptable within a few degrees to meet the application requirements. The accuracy of the improved algorithm is improved in intercepting effective speech signals. The terminal has short running time and delay time, small memory, and central processing unit (CPU) occupation and can meet the needs of users. The speech recognition accuracy of the financial self-service terminal basically reaches more than 80%, which can basically meet the daily needs.</t>
  </si>
  <si>
    <t>[Chen, Huizhong; Zhao, Jingfeng] Northwest Univ, Coll Econ &amp; Management, Xian, Peoples R China; [Chen, Shu] Zhanjiang Univ Sci &amp; Technol, Coll Accounting, Zhanjiang, Peoples R China</t>
  </si>
  <si>
    <t>Northwest University Xi'an</t>
  </si>
  <si>
    <t>Chen, S (corresponding author), Zhanjiang Univ Sci &amp; Technol, Coll Accounting, Zhanjiang, Peoples R China.</t>
  </si>
  <si>
    <t>31415425@njau.edu.cn</t>
  </si>
  <si>
    <t>artificial intelligence in ZhanjiangTaking Zhanjiang Institute of Science and Technology as an example [86, 2021B01024]; Zhanjiang University of Science and Technology Brand Promotion Program school-level Teaching Team Project: Accounting Professional Courses Ideological and Political Education Team [PPJH202108JXTD]; Research Project of Educational and Teaching Reform of Zhanjiang University of Science and Technology: Exploration of constructing the training mode of high-quality applied talents of five-integration accounting specialty [JG202116]</t>
  </si>
  <si>
    <t>artificial intelligence in ZhanjiangTaking Zhanjiang Institute of Science and Technology as an example; Zhanjiang University of Science and Technology Brand Promotion Program school-level Teaching Team Project: Accounting Professional Courses Ideological and Political Education Team; Research Project of Educational and Teaching Reform of Zhanjiang University of Science and Technology: Exploration of constructing the training mode of high-quality applied talents of five-integration accounting specialty</t>
  </si>
  <si>
    <t>This work was supported by the research on the transformation and practice of accounting professional training in universities under the background of artificial intelligence in ZhanjiangTaking Zhanjiang Institute of Science and Technology as an example [no. 86, Zhanke (2021), project number: 2021B01024]; Zhanjiang University of Science and Technology Brand Promotion Program school-level Teaching Team Project: Accounting Professional Courses Ideological and Political Education Team (project number: PPJH202108JXTD); Research Project of Educational and Teaching Reform of Zhanjiang University of Science and Technology: Exploration of constructing the training mode of high-quality applied talents of five-integration accounting specialty (project number: JG202116).</t>
  </si>
  <si>
    <t>MAR 29</t>
  </si>
  <si>
    <t>10.3389/fpsyg.2022.850092</t>
  </si>
  <si>
    <t>0U8FC</t>
  </si>
  <si>
    <t>WOS:000787882000001</t>
  </si>
  <si>
    <t>Kim, HJ; Parsa, N; Byrne, MF</t>
  </si>
  <si>
    <t>Kim, Hyun Jae; Parsa, Nasim; Byrne, Michael F.</t>
  </si>
  <si>
    <t>The role of artificial intelligence in colonoscopy</t>
  </si>
  <si>
    <t>SEMINARS IN COLON AND RECTAL SURGERY</t>
  </si>
  <si>
    <t>Artificial intelligence; Colonoscopy; Computer-aided detection; Computer-aided diagnosis</t>
  </si>
  <si>
    <t>COMPUTER-AIDED DETECTION; WHITE-LIGHT COLONOSCOPY; COLORECTAL LESIONS; DIAGNOSTIC SYSTEM; ADENOMA DETECTION; HEALTH-CARE; TIME; CLASSIFICATION; POLYPS; CANCER</t>
  </si>
  <si>
    <t>Recent advancements in artificial intelligence (AI) have had a profound impact on the field of gastrointestinal endoscopy, particularly in the realm of colonoscopy. Recent studies have shown excellent performance of AI models in both computer-aided detection (CADe) and computer-aided diagnosis (CADx) of polyps. Moreover, AI has shown promising results in other aspects of colonoscopy such as prediction of depth of tumor invasion, colonoscopy quality assurance, and AI applications in inflammatory bowel disease. In this review, we summarize the recent literature on the application of AI in colonoscopy, and review the limitations and challenges of existing AI technologies and future directions for this field.</t>
  </si>
  <si>
    <t>[Kim, Hyun Jae; Byrne, Michael F.] Univ British Columbia, Dept Gastroenterol, Vancouver, BC, Canada; [Parsa, Nasim] St Cloud Hosp, Program Esophageal &amp; Foregut Disorders, CentraCare, St Cloud, MN USA; [Kim, Hyun Jae] 1906-7388 Kingsway, Burnaby, BC V3N 0G9, Canada</t>
  </si>
  <si>
    <t>University of British Columbia</t>
  </si>
  <si>
    <t>Kim, HJ (corresponding author), 1906-7388 Kingsway, Burnaby, BC V3N 0G9, Canada.</t>
  </si>
  <si>
    <t>hyunjae.92@outlook.com</t>
  </si>
  <si>
    <t>Kim, Hong/AAR-4892-2020</t>
  </si>
  <si>
    <t>1043-1489</t>
  </si>
  <si>
    <t>1558-4585</t>
  </si>
  <si>
    <t>SEMIN COLON RECTAL S</t>
  </si>
  <si>
    <t>Semin. Colon Rectal Surg.</t>
  </si>
  <si>
    <t>10.1016/j.scrs.2024.101007</t>
  </si>
  <si>
    <t>PY6O2</t>
  </si>
  <si>
    <t>WOS:001217680500001</t>
  </si>
  <si>
    <t>Xu, XA; Liu, J</t>
  </si>
  <si>
    <t>Xu, Xing'an; Liu, Juan</t>
  </si>
  <si>
    <t>Artificial intelligence humor in service recovery</t>
  </si>
  <si>
    <t>ANNALS OF TOURISM RESEARCH</t>
  </si>
  <si>
    <t>Artificial intelligence; Service failure and recovery; Humorous response; Customer tolerance</t>
  </si>
  <si>
    <t>ROBOTS; RESPONSES; ADVISERS; FAILURE; TOURISM; USAGE</t>
  </si>
  <si>
    <t>With the growing prevalence of artificial intelligence (AI) technologies in the tourism and hospitality industry, the phenomenon of AI service failure emerges, which merits empirical attention. Via six scenario-based experiments, this study verifies why and how humorous responses from AI agents affect customers' tolerance of AI service failure. Findings confirm the positive impact of humorous response on customer tolerance. Results further reveal the mediating effects of perceived warmth and perceived competence along with boundaries (customer inoculation and time pressure) of the humor effect. These findings enhance knowledge of AI service failure and recovery by delineating the recovery effect of AI agents' humorous responses. This research also offers tourism companies a new tool, humorous response, for resolving AI service failures. (c) 2022 Elsevier Ltd. All rights reserved.</t>
  </si>
  <si>
    <t>[Xu, Xing'an; Liu, Juan] Hainan Univ, Sch Tourism, Haikou 570228, Hainan, Peoples R China</t>
  </si>
  <si>
    <t>Liu, J (corresponding author), Hainan Univ, Sch Tourism, Haikou 570228, Hainan, Peoples R China.</t>
  </si>
  <si>
    <t>juanliujl2022@163.com</t>
  </si>
  <si>
    <t>liu, juan/KMX-1895-2024</t>
  </si>
  <si>
    <t>Liu, Juan/0000-0001-7256-3724</t>
  </si>
  <si>
    <t>National Natural Science Foundation of China [71962006, 72162013]; Hainan Provincial Natural Science Foundation of China [722RC633]</t>
  </si>
  <si>
    <t>National Natural Science Foundation of China(National Natural Science Foundation of China (NSFC)); Hainan Provincial Natural Science Foundation of China</t>
  </si>
  <si>
    <t>This work was jointly supported by the National Natural Science Foundation of China (71962006 and 72162013) and the Hainan Provincial Natural Science Foundation of China (722RC633).</t>
  </si>
  <si>
    <t>0160-7383</t>
  </si>
  <si>
    <t>1873-7722</t>
  </si>
  <si>
    <t>ANN TOURISM RES</t>
  </si>
  <si>
    <t>Ann. Touris. Res.</t>
  </si>
  <si>
    <t>10.1016/j.annals.2022.103439</t>
  </si>
  <si>
    <t>Hospitality, Leisure, Sport &amp; Tourism; Sociology</t>
  </si>
  <si>
    <t>L3VY6</t>
  </si>
  <si>
    <t>WOS:001022581900001</t>
  </si>
  <si>
    <t>Milojevic, N; Redzepagic, S</t>
  </si>
  <si>
    <t>Milojevic, Nenad; Redzepagic, Srdjan</t>
  </si>
  <si>
    <t>Prospects of Artificial Intelligence and Machine Learning Application in Banking Risk Management</t>
  </si>
  <si>
    <t>JOURNAL OF CENTRAL BANKING THEORY AND PRACTICE</t>
  </si>
  <si>
    <t>Banking; Risk Management; Artificial Intelligence; Machine Learning; Deep Learning; Big Data Analytics</t>
  </si>
  <si>
    <t>Artificial intelligence and machine learning have increasing influence on the financial sector, but also on economy as a whole. The impact of artificial intelligence and machine learning on banking risk management has become particularly interesting after the global financial crisis. The research focus is on artificial intelligence and machine learning potential for further banking risk management improvement. The paper seeks to explore the possibility for successful implementation yet taking into account challenges and problems which might occur as well as potential solutions. Artificial intelligence and machine learning have potential to support the mitigation measures for the contemporary global economic and financial challenges, including those caused by the COVID-19 crisis. The main focus in this paper is on credit risk management, but also on analysing artificial intelligence and machine learning application in other risk management areas. It is concluded that a measured and well-prepared further application of artificial intelligence, machine learning, deep learning and big data analytics can have further positive impact, especially on the following risk management areas: credit, market, liquidity, operational risk, and other related areas.</t>
  </si>
  <si>
    <t>[Milojevic, Nenad] Mirabank Ad Belgrade, Belgrade, Serbia; [Redzepagic, Srdjan] Univ Cote dAzur, Grad Sch Econ &amp; Management, Nice, France</t>
  </si>
  <si>
    <t>Universite Cote d'Azur</t>
  </si>
  <si>
    <t>Milojevic, N (corresponding author), Mirabank Ad Belgrade, Belgrade, Serbia.</t>
  </si>
  <si>
    <t>nenad.m.milojevic@gmail.com; srdjan.redzepagic@univ-cotedazur.fr</t>
  </si>
  <si>
    <t>1800-9581</t>
  </si>
  <si>
    <t>2336-9205</t>
  </si>
  <si>
    <t>J CENT BANK THEOR PR</t>
  </si>
  <si>
    <t>J. Cent. Bank Theor. Pract.</t>
  </si>
  <si>
    <t>10.2478/jcbtp-2021-0023</t>
  </si>
  <si>
    <t>XO7XJ</t>
  </si>
  <si>
    <t>WOS:000730393300003</t>
  </si>
  <si>
    <t>Liu, YS; Wang, BB; Song, Z</t>
  </si>
  <si>
    <t>Liu, Yeshen; Wang, Beibei; Song, Zhe</t>
  </si>
  <si>
    <t>Promoting or inhibiting: The impact of artificial intelligence application on corporate environmental performance</t>
  </si>
  <si>
    <t>Artificial intelligence application; Environmental performance; Operating costs; Operational efficiency; Employee productivity</t>
  </si>
  <si>
    <t>MANAGEMENT; WORDS</t>
  </si>
  <si>
    <t>Existing research mainly focuses on the economic consequences of artificial intelligence (AI) applications for firms, while less attention is given to its non-economic effects. This study uses data from listed non-financial companies in China between 2008 and 2021, first comparing various methods to effectively measure firmlevel AI application and then assessing its impact on corporate environmental performance. The findings indicate that AI application enhances the growth of environmental performance. This growth comes primarily through decreased operating costs, increased operational efficiency, and enhanced employee productivity. AIpowered growth is concentrated among manufacturing firms and is associated with larger fixed assets. Additionally, it is concentrated in firms with lower conventional low-skilled labor and is linked to higher unconventional high-skilled labor. We also find that AI application more effectively translates environmental performance into reputation and market value. Overall, this study offers valuable insights and implications for environmental governance in emerging market firms.</t>
  </si>
  <si>
    <t>[Liu, Yeshen; Wang, Beibei; Song, Zhe] Nanjing Univ, Sch Business, Anzhong Bldg,16 Jinyin St, Nanjing 210093, Peoples R China</t>
  </si>
  <si>
    <t>Nanjing University</t>
  </si>
  <si>
    <t>Song, Z (corresponding author), Nanjing Univ, Sch Business, Anzhong Bldg,16 Jinyin St, Nanjing 210093, Peoples R China.</t>
  </si>
  <si>
    <t>602022020065@smail.nju.edu.cn; zsong1@nju.edu.cn</t>
  </si>
  <si>
    <t>Wang, Beibei/KFR-9925-2024</t>
  </si>
  <si>
    <t>Liu, Yeshen/0000-0002-1686-8176</t>
  </si>
  <si>
    <t>Nanjing Univ.'s New Era Liberal Arts Excellence Program's Medium to Long-term Research Project [2022300018]</t>
  </si>
  <si>
    <t>Nanjing Univ.'s New Era Liberal Arts Excellence Program's Medium to Long-term Research Project</t>
  </si>
  <si>
    <t>This study is supported by Nanjing Univ.'s New Era Liberal Arts Excellence Program's Medium to Long-term Research Project (2022300018) .</t>
  </si>
  <si>
    <t>10.1016/j.irfa.2024.103872</t>
  </si>
  <si>
    <t>R8J5R</t>
  </si>
  <si>
    <t>WOS:001393844300001</t>
  </si>
  <si>
    <t>Kundu, G; Virani, I; Shetty, R; Khamar, P; Nuijts, RMMA</t>
  </si>
  <si>
    <t>Kundu, Gairik; Virani, Imranali; Shetty, Rohit; Khamar, Pooja; Nuijts, Rudy M. M. A.</t>
  </si>
  <si>
    <t>Role of artificial intelligence in determining factors impacting patients' refractive surgery decisions</t>
  </si>
  <si>
    <t>INDIAN JOURNAL OF OPHTHALMOLOGY</t>
  </si>
  <si>
    <t>Artificial intelligence; machine learning; ophthalmologic surgical procedures; predictive analysis</t>
  </si>
  <si>
    <t>CATARACT-SURGERY; CARE; BARRIERS</t>
  </si>
  <si>
    <t>Purpose: To create a predictive model using artificial intelligence (AI) and assess if available data from patients' registration records can help in predicting definitive endpoints such as the probability of patients signing up for refractive surgery. Methods: This was a retrospective analysis. Electronic health records data of 423 patients presenting to the refractive surgery department were incorporated into models using multivariable logistic regression, decision trees classifier, and random forest (RF). Mean area under the receiver operating characteristic curve (ROC-AUC), sensitivity (Se), specificity (Sp), classification accuracy, precision, recall, and F1-score were calculated for each model to evaluate performance. Results: The RF classifier provided the best output among the various models, and the top variables identified in this study by the RF classifier excluding income were insurance, time spent in the clinic, age, occupation, residence, source of referral, and so on. About 93% of the cases that did undergo refractive surgery were correctly predicted as having undergone refractive surgery. The AI model achieved an ROC-AUC of 0.945 with an Se of 88% and Sp of 92.5%. Conclusion: This study demonstrated the importance of stratification and identifying various factors using an AI model which could impact patients' decisions while selecting a refractive surgery. Eye centers can build specialized prediction profiles across disease categories and may allow for the identification of prospective obstacles in the patient's decision-making process, as well as strategies for dealing with them.</t>
  </si>
  <si>
    <t>[Kundu, Gairik; Shetty, Rohit] Narayana Nethralaya, Dept Cornea &amp; Refract Surg, Bangalore, Karnataka, India; [Khamar, Pooja] Narayana Nethralaya, Dept Cataract &amp; Refract Surg, Bangalore, Karnataka, India; [Virani, Imranali] Carl Zeiss Meditec AG, Dept Refract Sales, Jena, Germany; [Nuijts, Rudy M. M. A.] Maastricht Univ, Med Ctr, Dept Ophthalmol, Maastricht, Netherlands; [Kundu, Gairik] Narayana Nethralaya, 121-C,Chord Rd,1st R Block, Bangalore 560010, Karnataka, India</t>
  </si>
  <si>
    <t>Carl Zeiss AG; Maastricht University</t>
  </si>
  <si>
    <t>Kundu, G (corresponding author), Narayana Nethralaya, 121-C,Chord Rd,1st R Block, Bangalore 560010, Karnataka, India.</t>
  </si>
  <si>
    <t>k.gairik@gmail.com</t>
  </si>
  <si>
    <t>Carl Zeiss Meditec AG, Germany</t>
  </si>
  <si>
    <t>This research was funded in part by Carl Zeiss Meditec AG, Germany.</t>
  </si>
  <si>
    <t>0301-4738</t>
  </si>
  <si>
    <t>1998-3689</t>
  </si>
  <si>
    <t>INDIAN J OPHTHALMOL</t>
  </si>
  <si>
    <t>Indian J. Ophthalmol.</t>
  </si>
  <si>
    <t>10.4103/IJO.IJO_2718_22</t>
  </si>
  <si>
    <t>G4WE9</t>
  </si>
  <si>
    <t>WOS:000989168300028</t>
  </si>
  <si>
    <t>Haddaji, A; Ayed, S; Fourati, LC</t>
  </si>
  <si>
    <t>Haddaji, Achref; Ayed, Samiha; Fourati, Lamia Chaari</t>
  </si>
  <si>
    <t>Artificial Intelligence techniques to mitigate cyber-attacks within vehicular networks: Survey?</t>
  </si>
  <si>
    <t>COMPUTERS &amp; ELECTRICAL ENGINEERING</t>
  </si>
  <si>
    <t>Vehicular networks; Artificial Intelligence; Machine learning; Security; Cyber-attack</t>
  </si>
  <si>
    <t>IN-VEHICLE; INTERNET; ARCHITECTURE; SYSTEMS; SCHEME; MODEL</t>
  </si>
  <si>
    <t>Rapid advancements in communication technology have made vehicular networks a reality with numerous applications. However, vehicular network security is still an open research problem. Artificial intelligence (AI) techniques have emerged to address these issues. AI and its variants are becoming more popular for detecting attacks and dealing with many types of security issues in vehicular networks. This paper presents a comprehensive survey of AI-based techniques for security issues in vehicular networks. We first give a background on vehicular networks and their vulnerabilities. In addition, assess AI fundamentals with their impact on vehicular security. Furthermore, we classify and compare the AI-based solutions related to security for vehicular networks by proposing a new taxonomy. Finally, we present an analysis of the works included in this survey.</t>
  </si>
  <si>
    <t>[Haddaji, Achref] Natl Sch Elect &amp; Telecommun Sfax, Sfax, Tunisia; [Haddaji, Achref; Ayed, Samiha] Univ Technol Troyes, LIST3N ERA, Troyes, France; [Haddaji, Achref; Fourati, Lamia Chaari] Sfax Univ, Digital Res Ctr Sfax CRNS, Lab Signals Syst aRtificial Intelligence neTworkS, Sfax, Tunisia</t>
  </si>
  <si>
    <t>Universite de Sfax; Universite de Technologie de Troyes; Centre de Recherche en Numerique de Sfax (CRNS); Universite de Sfax</t>
  </si>
  <si>
    <t>Haddaji, A (corresponding author), Sfax Univ, Digital Res Ctr Sfax CRNS, Lab Signals Syst aRtificial Intelligence neTworkS, Sfax, Tunisia.</t>
  </si>
  <si>
    <t>haddajiachref7@gmail.com; Samiha.ayed@utt.fr; lamiachaari1@gmail.com</t>
  </si>
  <si>
    <t>FOURATI, Lamia/AAQ-9134-2020</t>
  </si>
  <si>
    <t>HADDAJI, Achref/0000-0002-0388-9840</t>
  </si>
  <si>
    <t>0045-7906</t>
  </si>
  <si>
    <t>1879-0755</t>
  </si>
  <si>
    <t>COMPUT ELECTR ENG</t>
  </si>
  <si>
    <t>Comput. Electr. Eng.</t>
  </si>
  <si>
    <t>10.1016/j.compeleceng.2022.108460</t>
  </si>
  <si>
    <t>Computer Science, Hardware &amp; Architecture; Computer Science, Interdisciplinary Applications; Engineering, Electrical &amp; Electronic</t>
  </si>
  <si>
    <t>6Y2FP</t>
  </si>
  <si>
    <t>WOS:000896916300002</t>
  </si>
  <si>
    <t>Miller, GJ</t>
  </si>
  <si>
    <t>Miller, Gloria J.</t>
  </si>
  <si>
    <t>Stakeholder roles in artificial intelligence projects</t>
  </si>
  <si>
    <t>PROJECT LEADERSHIP AND SOCIETY</t>
  </si>
  <si>
    <t>Artificial intelligence; Algorithms; Project management; Stakeholder theory; Big data</t>
  </si>
  <si>
    <t>BIG DATA ANALYTICS; HUMAN-RIGHTS; IDENTIFICATION; ENGAGEMENT; MANAGEMENT; ETHICS</t>
  </si>
  <si>
    <t>Algorithmic decision-making implemented through artificial intelligence (AI) projects is augmenting or replacing human decision-making across numerous industries. Although AI systems may impact individuals and society in life-and-death situations, project organizations or plans may ignore the concerns of the passive stakeholders. This research describes the components, lifecycle, and characteristics of AI projects. It employs stakeholder theory and a systematic literature review with thematic analysis to identify and classify individuals, groups, and organizations into six stakeholder project roles. It configures the stakeholder salience model with a harm attribute to identify passive stakeholders-individuals affected by AI systems but powerless to affect the project-and their nexus to the project. The study contributes a novel method for identifying passive stakeholders and highlights the need to engage developers, operators, and representatives of passive stakeholders to achieve moral, ethical, and sustainable development.</t>
  </si>
  <si>
    <t>[Miller, Gloria J.] Maxmetrics, Heidelberg, Germany</t>
  </si>
  <si>
    <t>Miller, GJ (corresponding author), Maxmetrics, Heidelberg, Germany.</t>
  </si>
  <si>
    <t>g.j.m@ieee.org</t>
  </si>
  <si>
    <t>Miller, Gloria/D-7561-2016</t>
  </si>
  <si>
    <t>Miller, Gloria/0000-0003-2603-0980</t>
  </si>
  <si>
    <t>2666-7215</t>
  </si>
  <si>
    <t>PROJ LEADERSH SOC</t>
  </si>
  <si>
    <t>Proj. Leadersh. Soc.</t>
  </si>
  <si>
    <t>10.1016/j.plas.2022.100068</t>
  </si>
  <si>
    <t>C8S7K</t>
  </si>
  <si>
    <t>WOS:001292016300010</t>
  </si>
  <si>
    <t>Apablaza-Campos, A; Tinjacá, JAW; Salaverría, R</t>
  </si>
  <si>
    <t>Apablaza-Campos, Alexis; Tinjaca, Jaime Andres Wilches; Salaverria, Ramon</t>
  </si>
  <si>
    <t>Generative Artificial Intelligence for Journalistic Content in Ibero-America: Perceptions, Challenges and Regional</t>
  </si>
  <si>
    <t>BID-TEXTOS UNIVERSITARIS DE BIBLIOTECONOMIA I DOCUMENTACIO</t>
  </si>
  <si>
    <t>artificial intelligence; generative artificial intelligence; news content; news outlet</t>
  </si>
  <si>
    <t>SYSTEM; IMPACT; NEWS</t>
  </si>
  <si>
    <t>Introduction: : The increasing availability of artificial intelligence (AI) tools has brought with it various, increasingly advanced, uses for content production. Digital media editors have not been immune to the phenomenon, which is why there is growing interest, both professional and academic, regarding its possible uses. Objectives: : In this paper we seek to detect the experiences, challenges and projections regarding the use of artificial intelligence in the generation of news content. In turn, the specific objectives aim both to offer a general overview of journalistic experiences with AI and to study the results of a survey regarding the use of this technology in the production of content in IberoAmerica. Methodology: : A survey was conducted among 154 participants through a cycle of webinars held at four universities in Ibero-America during the second semester of 2023, corresponding to 14 countries in the region, including academics, researchers and students of Journalism (and related degrees in Social Communication), along with managers and journalists from prominent media outlets. Results: : although journalistic experiences with AI are still incipient in the region, the responses obtained show that most participants use generative AI tools every week, there is greater knowledge (and preference) for ChatGPT, , and there is a consensus regarding how artificial intelligence can bring great benefits if it has the proper regulations.</t>
  </si>
  <si>
    <t>[Apablaza-Campos, Alexis] Univ UNIACC, Providencia, Chile; [Tinjaca, Jaime Andres Wilches] Politecn Grancolombiano, Medelliin, Colombia; [Salaverria, Ramon] Univ Navarra, Navarra, Spain</t>
  </si>
  <si>
    <t>University of Navarra</t>
  </si>
  <si>
    <t>Apablaza-Campos, A (corresponding author), Univ UNIACC, Providencia, Chile.</t>
  </si>
  <si>
    <t>alexis.apablaza@uniacc.edu</t>
  </si>
  <si>
    <t>Salaverría, Ramón/D-8527-2013; Apablaza-Campos, Alexis/JFT-1307-2023</t>
  </si>
  <si>
    <t>UNIV BARCELONA, SERVEI PUBLICACIONS</t>
  </si>
  <si>
    <t>C ADOLF FLORENSA S-N, BARCELONA, 08028, SPAIN</t>
  </si>
  <si>
    <t>1575-5886</t>
  </si>
  <si>
    <t>BID-TEXTOS UNIV BIBL</t>
  </si>
  <si>
    <t>BiD-Textos Univ. Bibliotecon. Doc.</t>
  </si>
  <si>
    <t>10.1344/bid2024.52.06</t>
  </si>
  <si>
    <t>E3C0V</t>
  </si>
  <si>
    <t>WOS:001301801300002</t>
  </si>
  <si>
    <t>Zhang, XX; Chen, ZJ; Zhang, Y; Zhang, NN; Wang, YX</t>
  </si>
  <si>
    <t>Zhang, Xingxia; Chen, Zhaojun; Zhang, Ying; Zhang, Nana; Wang, Yuxin</t>
  </si>
  <si>
    <t>Psychological Mechanism of Language Cognition to Awaken Artificial Intelligence</t>
  </si>
  <si>
    <t>PSYCHOLOGICAL TRAUMA-THEORY RESEARCH PRACTICE AND POLICY</t>
  </si>
  <si>
    <t>artificial intelligence; biolinguistics; language cognition; psychological certainty; mental image</t>
  </si>
  <si>
    <t>Objective: The study of artificial intelligence needs tracing back to the working mechanism of the human brain, and based on simulating brain cognition activity, information technology is the most widely influential technology. Method: Language cognition is the core and foundation of human cognition. Biolinguistics' core problem about brain mechanisms (a psychological mechanism) is related to the development of human language cognition in that the cognitive process of humans is from the construction of mediation and language is the very cognitive mediation. The logical law of human language cognition algorithm is about the process of human cognitive psychology that is from the neurological stage, the psychological perception stage, and to the cognitive stage of symbols, which makes psychological certainty account for the connection from mental content to language meaning. Language cognition is where the awakening of artificial intelligence begins. First of all, humans produce mental images based on sensory perception and categories. The referential functions of mental images extend the human cognitive scope. Then, categorization is realized through the mediation of mental images. At the time the category is formed, the symbol is required. Language is involved in the thinking process in the cognitive stage of symbols to realize the construction of the mediation to represent the category abstracted from the concrete things. Results: Above all, human language metacognition is realized from the subject-predicate structure that is the grammatical structure on the surface but is throughout the whole process of human rational knowledge and configures the content of rational knowledge, which is the developmental goal of awakening artificial intelligence. Conclusions: The demonstration of this proposition is conducive to providing a theoretical basis for the research of the working mechanism of the human brain stimulated by artificial intelligence. Clinical Impact Statement Artificial intelligence is a driving force behind the study of the human brain's functioning mechanisms. Artificial intelligence is awakened by the language cognition of psychological mechanisms. Human language metacognition is realized from the subject-predicate structure, which is the grammatical structure on the surface. The cognitive process is gradually expanded and deepened in the process of continuous construction of language. Language is to involve in the thinking process the cognitive stage of symbols to realize the construction of the mediation for the purpose of representing the category abstracted from the concrete things.</t>
  </si>
  <si>
    <t>[Zhang, Xingxia] Hanyang Univ, Grad Sch Int Studies, Seoul, South Korea; [Chen, Zhaojun; Zhang, Ying; Zhang, Nana; Wang, Yuxin] Yantai Nanshan Univ, Sch Humanities, Nanshan Ind Pk, Longkou City, Shandong, Peoples R China; [Chen, Zhaojun] Xiamen Univ, Inst Educ, Xiamen, Peoples R China</t>
  </si>
  <si>
    <t>Hanyang University; Xiamen University</t>
  </si>
  <si>
    <t>Chen, ZJ (corresponding author), Yantai Nanshan Univ, Sch Humanities, Nanshan Ind Pk, Longkou City, Shandong, Peoples R China.</t>
  </si>
  <si>
    <t>c.zhaojun@yahoo.com</t>
  </si>
  <si>
    <t>EDUCATIONAL PUBLISHING FOUNDATION-AMERICAN PSYCHOLOGICAL ASSOC</t>
  </si>
  <si>
    <t>750 FIRST ST, NE, WASHINGTON, DC 20002-4242 USA</t>
  </si>
  <si>
    <t>1942-9681</t>
  </si>
  <si>
    <t>1942-969X</t>
  </si>
  <si>
    <t>PSYCHOL TRAUMA-US</t>
  </si>
  <si>
    <t>Psychol. Trauma</t>
  </si>
  <si>
    <t>10.1037/tra0001305</t>
  </si>
  <si>
    <t>AUG 2022</t>
  </si>
  <si>
    <t>Psychology, Clinical; Psychiatry</t>
  </si>
  <si>
    <t>Psychology; Psychiatry</t>
  </si>
  <si>
    <t>H6Q4D</t>
  </si>
  <si>
    <t>WOS:000835441100001</t>
  </si>
  <si>
    <t>Lu, MK; Yin, JY; Zhu, Q; Lin, GL; Mou, MJ; Liu, FY; Pan, ZQ; You, NX; Lian, XC; Li, FC; Zhang, HN; Zheng, LY; Zhang, W; Zhang, HY; Shen, ZH; Gu, Z; Li, HL; Zhu, F</t>
  </si>
  <si>
    <t>Lu, Mingkun; Yin, Jiayi; Zhu, Qi; Lin, Gaole; Mou, Minjie; Liu, Fuyao; Pan, Ziqi; You, Nanxin; Lian, Xichen; Li, Fengcheng; Zhang, Hongning; Zheng, Lingyan; Zhang, Wei; Zhang, Hanyu; Shen, Zihao; Gu, Zhen; Li, Honglin; Zhu, Feng</t>
  </si>
  <si>
    <t>Artificial Intelligence in Pharmaceutical Sciences</t>
  </si>
  <si>
    <t>ENGINEERING</t>
  </si>
  <si>
    <t>Artificial intelligence; Machine learning; Deep learning; Target identification; Target discovery; Drug design; Drug discovery</t>
  </si>
  <si>
    <t>TARGET INTERACTION PREDICTION; PROSTATE-CANCER PROGNOSIS; AMINO-ACID-COMPOSITION; DEEP NEURAL-NETWORKS; DRUG DISCOVERY; PROTEIN-STRUCTURE; IN-SILICO; BREAST-CANCER; WEB SERVER; MOLECULAR DESCRIPTORS</t>
  </si>
  <si>
    <t>Drug discovery and development affects various aspects of human health and dramatically impacts the pharmaceutical market. However, investments in a new drug often go unrewarded due to the long and complex process of drug research and development (R&amp;D). With the advancement of experimental technology and computer hardware, artificial intelligence (AI) has recently emerged as a leading tool in analyzing abundant and high-dimensional data. Explosive growth in the size of biomedical data provides advantages in applying AI in all stages of drug R&amp;D. Driven by big data in biomedicine, AI has led to a revolution in drug R&amp;D, due to its ability to discover new drugs more efficiently and at lower cost. This review begins with a brief overview of common AI models in the field of drug discovery; then, it summarizes and discusses in depth their specific applications in various stages of drug R&amp;D, such as target discovery, drug discovery and design, preclinical research, automated drug synthesis, and influences in the pharmaceutical market. Finally, the major limitations of AI in drug R&amp;D are fully discussed and possible solutions are proposed. (c) 2023 THE AUTHORS. Published by Elsevier LTD on behalf of Chinese Academy of Engineering and Higher Education Press Limited Company.</t>
  </si>
  <si>
    <t>[Lu, Mingkun; Yin, Jiayi; Zhu, Qi; Lin, Gaole; Mou, Minjie; Liu, Fuyao; Pan, Ziqi; You, Nanxin; Lian, Xichen; Li, Fengcheng; Zhang, Hongning; Zheng, Lingyan; Zhang, Wei; Zhang, Hanyu; Gu, Zhen; Zhu, Feng] Zhejiang Univ, Sch Med, Coll Pharmaceut Sci, Hangzhou 310058, Peoples R China; [Lu, Mingkun; Yin, Jiayi; Zhu, Qi; Lin, Gaole; Mou, Minjie; Liu, Fuyao; Pan, Ziqi; You, Nanxin; Lian, Xichen; Li, Fengcheng; Zhang, Hongning; Zheng, Lingyan; Zhang, Wei; Zhang, Hanyu; Gu, Zhen; Zhu, Feng] Zhejiang Univ, Sch Med, Affiliated Hosp 2, Hangzhou 310058, Peoples R China; [Shen, Zihao; Li, Honglin] East China Univ Sci &amp; Technol, Shanghai Key Lab New Drug Design, Shanghai 200237, Peoples R China; [Lu, Mingkun; Zheng, Lingyan; Zhu, Feng] Zhejiang Univ, Innovat Inst Artificial Intelligence Med, Alibaba Zhejiang Univ Joint Res Ctr Future Digita, Hangzhou 330110, Peoples R China; [Shen, Zihao; Li, Honglin] East China Normal Univ, Innovat Ctr AI &amp; Drug Discovery, Shanghai 200062, Peoples R China; [Li, Honglin] Lingang Lab, Shanghai 200031, Peoples R China</t>
  </si>
  <si>
    <t>Zhejiang University; Zhejiang University; East China University of Science &amp; Technology; Zhejiang University; East China Normal University; Lingang Laboratory</t>
  </si>
  <si>
    <t>Zhu, F (corresponding author), Zhejiang Univ, Sch Med, Coll Pharmaceut Sci, Hangzhou 310058, Peoples R China.;Zhu, F (corresponding author), Zhejiang Univ, Sch Med, Affiliated Hosp 2, Hangzhou 310058, Peoples R China.;Li, HL (corresponding author), East China Univ Sci &amp; Technol, Shanghai Key Lab New Drug Design, Shanghai 200237, Peoples R China.;Zhu, F (corresponding author), Zhejiang Univ, Innovat Inst Artificial Intelligence Med, Alibaba Zhejiang Univ Joint Res Ctr Future Digita, Hangzhou 330110, Peoples R China.;Li, HL (corresponding author), East China Normal Univ, Innovat Ctr AI &amp; Drug Discovery, Shanghai 200062, Peoples R China.;Li, HL (corresponding author), Lingang Lab, Shanghai 200031, Peoples R China.</t>
  </si>
  <si>
    <t>hlli@ecust.edu.cn; zhufeng@zju.edu.cn</t>
  </si>
  <si>
    <t>Shen, Zihao/JGD-1759-2023; Li, Honglin/F-2606-2010; Yin, jiayi/GXH-6469-2022; ZHU, QI/AAW-2099-2021; Lu, Mingkun/KHU-7118-2024; ZHU, Feng/X-2659-2018; Gu, Zhen/B-2312-2010; MOU, Minjie/AAQ-4279-2020; Zhang, Hongning/HFZ-7743-2022</t>
  </si>
  <si>
    <t>ZHANG, Hanyu/0000-0002-4728-7702; Zhang, Hongning/0000-0002-7818-7915; Lu, Mingkun/0000-0003-1522-6320; MOU, Minjie/0000-0001-7619-2975; PAN, Ziqi/0000-0002-3883-4161</t>
  </si>
  <si>
    <t>Natural Science Foundation of Zhejiang Province [LR21H300001]; National Key RAMP;D Program of China [2022YFC3400501]; National Natural Science Foundation of China [22220102001, U1909208, 81872798, 81825020]; Leading Talent of the ''Ten Thousand Plan-National High-Level Talents Special Support Plan of China; Fundamental Research Fund of Central University [2018QNA7023]; Key RAMP;D Program of Zhejiang Province [2020C03010]; ''Double Top-Class University [181201*194232101]; Westlake Laboratory (Westlake Laboratory of Life Sciences and Biomedicine); Alibaba-Zhejiang University Joint Research Center of Future Digital Healthcare; Alibaba Cloud, Information Technology Center of Zhejiang University</t>
  </si>
  <si>
    <t>Natural Science Foundation of Zhejiang Province(Natural Science Foundation of Zhejiang Province); National Key RAMP;D Program of China; National Natural Science Foundation of China(National Natural Science Foundation of China (NSFC)); Leading Talent of the ''Ten Thousand Plan-National High-Level Talents Special Support Plan of China; Fundamental Research Fund of Central University; Key RAMP;D Program of Zhejiang Province; ''Double Top-Class University; Westlake Laboratory (Westlake Laboratory of Life Sciences and Biomedicine); Alibaba-Zhejiang University Joint Research Center of Future Digital Healthcare; Alibaba Cloud, Information Technology Center of Zhejiang University</t>
  </si>
  <si>
    <t>This work was funded by the Natural Science Foundation of Zhejiang Province (LR21H300001), National Key R&amp;D Program of China (2022YFC3400501), National Natural Science Foundation of China (22220102001, U1909208, 81872798, and 81825020), Leading Talent of the ''Ten Thousand Plan-National High-Level Talents Special Support Plan of China, Fundamental Research Fund of Central University (2018QNA7023), Key R&amp;D Program of Zhejiang Province (2020C03010), ''Double Top-Class University (181201*194232101), Westlake Laboratory (Westlake Laboratory of Life Sciences and Biomedicine), Alibaba-Zhejiang University Joint Research Center of Future Digital Healthcare, and Alibaba Cloud, Information Technology Center of Zhejiang University.</t>
  </si>
  <si>
    <t>2095-8099</t>
  </si>
  <si>
    <t>2096-0026</t>
  </si>
  <si>
    <t>ENGINEERING-PRC</t>
  </si>
  <si>
    <t>10.1016/j.eng.2023.01.014</t>
  </si>
  <si>
    <t>NF9U6</t>
  </si>
  <si>
    <t>WOS:001199163700001</t>
  </si>
  <si>
    <t>Leite, KRM; Melo, PAD</t>
  </si>
  <si>
    <t>Leite, Katia Ramos Moreira; Melo, Petronio Augusto de Souza</t>
  </si>
  <si>
    <t>Artificial Intelligence in Uropathology</t>
  </si>
  <si>
    <t>uropathology; artificial intelligence; prostate cancer; bladder cancer; renal cell cancer; diagnosis; prognosis</t>
  </si>
  <si>
    <t>PROSTATE-CANCER; DIAGNOSIS; BIOPSIES; IMAGES</t>
  </si>
  <si>
    <t>The global population is currently at unprecedented levels, with an estimated 7.8 billion people inhabiting the planet. We are witnessing a rise in cancer cases, attributed to improved control of cardiovascular diseases and a growing elderly population. While this has resulted in an increased workload for pathologists, it also presents an opportunity for advancement. The accurate classification of tumors and identification of prognostic and predictive factors demand specialized expertise and attention. Fortunately, the rapid progression of artificial intelligence (AI) offers new prospects in medicine, particularly in diagnostics such as image and surgical pathology. This article explores the transformative impact of AI in the field of uropathology, with a particular focus on its application in diagnosing, grading, and prognosticating various urological cancers. AI, especially deep learning algorithms, has shown significant potential in improving the accuracy and efficiency of pathology workflows. This comprehensive review is dedicated to providing an insightful overview of the primary data concerning the utilization of AI in diagnosing, predicting prognosis, and determining drug responses for tumors of the urinary tract. By embracing these advancements, we can look forward to improved outcomes and better patient care.</t>
  </si>
  <si>
    <t>[Leite, Katia Ramos Moreira; Melo, Petronio Augusto de Souza] Univ Sao Paulo, Urol Dept, Lab Med Invest, Med Sch,LIM55, Av Dr Arnando 455, BR-01246903 Sao Paulo, Brazil</t>
  </si>
  <si>
    <t>Universidade de Sao Paulo</t>
  </si>
  <si>
    <t>Leite, KRM (corresponding author), Univ Sao Paulo, Urol Dept, Lab Med Invest, Med Sch,LIM55, Av Dr Arnando 455, BR-01246903 Sao Paulo, Brazil.</t>
  </si>
  <si>
    <t>katiaramos@usp.br; petroniomelo@usp.br</t>
  </si>
  <si>
    <t>Melo, Petronio/J-7678-2018</t>
  </si>
  <si>
    <t>10.3390/diagnostics14202279</t>
  </si>
  <si>
    <t>K1R7E</t>
  </si>
  <si>
    <t>WOS:001341728600001</t>
  </si>
  <si>
    <t>Rahman, MSS; Ozcan, A</t>
  </si>
  <si>
    <t>Sakib Rahman, Md Sadman; Ozcan, Aydogan</t>
  </si>
  <si>
    <t>Physics and artificial intelligence: illuminating the future of optics and photonics</t>
  </si>
  <si>
    <t>ADVANCED PHOTONICS</t>
  </si>
  <si>
    <t>physics; artificial intelligence; optics; photonics</t>
  </si>
  <si>
    <t>NEURAL-NETWORKS; LEARNING ALGORITHM; DEEP</t>
  </si>
  <si>
    <t>The 2024 Nobel Prize in Physics recognized John Hopfield and Geoffrey Hinton for their pioneering work on artificial neural networks, which profoundly impacted the physical sciences, particularly optics and photonics. This perspective summarizes the Nobel laureates' contributions, highlighting the physics-based principles and inspiration behind the development of modern artificial intelligence (AI) and also outlining some of the emerging major advances achieved in optics and photonics enabled by AI.</t>
  </si>
  <si>
    <t>[Sakib Rahman, Md Sadman; Ozcan, Aydogan] Univ Calif Los Angeles, Elect &amp; Comp Engn Dept, Los Angeles, CA 90095 USA; [Sakib Rahman, Md Sadman; Ozcan, Aydogan] Univ Calif Los Angeles, Bioengn Dept, Los Angeles, CA 90095 USA; [Sakib Rahman, Md Sadman; Ozcan, Aydogan] Univ Calif Los Angeles, Calif Nanosyst Inst, Los Angeles, CA 90095 USA</t>
  </si>
  <si>
    <t>University of California System; University of California Los Angeles; University of California System; University of California Los Angeles; University of California System; University of California Los Angeles</t>
  </si>
  <si>
    <t>Ozcan, A (corresponding author), Univ Calif Los Angeles, Elect &amp; Comp Engn Dept, Los Angeles, CA 90095 USA.;Ozcan, A (corresponding author), Univ Calif Los Angeles, Bioengn Dept, Los Angeles, CA 90095 USA.;Ozcan, A (corresponding author), Univ Calif Los Angeles, Calif Nanosyst Inst, Los Angeles, CA 90095 USA.</t>
  </si>
  <si>
    <t>mssr@ucla.edu; ozcan@ucla.edu</t>
  </si>
  <si>
    <t>SPIE-SOC PHOTO-OPTICAL INSTRUMENTATION ENGINEERS</t>
  </si>
  <si>
    <t>BELLINGHAM</t>
  </si>
  <si>
    <t>1000 20TH ST, PO BOX 10, BELLINGHAM, WA 98225 USA</t>
  </si>
  <si>
    <t>2577-5421</t>
  </si>
  <si>
    <t>ADV PHOTONICS</t>
  </si>
  <si>
    <t>Adv. Photonics</t>
  </si>
  <si>
    <t>10.1117/1.AP.6.5.050500</t>
  </si>
  <si>
    <t>Optics</t>
  </si>
  <si>
    <t>L1G8T</t>
  </si>
  <si>
    <t>WOS:001348286400007</t>
  </si>
  <si>
    <t>Yu, Y; Wang, JH; Liu, Y; Yu, PF; Wang, DS; Zheng, P; Zhang, M</t>
  </si>
  <si>
    <t>Yu, Yang; Wang, Jiahui; Liu, Yu; Yu, Pingfeng; Wang, Dongsheng; Zheng, Ping; Zhang, Meng</t>
  </si>
  <si>
    <t>Revisit the environmental impact of artificial intelligence: the overlooked carbon emission source?</t>
  </si>
  <si>
    <t>FRONTIERS OF ENVIRONMENTAL SCIENCE &amp; ENGINEERING</t>
  </si>
  <si>
    <t>Carbon emission; Artificial intelligence (AI); Training compute; Energy consumption; Economic analysis; Emission caps</t>
  </si>
  <si>
    <t>The boosting development of artificial intelligence (AI) is contributing to rapid exponential surge of computing power demand, which results in the concerns on the increased energy consumption and carbon emission. To highlight the environmental impact of AI, a quantified analysis on the carbon emission associated with AI systems was conducted in this study, with the hope of offering guidelines for police maker to setup emission limits or studies interested in this issue and beyond. It has been discovered that both industry and academia play pivotal roles in driving AI development forward. The carbon emissions from 79 prominent AI systems released between 2020 and 2024 were quantified. The projected total carbon footprint from the AI systems in the top 20 of carbon emissions could reach up to 102.6 Mt of CO2 equivalent per year. This could potentially have a substantial impact on the environmental market, exceeding $10 billion annually, especially considering potential carbon penalties in the near future. Hence, it is appealed to take proactive measures to develop quantitative analysis methodologies and establish appropriate standards for measuring carbon emissions associated with AI systems. Emission cap is also crucial to drive the industry to adopt more environmentally friendly practices and technologies, in order to build a more sustainable future for AI.</t>
  </si>
  <si>
    <t>[Yu, Yang; Wang, Jiahui; Yu, Pingfeng; Wang, Dongsheng; Zheng, Ping; Zhang, Meng] Zhejiang Univ, Coll Environm &amp; Resource Sci, Dept Environm Engn, Hangzhou 310058, Peoples R China; [Liu, Yu] Nankai Univ, Coll Environm Sci &amp; Engn, Engn Lab Low Carbon Unconvent Water Resources Util, Tianjin 300350, Peoples R China; [Yu, Pingfeng; Wang, Dongsheng; Zhang, Meng] Zhejiang Prov Key Lab Water Pollut Control &amp; Envir, Hangzhou 310058, Peoples R China; [Yu, Pingfeng; Wang, Dongsheng; Zhang, Meng] Zhejiang Univ, Innovat Ctr Yangtze River Delta, Jiashan 314100, Peoples R China</t>
  </si>
  <si>
    <t>Zhejiang University; Nankai University; Zhejiang University</t>
  </si>
  <si>
    <t>Zhang, M (corresponding author), Zhejiang Univ, Coll Environm &amp; Resource Sci, Dept Environm Engn, Hangzhou 310058, Peoples R China.;Zhang, M (corresponding author), Zhejiang Prov Key Lab Water Pollut Control &amp; Envir, Hangzhou 310058, Peoples R China.;Zhang, M (corresponding author), Zhejiang Univ, Innovat Ctr Yangtze River Delta, Jiashan 314100, Peoples R China.</t>
  </si>
  <si>
    <t>zhangm_environment@zju.edu.cn</t>
  </si>
  <si>
    <t>chen, yuqi/KBB-4137-2024; wang, dongsheng/A-6078-2017; Yu, Pingfeng/AAC-1411-2020</t>
  </si>
  <si>
    <t>Fundamental Research Funds for the Central Universities [226-2024-00010]; National Key Research and Development Program of China [2022YFC3203003]; Key Project of Natural Science Foundation of Zhejiang Province [LZ23E080004]</t>
  </si>
  <si>
    <t>Fundamental Research Funds for the Central Universities(Fundamental Research Funds for the Central Universities); National Key Research and Development Program of China(National Key Research &amp; Development Program of China); Key Project of Natural Science Foundation of Zhejiang Province</t>
  </si>
  <si>
    <t>This work was financially supported by the Fundamental Research Funds for the Central Universities (No. 226-2024-00010), the National Key Research and Development Program of China (No. 2022YFC3203003) and the Key Project of Natural Science Foundation of Zhejiang Province (No. LZ23E080004).</t>
  </si>
  <si>
    <t>HIGHER EDUCATION PRESS</t>
  </si>
  <si>
    <t>CHAOYANG DIST, 4, HUIXINDONGJIE, FUSHENG BLDG, BEIJING 100029, PEOPLES R CHINA</t>
  </si>
  <si>
    <t>2095-2201</t>
  </si>
  <si>
    <t>2095-221X</t>
  </si>
  <si>
    <t>FRONT ENV SCI ENG</t>
  </si>
  <si>
    <t>Front. Env. Sci. Eng.</t>
  </si>
  <si>
    <t>10.1007/s11783-024-1918-y</t>
  </si>
  <si>
    <t>Engineering, Environmental; Environmental Sciences</t>
  </si>
  <si>
    <t>Engineering; Environmental Sciences &amp; Ecology</t>
  </si>
  <si>
    <t>J5W8Q</t>
  </si>
  <si>
    <t>WOS:001337775800001</t>
  </si>
  <si>
    <t>Nashwan, AJ; Abujaber, AA</t>
  </si>
  <si>
    <t>Nashwan, Abdulqadir J.; Abujaber, Ahmad A.</t>
  </si>
  <si>
    <t>Nursing in the Artificial Intelligence (AI) Era: Optimizing Staffing for Tomorrow</t>
  </si>
  <si>
    <t>staff assignment; staffing; nursing shortage; nursing; artificial intelligence</t>
  </si>
  <si>
    <t>Amid the global nursing shortage, artificial intelligence (AI) offers a solution to align patient needs with nursing expertise, ensuring equitable workload distribution. Highlighting the transformative potential of artificial intelligence in healthcare, this editorial underscores its revolutionary impact on nursing staffing. By leveraging AI, we can enhance patient outcomes and operational efficiency and reduce staff burnout. However, challenges like data security and job stability arise. It is pivotal to emphasize its optimal integration, engaging nurses in decision-making, rigorous training, and prioritizing data security. This holistic approach ensures that contemporary healthcare practices benefit from AI's capabilities while upholding core values.</t>
  </si>
  <si>
    <t>[Nashwan, Abdulqadir J.; Abujaber, Ahmad A.] Hamad Med Corp, Nursing Dept, Doha, Qatar</t>
  </si>
  <si>
    <t>Hamad Medical Corporation</t>
  </si>
  <si>
    <t>Nashwan, AJ (corresponding author), Hamad Med Corp, Nursing Dept, Doha, Qatar.</t>
  </si>
  <si>
    <t>anashwan@hamad.qa</t>
  </si>
  <si>
    <t>ABUJABER, AHMAD/KIB-2200-2024; Nashwan, Abdulqadir/J-6241-2019</t>
  </si>
  <si>
    <t>Abujaber, Ahmad/0000-0002-8704-4991; Nashwan, Abdulqadir/0000-0003-4845-4119</t>
  </si>
  <si>
    <t>OCT 18</t>
  </si>
  <si>
    <t>e47275</t>
  </si>
  <si>
    <t>10.7759/cureus.47275</t>
  </si>
  <si>
    <t>Z1JK8</t>
  </si>
  <si>
    <t>WOS:001109714000029</t>
  </si>
  <si>
    <t>Thon, C; Finke, B; Kwade, A; Schilde, C</t>
  </si>
  <si>
    <t>Thon, Christoph; Finke, Benedikt; Kwade, Arno; Schilde, Carsten</t>
  </si>
  <si>
    <t>Artificial Intelligence in Process Engineering</t>
  </si>
  <si>
    <t>ADVANCED INTELLIGENT SYSTEMS</t>
  </si>
  <si>
    <t>artificial intelligence; hybrid modeling; mechanistic modeling; predictive modeling; process engineering</t>
  </si>
  <si>
    <t>NEURAL-NETWORKS; REPRESENTATION; MODELS; STATE</t>
  </si>
  <si>
    <t>In recent years, the field of Artificial Intelligence (AI) is experiencing a boom, caused by recent breakthroughs in computing power, AI techniques, and software architectures. Among the many fields being impacted by this paradigm shift, process engineering has experienced the benefits caused by AI. However, the published methods and applications in process engineering are diverse, and there is still much unexploited potential. Herein, the goal of providing a systematic overview of the current state of AI and its applications in process engineering is discussed. Current applications are described and classified according to a broader systematic. Current techniques, types of AI as well as pre-and post-processing will be examined similarly and assigned to the previously discussed applications. Given the importance of mechanistic models in process engineering as opposed to the pure black box nature of most of AI, reverse engineering strategies as well as hybrid modeling will be highlighted. Furthermore, a holistic strategy will be formulated for the application of the current state of AI in process engineering.</t>
  </si>
  <si>
    <t>[Thon, Christoph; Finke, Benedikt; Kwade, Arno; Schilde, Carsten] Tech Univ Braunschweig, Inst Particle Technol iPAT, Volkmaroder Str 5, D-38104 Braunschweig, Germany</t>
  </si>
  <si>
    <t>Braunschweig University of Technology</t>
  </si>
  <si>
    <t>Thon, C; Schilde, C (corresponding author), Tech Univ Braunschweig, Inst Particle Technol iPAT, Volkmaroder Str 5, D-38104 Braunschweig, Germany.</t>
  </si>
  <si>
    <t>c.thon@tu-bs.de; b.finke@tu-bs.de; a.kwade@tu-bs.de; c.schilde@tu-bs.de</t>
  </si>
  <si>
    <t>Kwade, Arno/AAV-7782-2021</t>
  </si>
  <si>
    <t>Thon, Christoph/0000-0001-9785-0586</t>
  </si>
  <si>
    <t>Ministry of Science and Culture (MWK) of Lower Saxony, Germany</t>
  </si>
  <si>
    <t>The authors want to thank the SMART BIOTECS alliance of Technische Universitat Braunschweig and the Leibniz Universitat Hannover. This initiative is supported by the Ministry of Science and Culture (MWK) of Lower Saxony, Germany.</t>
  </si>
  <si>
    <t>2640-4567</t>
  </si>
  <si>
    <t>ADV INTELL SYST-GER</t>
  </si>
  <si>
    <t>Adv. Intell. Syst.</t>
  </si>
  <si>
    <t>10.1002/aisy.202000261</t>
  </si>
  <si>
    <t>Automation &amp; Control Systems; Computer Science, Artificial Intelligence; Robotics</t>
  </si>
  <si>
    <t>Automation &amp; Control Systems; Computer Science; Robotics</t>
  </si>
  <si>
    <t>ZB7PS</t>
  </si>
  <si>
    <t>WOS:000757030300010</t>
  </si>
  <si>
    <t>Kharitonova, YS; Savina, VS; Pagnini, F</t>
  </si>
  <si>
    <t>Kharitonova, Yu S.; Savina, V. S.; Pagnini, F.</t>
  </si>
  <si>
    <t>ARTIFICIAL INTELLIGENCE'S ALGORITHMIC BIAS: ETHICAL AND LEGAL ISSUES</t>
  </si>
  <si>
    <t>VESTNIK PERMSKOGO UNIVERSITETA-JURIDICHESKIE NAUKI</t>
  </si>
  <si>
    <t>artificial intelligence; algorithmic bias; human rights; robotic performance; self-learning software; human-machine interaction; risks of artificial intelligence applications; standardization of artificial intelligence systems</t>
  </si>
  <si>
    <t>Introduction: this paper focuses on the legal problems of applying the artificial intelligence technology when solving socio-economic problems. The convergence of two disruptive technologies - Artificial Intelligence (AI) and Data Science - has created a fundamental transformation of social relations in various spheres of human life. A transformational role was played by classical areas of artificial intelligence such as algorithmic logic, planning, knowledge representation, modeling, autonomous systems, multiagent systems, expert systems (ES), decision support systems (DSS), simulation, pattern recognition, image processing, and natural language processing (NLP), as well as by special areas such as representation learning, machine learning, optimization, statistical modeling, mathematical modeling, data analytics, knowledge discovery, complexity science, computational intelligence, event analysis, behavior analysis, social network analysis, and also deep learning and cognitive computing. The mentioned AI and Big Data technologies are used in various business spheres to simplify and accelerate decision-making of different kinds and significance. At the same time, self-learning algorithms create or reproduce inequalities between participants in circulation, lead to discrimination of all kinds due to algorithmic bias. Purpose: to define the areas and directions of legal regulation of algorithmic bias in the application of artificial intelligence from the legal perspective, based on the analysis of Russian and foreign scientific concepts. Methods: empirical methods of comparison, description, interpretation; theoretical methods of formal and dialectical logic; special scientific methods such as the legal-dogmatic method and the method of interpretation of legal norms. Results: artificial intelligence has many advantages (it allows us to improve creativity, services and lifestyle, to enhance the security, helps in solving various problems), but at the same time it causes numerous concerns due to the harmful effects on individual autonomy, privacy, and fundamental human rights and freedoms. Algorithmic bias exists even when the algorithm developer has no intention to discriminate, and even when the recommendation system does not accept demographic information as input: even in the absence of this information, due to thorough analysis of the similarities between products and users, the algorithm may recommend a product to a very homogeneous set of users. The identified problems and risks of AI bias should be taken into consideration by lawyers and developers and should be mitigated to the fullest extent possible, both when developing ethical principles and requirements and in the field of legal policy and law at the national and supranational levels. The legal community sees the opportunity to solve the problem of algorithmic bias through various kinds of declarations, policies, and standards to be followed in the development, testing, and operation of AI systems. Conclusions: if left unaddressed, biased algorithms could lead to decisions that would have a disparate collective impact on specific groups of people even without the programmer's intent to make a distinction. The study of the anticipated and unintended consequences of applying AI algorithms is especially necessary today because the current public policy may be insufficient to identify, mitigate, and remedy the effects of such non-obvious bias on participants in legal relations. Solving the issues of algorithmic bias by technical means alone will not lead to the desired results. The world community recognizes the need to introduce standardization and develop ethical principles, which would ensure proper decision-making with the application of artificial intelligence. It is necessary to create special rules that would restrict algorithmic bias. Regardless of the areas where such violations are revealed, they have standard features of unfair behavior of the participants in social relations and can be qualified as violations of human rights or fair competition. Minimization of algorithmic bias is possible through the obligatory introduction into circulation of data in the form that would not allow explicit or implicit segregation of various groups of society, i.e. it should become possible to analyze only data without any explicit attributes of groups, data in their full diversity. As a result, the AI model would be built on the analysis of data from all socio-legal groups of society.</t>
  </si>
  <si>
    <t>[Kharitonova, Yu S.] Lomonosov Moscow State Univ, 1 Leninskie Gory, Moscow 119991, Russia; [Savina, V. S.] Plekhanov Russian Univ Econ, 36 Stremyanniy Lane, Moscow 117997, Russia; [Pagnini, F.] LOYTEC Elect GmbH, 35 Blumengasse, A-1170 Vienna, Austria</t>
  </si>
  <si>
    <t>Lomonosov Moscow State University; Plekhanov Russian University of Economics</t>
  </si>
  <si>
    <t>Kharitonova, YS (corresponding author), Lomonosov Moscow State Univ, 1 Leninskie Gory, Moscow 119991, Russia.</t>
  </si>
  <si>
    <t>sovet2009@rambler.ru; savin-viktoriya@yandex.ru; fabric3p@gmail.com</t>
  </si>
  <si>
    <t>Pagnini, Francesco/G-3808-2011; Savina, Victoria/G-2782-2014</t>
  </si>
  <si>
    <t>Haritonova, Ulia/0000-0001-7622-6215; Savina, Victoria/0000-0002-8385-9421</t>
  </si>
  <si>
    <t>PERM STATE NATL RESEARCH UNIV</t>
  </si>
  <si>
    <t>PERM</t>
  </si>
  <si>
    <t>UL BUKIREVA, 15, PERM, 614990, RUSSIA</t>
  </si>
  <si>
    <t>1995-4190</t>
  </si>
  <si>
    <t>VESTN PERMSK U-JURID</t>
  </si>
  <si>
    <t>Vestn. Permsk. Univ.-Jurid. Nauk.</t>
  </si>
  <si>
    <t>10.17072/1995-4190-2021-53-488-515</t>
  </si>
  <si>
    <t>WH3FT</t>
  </si>
  <si>
    <t>WOS:000707568900003</t>
  </si>
  <si>
    <t>Rawat, DB</t>
  </si>
  <si>
    <t>Rawat, Danda B.</t>
  </si>
  <si>
    <t>Artificial Intelligence Meets Tactical Autonomy: Challenges and Perspectives</t>
  </si>
  <si>
    <t>2022 IEEE 4TH INTERNATIONAL CONFERENCE ON COGNITIVE MACHINE INTELLIGENCE, COGMI</t>
  </si>
  <si>
    <t>IEEE 4th International Conference on Cognitive Machine Intelligence (CogMI)</t>
  </si>
  <si>
    <t>DEC 14-16, 2022</t>
  </si>
  <si>
    <t>Tactical autonomy; artificial intelligence; MDO; MDB; Advanced Battle Management Systems (ABMS); TEV/V</t>
  </si>
  <si>
    <t>Artificial Intelligence (AI) enabled systems have shown tremendous impact in our national defense and in our society due to recent advances in artificial neural networks, deep learning, machine learning, and Internet of Things, big data, computing and communications. New AI capabilities can improve efficiency, trust, and efficacy for mission critical applications for tactical autonomy with minimal supervision from human operators in multi-domain battlefield (MDB) environments that are complex, contested and unpredictable. Although AI-enabled tools have been responsive to people and complementary to human capabilities, in order to realize its full potential in tactical applications, there are several challenges to be addressed for making trustworthy, ethical, fair, real-time explainable AI-enabled autonomous systems. Collaborations between platforms/systems as well as joint human-machine learning/teaming could address many of these issues to provide trusted and shared understanding and delivering cost-effective and adaptive systems to assist operations across military domains (space, air, land, maritime, and cyber) at combat speed using a shared set of resources. In this paper, we present some challenges and perspectives for AI enabled tactical autonomy.</t>
  </si>
  <si>
    <t>[Rawat, Danda B.] Howard Univ, Dept Elect Engn &amp; Comp Sci EECS, DoD Ctr Excellence Artificial Intelligence &amp; Mach, Washington, DC 20059 USA</t>
  </si>
  <si>
    <t>Howard University</t>
  </si>
  <si>
    <t>Rawat, DB (corresponding author), Howard Univ, Dept Elect Engn &amp; Comp Sci EECS, DoD Ctr Excellence Artificial Intelligence &amp; Mach, Washington, DC 20059 USA.</t>
  </si>
  <si>
    <t>danda.rawat@howard.edu</t>
  </si>
  <si>
    <t>Rawat, Danda/B-2973-2012</t>
  </si>
  <si>
    <t>DoD Center of Excellence in AI and Machine Learning (CoE-AIML) at Howard University [W911NF-20-2-0277]; U.S. Army Research Laboratory</t>
  </si>
  <si>
    <t>DoD Center of Excellence in AI and Machine Learning (CoE-AIML) at Howard University; U.S. Army Research Laboratory(United States Department of DefenseUS Army Research Laboratory (ARL))</t>
  </si>
  <si>
    <t>This work was supported in part by the DoD Center of Excellence in AI and Machine Learning (CoE-AIML) at Howard University under Contract W911NF-20-2-0277 with the U.S. Army Research Laboratory. However, any opinion, finding, and conclusions or recommendations expressed in this document are those of the authors and should not be interpreted as necessarily representing the official policies, either expressed or implied, of the funding agency.</t>
  </si>
  <si>
    <t>978-1-6654-7406-1</t>
  </si>
  <si>
    <t>10.1109/CogMI56440.2022.00017</t>
  </si>
  <si>
    <t>BV0SS</t>
  </si>
  <si>
    <t>WOS:000977250500007</t>
  </si>
  <si>
    <t>Caliandro, P; Lenkowicz, J; Reale, G; Scaringi, S; Zauli, A; Uccheddu, C; Fabiole-Nicoletto, S; Patarnello, S; Damiani, A; Tagliaferri, L; Valente, I; Moci, M; Monforte, M; Valentini, V; Calabresi, P</t>
  </si>
  <si>
    <t>Caliandro, Pietro; Lenkowicz, Jacopo; Reale, Giuseppe; Scaringi, Simone; Zauli, Aurelia; Uccheddu, Christian; Fabiole-Nicoletto, Simone; Patarnello, Stefano; Damiani, Andrea; Tagliaferri, Luca; Valente, Iacopo; Moci, Marco; Monforte, Mauro; Valentini, Vincenzo; Calabresi, Paolo</t>
  </si>
  <si>
    <t>Artificial intelligence to predict individualized outcome of acute ischemic stroke patients: The SIBILLA project</t>
  </si>
  <si>
    <t>EUROPEAN STROKE JOURNAL</t>
  </si>
  <si>
    <t>Prognosis; acute ischemic stroke; artificial intelligence (AI); machine learning (ML); outcome prediction</t>
  </si>
  <si>
    <t>Introduction: Formulating reliable prognosis for ischemic stroke patients remains a challenging task. We aimed to develop an artificial intelligence model able to formulate in the first 24 h after stroke an individualized prognosis in terms of NIHSS. Patients and methods: Seven hundred ninety four acute ischemic stroke patients were divided into a training (597) and testing (197) cohort. Clinical and instrumental data were collected in the first 24 h. We evaluated the performance of four machine-learning models (Random Forest, K-Nearest Neighbors, Support Vector Machine, XGBoost) in predicting NIHSS at discharge both in terms of variation between discharge and admission (regressor approach) and in terms of severity class namely NIHSS 0-5, 6-10, 11-20, &gt;20 (classifier approach). We used Shapley Additive exPlanations values to weight features impact on predictions. Results: XGBoost emerged as the best performing model. The classifier and regressor approaches perform similarly in terms of accuracy (80% vs 75%) and f1-score (79% vs 77%) respectively. However, the regressor has higher precision (85% vs 68%) in predicting prognosis of very severe stroke patients (NIHSS &gt; 20). NIHSS at admission and 24 hours, GCS at 24 hours, heart rate, acute ischemic lesion on CT-scan and TICI score were the most impacting features on the prediction. Discussion: Our approach, which employs an artificial intelligence based-tool, inherently able to continuously learn and improve its performance, could improve care pathway and support stroke physicians in the communication with patients and caregivers. Conclusion: XGBoost reliably predicts individualized outcome in terms of NIHSS at discharge in the first 24 hours after stroke.</t>
  </si>
  <si>
    <t>[Caliandro, Pietro; Zauli, Aurelia; Monforte, Mauro; Calabresi, Paolo] Fdn Policlin Univ A Gemelli IRCCS, Unit Neurol, Lgo F Vito 1-00168, I-00135 Rome, Italy; [Lenkowicz, Jacopo; Patarnello, Stefano; Damiani, Andrea] Fdn Policlin Univ A Gemelli IRCCS, Real World Data Facil, Rome, Italy; [Reale, Giuseppe] Fdn Policlin Univ A Gemelli IRCCS, Unit High Intens Neurorehabil, Rome, Italy; [Scaringi, Simone; Uccheddu, Christian; Fabiole-Nicoletto, Simone] Ammagamma Srl, Via St Orsola 33, Modena, Italy; [Tagliaferri, Luca] Fdn Policlin Univ A Gemelli IRCCS, Unit Radiotherapy, Rome, Italy; [Valente, Iacopo] Fdn Policlin Univ A Gemelli IRCCS, Unit Intervent Neuroradiol, Rome, Italy; [Moci, Marco; Calabresi, Paolo] Univ Cattolica Sacro Cuore, Dept Neurosci, Rome, Italy; [Valentini, Vincenzo] Osped Isola Tiberina Gemelli Isola, Dept Oncol &amp; Radiol, Rome, Italy</t>
  </si>
  <si>
    <t>Catholic University of the Sacred Heart; IRCCS Policlinico Gemelli; Catholic University of the Sacred Heart; IRCCS Policlinico Gemelli; Catholic University of the Sacred Heart; IRCCS Policlinico Gemelli; Catholic University of the Sacred Heart; IRCCS Policlinico Gemelli; Catholic University of the Sacred Heart; IRCCS Policlinico Gemelli; Catholic University of the Sacred Heart; IRCCS Policlinico Gemelli</t>
  </si>
  <si>
    <t>Caliandro, P (corresponding author), Fdn Policlin Univ A Gemelli IRCCS, Unit Neurol, Lgo F Vito 1-00168, I-00135 Rome, Italy.</t>
  </si>
  <si>
    <t>pietro.caliandro@policlinicogemelli.it</t>
  </si>
  <si>
    <t>Damiani, Andrea/AAN-5278-2020; Valente, Iacopo/KUF-4606-2024; Reale, Giuseppe/IAR-6271-2023; Monforte, Mauro/J-2918-2018; Monforte, Mauro/AAS-7120-2021</t>
  </si>
  <si>
    <t>Valente, Iacopo/0000-0002-0451-2105; Moci, Marco/0000-0002-7893-1660; Monforte, Mauro/0000-0002-4327-6969</t>
  </si>
  <si>
    <t>Italian Ministry for University and Research (MUR) under the Program PON Research and Innovation supporting the development of the artificial intelligence platform Gemelli Generator at Fondazione Policlinico Universitario A. Gemelli IRCCS</t>
  </si>
  <si>
    <t>The author(s) disclosed receipt of the following financial support for the research, authorship, and/or publication of this article: This research received partial funding from the Italian Ministry for University and Research (MUR) under the Program PON Research and Innovation supporting the development of the artificial intelligence platform Gemelli Generator at Fondazione Policlinico Universitario A. Gemelli IRCCS.</t>
  </si>
  <si>
    <t>2396-9873</t>
  </si>
  <si>
    <t>2396-9881</t>
  </si>
  <si>
    <t>EUR STROKE J</t>
  </si>
  <si>
    <t>Eur. Stroke J.</t>
  </si>
  <si>
    <t>10.1177/23969873241253366</t>
  </si>
  <si>
    <t>N2A9J</t>
  </si>
  <si>
    <t>WOS:001229853600001</t>
  </si>
  <si>
    <t>Nuzzi, R; Boscia, G; Marolo, P; Ricardi, F</t>
  </si>
  <si>
    <t>Nuzzi, Raffaele; Boscia, Giacomo; Marolo, Paola; Ricardi, Federico</t>
  </si>
  <si>
    <t>The Impact of Artificial Intelligence and Deep Learning in Eye Diseases: A Review</t>
  </si>
  <si>
    <t>FRONTIERS IN MEDICINE</t>
  </si>
  <si>
    <t>artificial intelligence; machine learning; deep learning; neural network; teleophthalmology; ophthalmology</t>
  </si>
  <si>
    <t>VISUAL-FIELD PROGRESSION; DIABETIC-RETINOPATHY; MACULAR DEGENERATION; AUTOMATED IDENTIFICATION; COMPUTER-ANALYSIS; RETINAL IMAGES; VESSEL WIDTH; PLUS DISEASE; SYSTEM; PREMATURITY</t>
  </si>
  <si>
    <t>Artificial intelligence (AI) is a subset of computer science dealing with the development and training of algorithms that try to replicate human intelligence. We report a clinical overview of the basic principles of AI that are fundamental to appreciating its application to ophthalmology practice. Here, we review the most common eye diseases, focusing on some of the potential challenges and limitations emerging with the development and application of this new technology into ophthalmology.</t>
  </si>
  <si>
    <t>[Nuzzi, Raffaele; Boscia, Giacomo; Marolo, Paola; Ricardi, Federico] Univ Turin, Dept Surg Sci, Ophthalmol Unit, AOU City Hlth &amp; Sci Turin, Turin, Italy</t>
  </si>
  <si>
    <t>A.O.U. Citta della Salute e della Scienza di Torino; University of Turin</t>
  </si>
  <si>
    <t>Nuzzi, R (corresponding author), Univ Turin, Dept Surg Sci, Ophthalmol Unit, AOU City Hlth &amp; Sci Turin, Turin, Italy.</t>
  </si>
  <si>
    <t>prof.nuzzi_raffaele@hotmail.it</t>
  </si>
  <si>
    <t>Boscia, Giacomo/ABC-9093-2021; Marolo, Paola/ABD-8494-2021</t>
  </si>
  <si>
    <t>Boscia, Giacomo/0000-0002-8768-899X; Marolo, Paola/0000-0002-8881-0926</t>
  </si>
  <si>
    <t>2296-858X</t>
  </si>
  <si>
    <t>FRONT MED-LAUSANNE</t>
  </si>
  <si>
    <t>Front. Med.</t>
  </si>
  <si>
    <t>AUG 30</t>
  </si>
  <si>
    <t>10.3389/fmed.2021.710329</t>
  </si>
  <si>
    <t>UT9VK</t>
  </si>
  <si>
    <t>WOS:000698455200001</t>
  </si>
  <si>
    <t>Wang, YH</t>
  </si>
  <si>
    <t>Wang, Yuhua</t>
  </si>
  <si>
    <t>Artificial Intelligence Technologies in College English Translation Teaching</t>
  </si>
  <si>
    <t>JOURNAL OF PSYCHOLINGUISTIC RESEARCH</t>
  </si>
  <si>
    <t>Artificial intelligence technology; Machine translation; Mobile applications for education and translation; Online learning; Post-editing</t>
  </si>
  <si>
    <t>This paper explores the practical prospects for using artificial intelligence technologies in professional English-speaking translator education. At the online conference 'Translation Skills in Times of Artificial Intelligence' (DingTalk platform, January 2022), the teachers of higher education institutions in China prioritized the translator's competencies necessary for successful professional activity during the digital transformation of social and economic business relations. The educators also evaluated the demand for online services used in the education of English-Chinese interpreters. The survey results showed that the use of artificial intelligence technologies in educational practices could have a significant impact on the development of key competencies of future translators. Using a competency-based approach to interpreter training and considering the need to develop abilities, knowledge, and skills required for successful professional translation activity, the author developed the pedagogical concept of the online educational course 'Simultaneous and asynchronous translation in a digital environment.'</t>
  </si>
  <si>
    <t>[Wang, Yuhua] Huang Huai Univ, Int Language Sch, Kai Yuan Rd,76, Zhumadian 463000, Peoples R China</t>
  </si>
  <si>
    <t>Wang, YH (corresponding author), Huang Huai Univ, Int Language Sch, Kai Yuan Rd,76, Zhumadian 463000, Peoples R China.</t>
  </si>
  <si>
    <t>yuhuawang6@yahoo.com</t>
  </si>
  <si>
    <t>SPRINGER/PLENUM PUBLISHERS</t>
  </si>
  <si>
    <t>233 SPRING ST, NEW YORK, NY 10013 USA</t>
  </si>
  <si>
    <t>0090-6905</t>
  </si>
  <si>
    <t>1573-6555</t>
  </si>
  <si>
    <t>J PSYCHOLINGUIST RES</t>
  </si>
  <si>
    <t>J. Psycholinguist. Res.</t>
  </si>
  <si>
    <t>10.1007/s10936-023-09960-5</t>
  </si>
  <si>
    <t>Linguistics; Psychology, Experimental</t>
  </si>
  <si>
    <t>Linguistics; Psychology</t>
  </si>
  <si>
    <t>T0SL0</t>
  </si>
  <si>
    <t>WOS:000975435300001</t>
  </si>
  <si>
    <t>Rodriguez, RV; Sinha, S; Tripathi, S</t>
  </si>
  <si>
    <t>Rodriguez, Raul, V; Sinha, Sanjivni; Tripathi, Sakshi</t>
  </si>
  <si>
    <t>Impact of Artificial Intelligence on the health protection scheme in India</t>
  </si>
  <si>
    <t>Healthcare; Health protection scheme; Technological change; Artificial Intelligence; India</t>
  </si>
  <si>
    <t>Purpose - The purpose of the paper is to highlight the role of Artificial Intelligence (AI) in the healthcare industry through the Ayushman Bharat health protection scheme by analyzing various technologies being integrated to improve the customer service and experiences in India. The key focus lies on the understanding of the influence of AI in the healthcare system services, the clinical treatment, and the facilities to progress with accurate and precise health screening in India. Design/methodology/approach - A systematic study on the emerging technologies of AI and the applications in the healthcare sector is presented in the form of a viewpoint. Findings - AI certainly enhances experiential services; however, it cannot surpass the human touch which is an essential determinant of experiential healthcare services. AI acts as an effective complementary dimension to the future of healthcare. Originality/value - This viewpoint discusses the applications and role of AI with the help of relevant examples. It highlights the different technologies being applied and how they will be used in the future focusing upon the Ayushman Bharat health protection scheme in India.</t>
  </si>
  <si>
    <t>[Rodriguez, Raul, V] Woxsen Univ, Sch Business, Hyderabad, India; [Sinha, Sanjivni] Citius Tech, Mumbai, Maharashtra, India; [Tripathi, Sakshi] HDFC Bank, Mumbai, Maharashtra, India</t>
  </si>
  <si>
    <t>Woxsen University</t>
  </si>
  <si>
    <t>Rodriguez, RV (corresponding author), Woxsen Univ, Sch Business, Hyderabad, India.</t>
  </si>
  <si>
    <t>raulviro@gmail.com</t>
  </si>
  <si>
    <t>Rodriguez, Raul/AAC-5379-2020</t>
  </si>
  <si>
    <t>Villamarin Rodriguez, Dr. Raul/0000-0001-9831-905X</t>
  </si>
  <si>
    <t>10.1108/PAP-03-2020-0019</t>
  </si>
  <si>
    <t>VK7NV</t>
  </si>
  <si>
    <t>WOS:000751641400005</t>
  </si>
  <si>
    <t>Forero-Corba, W; Bennasar, FN</t>
  </si>
  <si>
    <t>Forero-Corba, Wiston; Bennasar, Francisca Negre</t>
  </si>
  <si>
    <t>Techniques and applications of Machine Learning and Artificial Intelligence in education: a systematic review</t>
  </si>
  <si>
    <t>machine learning; artificial intelligence; educational innovation; emerging technology; educational revolution</t>
  </si>
  <si>
    <t>Machine learning is a field of artificial intelligence that is impacting lately in all areas of knowledge. The areas of social sciences, especially education, are no stranger to it, so, a systematic review of the literature on the techniques and applications of machine learning and artificial intelligence in Education is performed. The lack of knowledge and skills of educators in machine learning and artificial intelligence limits the optimal implementation of these technologies in education. The objective of this research is to identify opportunities for improving teaching-learning processes and educational management at all levels of the educational context through the application of machine learning and artificial intelligence. The databases used for the bibliographic search were Web of Science and Scopus and the methodology applied is based on the PRISMA statement for obtaining and analyzing 55 articles published in high impact journals between the years 2021-2023. The results showed that the studies addressed a total of 33 machine learning and artificial intelligence techniques and multiple applications that were implemented in educational contexts at primary, secondary and higher education levels in 38 countries. The conclusions showed the strong impact of the use of machine learning and artificial intelligence. This impact is reflected in the use of different intelligent techniques in educational contexts and the increase of research in secondary schools on artificial intelligence.</t>
  </si>
  <si>
    <t>[Forero-Corba, Wiston; Bennasar, Francisca Negre] Univ Illes Balears, Illes Balears, Spain</t>
  </si>
  <si>
    <t>Universitat de les Illes Balears</t>
  </si>
  <si>
    <t>Forero-Corba, W (corresponding author), Univ Illes Balears, Illes Balears, Spain.</t>
  </si>
  <si>
    <t>Corba, Wiston/HPG-0999-2023</t>
  </si>
  <si>
    <t>Forero Corba, Wiston/0000-0002-8567-3954</t>
  </si>
  <si>
    <t>10.5944/ried.27.1.37491</t>
  </si>
  <si>
    <t>WOS:001137233600005</t>
  </si>
  <si>
    <t>Zhang, Z; Yang, S; Wang, XH</t>
  </si>
  <si>
    <t>Zhang, Zeng; Yang, Su; Wang, Xiuhong</t>
  </si>
  <si>
    <t>Schistocyte detection in artificial intelligence age</t>
  </si>
  <si>
    <t>INTERNATIONAL JOURNAL OF LABORATORY HEMATOLOGY</t>
  </si>
  <si>
    <t>artificial intelligence; clinical diseases; laboratory detection; schistocytes</t>
  </si>
  <si>
    <t>RED-BLOOD-CELLS; INTERNATIONAL COUNCIL; AUTOMATED MEASUREMENT; ICSH RECOMMENDATIONS; STANDARDIZATION; HEMATOLOGY; PARAMETER</t>
  </si>
  <si>
    <t>Schistocytes are fragmented red blood cells produced as a result of mechanical damage to erythrocytes, usually due to microangiopathic thrombotic diseases or mechanical factors. The early laboratory detection of schistocytes has a critical impact on the timely diagnosis, effective treatment, and positive prognosis of diseases such as thrombocytopenic purpura and hemolytic uremic syndrome. Due to the rapid development of science and technology, laboratory hematology has also advanced. The accuracy and efficiency of tests performed by fully automated hematology analyzers and fully automated morphology analyzers have been considerably improved. In recent years, substantial improvements in computing power and machine learning (ML) algorithm development have dramatically extended the limits of the potential of autonomous machines. The rapid development of machine learning and artificial intelligence (AI) has led to the iteration and upgrade of automated detection of schistocytes. However, along with significantly facilitated operation processes, AI has brought challenges. This review summarizes the progress in laboratory schistocyte detection, the relationship between schistocytes and clinical diseases, and the progress of AI in the detection of schistocytes. In addition, current challenges and possible solutions are discussed, as well as the great potential of AI techniques for schistocyte testing in peripheral blood.</t>
  </si>
  <si>
    <t>[Zhang, Zeng; Yang, Su; Wang, Xiuhong] Zhejiang Univ, Sir Run Run Shaw Hosp, Sch Med, Dept Clin Lab, Hangzhou, Zhejiang, Peoples R China; [Zhang, Zeng; Yang, Su; Wang, Xiuhong] Key Lab Precis Med Diag &amp; Monitoring Res Zhejiang, Hangzhou, Zhejiang, Peoples R China; [Yang, Su] Zhejiang Univ, Sir Run Run Shaw Hosp, Sch Med, Dept Clin Lab, Hangzhou 310016, Zhejiang, Peoples R China</t>
  </si>
  <si>
    <t>Zhejiang University; Zhejiang University</t>
  </si>
  <si>
    <t>Yang, S (corresponding author), Zhejiang Univ, Sir Run Run Shaw Hosp, Sch Med, Dept Clin Lab, Hangzhou 310016, Zhejiang, Peoples R China.</t>
  </si>
  <si>
    <t>21518362@zju.edu.cn</t>
  </si>
  <si>
    <t>Wang, Xiu-Hong/HSI-4450-2023</t>
  </si>
  <si>
    <t>Yang, Su/0000-0001-5609-3291</t>
  </si>
  <si>
    <t>1751-5521</t>
  </si>
  <si>
    <t>1751-553X</t>
  </si>
  <si>
    <t>INT J LAB HEMATOL</t>
  </si>
  <si>
    <t>Int. J. Lab. Hematol.</t>
  </si>
  <si>
    <t>10.1111/ijlh.14260</t>
  </si>
  <si>
    <t>Hematology</t>
  </si>
  <si>
    <t>OF9O0</t>
  </si>
  <si>
    <t>WOS:001183407900001</t>
  </si>
  <si>
    <t>Dahlin, E</t>
  </si>
  <si>
    <t>Dahlin, Eric</t>
  </si>
  <si>
    <t>Who Says Artificial Intelligence Is Stealing Our Jobs?</t>
  </si>
  <si>
    <t>SOCIUS</t>
  </si>
  <si>
    <t>artificial intelligence; employment; innovation; automation; technology</t>
  </si>
  <si>
    <t>DETERMINANTS; INEQUALITY; EARNINGS; FUTURE; RACE</t>
  </si>
  <si>
    <t>The author investigates survey respondents' reports of job displacement due to artificial intelligence (AI) and concerns about AI-related job displacement. Accordingly, the author examines explanations of AI exceptionalism-the view that AI technology is unique and will have different job-related outcomes compared with previous technological advances-and the vulnerability of underprivileged groups. The findings support the AI exceptionalism view, indicating that white-collar occupations and those with technical experience are more likely to be at risk. The study also reveals that concerns about job loss are widespread, but those who are more concerned are more likely to be vulnerable to workplace discrimination, not white-collar employees. The author concludes by emphasizing the need to develop new approaches for understanding AI's impacts in the labor market.</t>
  </si>
  <si>
    <t>[Dahlin, Eric] Brigham Young Univ, Provo, UT USA; [Dahlin, Eric] Brigham Young Univ, Dept Sociol, 2043 JFSB, Provo, UT 84602 USA</t>
  </si>
  <si>
    <t>Brigham Young University; Brigham Young University</t>
  </si>
  <si>
    <t>Dahlin, E (corresponding author), Brigham Young Univ, Dept Sociol, 2043 JFSB, Provo, UT 84602 USA.</t>
  </si>
  <si>
    <t>eric.dahlin@byu.edu</t>
  </si>
  <si>
    <t>2378-0231</t>
  </si>
  <si>
    <t>Socius</t>
  </si>
  <si>
    <t>10.1177/23780231241259672</t>
  </si>
  <si>
    <t>UX5U9</t>
  </si>
  <si>
    <t>WOS:001251385600001</t>
  </si>
  <si>
    <t>Fluke, CJ; Jacobs, C</t>
  </si>
  <si>
    <t>Fluke, Christopher J.; Jacobs, Colin</t>
  </si>
  <si>
    <t>Surveying the reach and maturity of machine learning and artificial intelligence in astronomy</t>
  </si>
  <si>
    <t>WILEY INTERDISCIPLINARY REVIEWS-DATA MINING AND KNOWLEDGE DISCOVERY</t>
  </si>
  <si>
    <t>artificial intelligence; astronomy; astrophysics; machine learning</t>
  </si>
  <si>
    <t>DIGITAL-SKY-SURVEY; CONVOLUTIONAL NEURAL-NETWORKS; ESTIMATING PHOTOMETRIC REDSHIFTS; SUPPORT VECTOR MACHINE; SELF-ORGANIZING MAPS; KILO-DEGREE SURVEY; SPECTRAL CLASSIFICATION; STRONG LENSES; DATA RELEASE; MORPHOLOGICAL CLASSIFICATION</t>
  </si>
  <si>
    <t>Machine learning (automated processes that learn by example in order to classify, predict, discover, or generate new data) and artificial intelligence (methods by which a computer makes decisions or discoveries that would usually require human intelligence) are now firmly established in astronomy. Every week, new applications of machine learning and artificial intelligence are added to a growing corpus of work. Random forests, support vector machines, and neural networks are now having a genuine impact for applications as diverse as discovering extrasolar planets, transient objects, quasars, and gravitationally lensed systems, forecasting solar activity, and distinguishing between signals and instrumental effects in gravitational wave astronomy. This review surveys contemporary, published literature on machine learning and artificial intelligence in astronomy and astrophysics. Applications span seven main categories of activity: classification, regression, clustering, forecasting, generation, discovery, and the development of new scientific insights. These categories form the basis of a hierarchy of maturity, as the use of machine learning and artificial intelligence emerges, progresses, or becomes established. This article is categorized under: Application Areas &gt; Science and Technology Fundamental Concepts of Data and Knowledge &gt; Motivation and Emergence of Data Mining Technologies &gt; Machine Learning</t>
  </si>
  <si>
    <t>[Fluke, Christopher J.] Swinburne Univ Technol, DRICP, Adv Visualisat Lab, Hawthorn, Vic, Australia; [Fluke, Christopher J.; Jacobs, Colin] Swinburne Univ Technol, Ctr Astrophys &amp; Supercomp, Mail H29,POB 218, Hawthorn, Vic 3122, Australia</t>
  </si>
  <si>
    <t>Swinburne University of Technology; Swinburne University of Technology</t>
  </si>
  <si>
    <t>Fluke, CJ (corresponding author), Swinburne Univ Technol, Ctr Astrophys &amp; Supercomp, Mail H29,POB 218, Hawthorn, Vic 3122, Australia.</t>
  </si>
  <si>
    <t>cfluke@swin.edu.au</t>
  </si>
  <si>
    <t>WILEY PERIODICALS, INC</t>
  </si>
  <si>
    <t>SAN FRANCISCO</t>
  </si>
  <si>
    <t>ONE MONTGOMERY ST, SUITE 1200, SAN FRANCISCO, CA 94104 USA</t>
  </si>
  <si>
    <t>1942-4787</t>
  </si>
  <si>
    <t>1942-4795</t>
  </si>
  <si>
    <t>WIRES DATA MIN KNOWL</t>
  </si>
  <si>
    <t>Wiley Interdiscip. Rev.-Data Mining Knowl. Discov.</t>
  </si>
  <si>
    <t>e1349</t>
  </si>
  <si>
    <t>10.1002/widm.1349</t>
  </si>
  <si>
    <t>DEC 2019</t>
  </si>
  <si>
    <t>KM9DF</t>
  </si>
  <si>
    <t>WOS:000503335100001</t>
  </si>
  <si>
    <t>Han, H; Li, R; Fu, DM; Zhou, HY; Zhan, ZH; Wu, Y; Meng, B</t>
  </si>
  <si>
    <t>Han, Hao; Li, Ran; Fu, Dongming; Zhou, Hongyou; Zhan, Zihao; Wu, Yi'ang; Meng, Bin</t>
  </si>
  <si>
    <t>Revolutionizing spinal interventions: a systematic review of artificial intelligence technology applications in contemporary surgery</t>
  </si>
  <si>
    <t>BMC SURGERY</t>
  </si>
  <si>
    <t>Review; Spinal surgery; Artificial Intelligence</t>
  </si>
  <si>
    <t>ANTERIOR CERVICAL DISKECTOMY; POSTOPERATIVE OUTCOMES; LEARNING ALGORITHMS; NEURAL-NETWORKS; LUMBAR FUSION; MACHINE; PREDICTION; CLASSIFICATION; VALIDATION; READMISSION</t>
  </si>
  <si>
    <t>Leveraging its ability to handle large and complex datasets, artificial intelligence can uncover subtle patterns and correlations that human observation may overlook. This is particularly valuable for understanding the intricate dynamics of spinal surgery and its multifaceted impacts on patient prognosis. This review aims to delineate the role of artificial intelligence in spinal surgery. A search of the PubMed database from 1992 to 2023 was conducted using relevant English publications related to the application of artificial intelligence in spinal surgery. The search strategy involved a combination of the following keywords: Artificial neural network, deep learning, artificial intelligence, spinal, musculoskeletal, lumbar, vertebra, disc, cervical, cord, stenosis, procedure, operation, surgery, preoperative, postoperative, and operative. A total of 1,182 articles were retrieved. After a careful evaluation of abstracts, 90 articles were found to meet the inclusion criteria for this review. Our review highlights various applications of artificial neural networks in spinal disease management, including (1) assessing surgical indications, (2) assisting in surgical procedures, (3) preoperatively predicting surgical outcomes, and (4) estimating the occurrence of various surgical complications and adverse events. By utilizing these technologies, surgical outcomes can be improved, ultimately enhancing the quality of life for patients.</t>
  </si>
  <si>
    <t>[Han, Hao; Li, Ran; Fu, Dongming; Zhou, Hongyou; Zhan, Zihao; Wu, Yi'ang; Meng, Bin] Soochow Univ, Affiliated Hosp 1, Dept Orthoped, Suzhou, Peoples R China</t>
  </si>
  <si>
    <t>Soochow University - China</t>
  </si>
  <si>
    <t>Meng, B (corresponding author), Soochow Univ, Affiliated Hosp 1, Dept Orthoped, Suzhou, Peoples R China.</t>
  </si>
  <si>
    <t>mengbinspine@163.com</t>
  </si>
  <si>
    <t>Jiangsu Provincial Key R&amp;D Programme-Social Development [BE2022730]</t>
  </si>
  <si>
    <t>Jiangsu Provincial Key R&amp;D Programme-Social Development</t>
  </si>
  <si>
    <t>This study was funded by Jiangsu Provincial Key R&amp;D Programme-Social Development (BE2022730).</t>
  </si>
  <si>
    <t>1471-2482</t>
  </si>
  <si>
    <t>BMC SURG</t>
  </si>
  <si>
    <t>BMC Surg.</t>
  </si>
  <si>
    <t>NOV 5</t>
  </si>
  <si>
    <t>10.1186/s12893-024-02646-2</t>
  </si>
  <si>
    <t>L6T1I</t>
  </si>
  <si>
    <t>WOS:001352011100003</t>
  </si>
  <si>
    <t>Zhang, TY; Tan, T; Samperna, R; Li, Z; Gao, Y; Wang, X; Han, LY; Yu, QF; Beets-Tan, RGH; Mann, RM</t>
  </si>
  <si>
    <t>Zhang, Tianyu; Tan, Tao; Samperna, Riccardo; Li, Zhang; Gao, Yuan; Wang, Xin; Han, Luyi; Yu, Qifeng; Beets-Tan, Regina G. H.; Mann, Ritse M.</t>
  </si>
  <si>
    <t>Radiomics and artificial intelligence in breast imaging: a survey</t>
  </si>
  <si>
    <t>Breast cancer; Artificial Intelligence; Radiomics; Magnetic resonance imaging; Mammography; Ultrasound</t>
  </si>
  <si>
    <t>PATHOLOGICAL COMPLETE RESPONSE; COMPUTER-AIDED DIAGNOSIS; CANCER MOLECULAR SUBTYPE; LYMPH-NODE METASTASIS; NEOADJUVANT CHEMOTHERAPY; MRI; MAMMOGRAPHY; PREDICTION; LESIONS; CLASSIFICATION</t>
  </si>
  <si>
    <t>Medical imaging techniques, such as mammography, ultrasound and magnetic resonance imaging, plays an integral role in the detection and characterization of breast cancer. Although computers are believed to gain an important role in the assessment of medical images for breast evaluation for at least two decades, their impact on performance has not lived up to expectations yet. With the continuous and rapid development of computer science, artificial intelligence (AI) approaches, like machine learning and deep learning, have been introduced for the analysis of medical images. Because of the remarkable advances in data extraction and analysis in medical imaging compared to conventional feature-based techniques, AI has reignited the interest in automated breast image interpretation. Extensive research is conducted on accurate detection and classification of breast lesions, and more specifically, the predictive and prognostic features of breast cancer by radiomics. Radiomics exploits the fact that image data is nowadays numerical and can also be used to generate quantitative biomarkers. In this comprehensive review, we cover the progress, application and challenge of radiomics and AI in breast cancer diagnosis in recent years, as well as the impact and significance of AI on future breast cancer research.</t>
  </si>
  <si>
    <t>[Zhang, Tianyu; Tan, Tao; Gao, Yuan; Wang, Xin; Han, Luyi; Beets-Tan, Regina G. H.; Mann, Ritse M.] Netherlands Canc Inst NKI, Dept Radiol, Plesmanlaan 121, NL-1066 CX Amsterdam, Netherlands; [Zhang, Tianyu; Gao, Yuan; Wang, Xin; Beets-Tan, Regina G. H.] Maastricht Univ, GROW Sch Oncol &amp; Dev Biol, POB 616, NL-6200 MD Maastricht, Netherlands; [Zhang, Tianyu; Samperna, Riccardo; Gao, Yuan; Wang, Xin; Han, Luyi; Mann, Ritse M.] Radboud Univ Nijmegen, Dept Radiol &amp; Nucl Med, Med Ctr, Geert Grootepl 10, NL-6525 GA Nijmegen, Netherlands; [Tan, Tao] Macao Polytech Univ, Fac Appl Sci, Macau 999078, Peoples R China; [Li, Zhang; Yu, Qifeng] Natl Univ Def Technol, Coll Aerosp Sci &amp; Engn, Changsha, Peoples R China; [Li, Zhang; Yu, Qifeng] Hunan Key Lab Image Measurement &amp; Vis Nav, Changsha, Hunan, Peoples R China</t>
  </si>
  <si>
    <t>Netherlands Cancer Institute; Maastricht University; Radboud University Nijmegen; Macao Polytechnic University; National University of Defense Technology - China</t>
  </si>
  <si>
    <t>Tan, T (corresponding author), Netherlands Canc Inst NKI, Dept Radiol, Plesmanlaan 121, NL-1066 CX Amsterdam, Netherlands.;Tan, T (corresponding author), Macao Polytech Univ, Fac Appl Sci, Macau 999078, Peoples R China.</t>
  </si>
  <si>
    <t>tao.tan911@gmail.com</t>
  </si>
  <si>
    <t>zhang, tianyu/IAP-2927-2023; Gao, Yuan/R-2770-2019</t>
  </si>
  <si>
    <t>Zhang, Tianyu/0000-0001-9891-6874; xie, hui/0000-0002-8490-1695</t>
  </si>
  <si>
    <t>SUPPL 1</t>
  </si>
  <si>
    <t>10.1007/s10462-023-10543-y</t>
  </si>
  <si>
    <t>U9KW4</t>
  </si>
  <si>
    <t>WOS:001021513200001</t>
  </si>
  <si>
    <t>Zúñiga, CPC; Martínez, RCJ; Velázquez, MR; Santamaría, DRA</t>
  </si>
  <si>
    <t>Cisneros Zuniga, Cinthya Paulina; Jimenez Martinez, Roberto Carlos; Ricardo Velazquez, Manuel; Andrade Santamaria, Danilo Rafael</t>
  </si>
  <si>
    <t>ARTIFICIAL INTELLIGENCE: CHALLENGES FOR THE ECUADORIAN LABOR REGULATORY FRAMEWORK</t>
  </si>
  <si>
    <t>Artificial intelligence; labor law; legislation; social security</t>
  </si>
  <si>
    <t>The development of machinery, technological, digital, biological and other advances in recent times, unleashed what is known as the Fourth Industrial Revolution or Industry 4.0, with predominance of the implementation of artificial intelligence programmed and operated by humans, the consequence of which is that a considerable number of workers were replaced in the productive activity. In accordance with the vertiginous progress of science, it is considered that the replacement of man by machines generates an impact that in the future could have repercussions on the fragile social security system of Ecuador due to a possible decrease of affiliates, a situation that has been a reality in other countries with greater technological development, which have even presented conflicts of an ethical nature involving business and union interests. This work addressed situations in which artificial intelligence could be legislated in the country. A relational type of research was developed, using techniques such as the criteria of experts and professionals in the areas of Computer Science and Law, which allowed contrasting the positions of the researchers. The main results identified potential conditions that would require regulation in the Ecuadorian regulatory context.</t>
  </si>
  <si>
    <t>[Cisneros Zuniga, Cinthya Paulina; Jimenez Martinez, Roberto Carlos; Ricardo Velazquez, Manuel; Andrade Santamaria, Danilo Rafael] Univ Reg Autonoma Los Andes, Quevedo, Ecuador</t>
  </si>
  <si>
    <t>Zúñiga, CPC (corresponding author), Univ Reg Autonoma Los Andes, Quevedo, Ecuador.</t>
  </si>
  <si>
    <t>up.cynthiacisneros@uniandes.edu.ec; up.robertojimenez@uniandes.edu.ec; up.manuelricardo@uniandes.edu.ec; up.daniloandrade@uniandes.edu.ec</t>
  </si>
  <si>
    <t>XJ1ME</t>
  </si>
  <si>
    <t>WOS:000726560400045</t>
  </si>
  <si>
    <t>Yamada, A; Kamagata, K; Hirata, K; Ito, R; Nakaura, T; Ueda, D; Fujita, S; Fushimi, Y; Fujima, N; Matsui, Y; Tatsugami, F; Nozaki, T; Fujioka, T; Yanagawa, M; Tsuboyama, T; Kawamura, M; Naganawa, S</t>
  </si>
  <si>
    <t>Yamada, Akira; Kamagata, Koji; Hirata, Kenji; Ito, Rintaro; Nakaura, Takeshi; Ueda, Daiju; Fujita, Shohei; Fushimi, Yasutaka; Fujima, Noriyuki; Matsui, Yusuke; Tatsugami, Fuminari; Nozaki, Taiki; Fujioka, Tomoyuki; Yanagawa, Masahiro; Tsuboyama, Takahiro; Kawamura, Mariko; Naganawa, Shinji</t>
  </si>
  <si>
    <t>Clinical applications of artificial intelligence in liver imaging</t>
  </si>
  <si>
    <t>Liver imaging; Artificial intelligence; Latent Dirichlet allocation; Topic analysis</t>
  </si>
  <si>
    <t>20TH ANNIVERSARY ISSUE; HEPATOCELLULAR-CARCINOMA; SEGMENTATION; RADIOMICS; DIAGNOSIS; FEATURES; RISK</t>
  </si>
  <si>
    <t>This review outlines the current status and challenges of the clinical applications of artificial intelligence in liver imaging using computed tomography or magnetic resonance imaging based on a topic analysis of PubMed search results using latent Dirichlet allocation. LDA revealed that segmentation, hepatocellular carcinoma and radiomics, metastasis, fibrosis, and reconstruction were current main topic keywords. Automatic liver segmentation technology using deep learning is beginning to assume new clinical significance as part of whole-body composition analysis. It has also been applied to the screening of large populations and the acquisition of training data for machine learning models and has resulted in the development of imaging biomarkers that have a significant impact on important clinical issues, such as the estimation of liver fibrosis, recurrence, and prognosis of malignant tumors. Deep learning reconstruction is expanding as a new technological clinical application of artificial intelligence and has shown results in reducing contrast and radiation doses. However, there is much missing evidence, such as external validation of machine learning models and the evaluation of the diagnostic performance of specific diseases using deep learning reconstruction, suggesting that the clinical application of these technologies is still in development.</t>
  </si>
  <si>
    <t>[Yamada, Akira] Shinshu Univ, Dept Radiol, Sch Med, Matsumoto, Nagano, Japan; [Kamagata, Koji] Juntendo Univ, Dept Radiol, Grad Sch Med, Bunkyo Ku, Tokyo, Japan; [Hirata, Kenji] Hokkaido Univ Hosp, Dept Nucl Med, Sapporo, Japan; [Ito, Rintaro; Kawamura, Mariko; Naganawa, Shinji] Nagoya Univ, Dept Radiol, Grad Sch Med, Nagoya, Aichi, Japan; [Nakaura, Takeshi] Kumamoto Univ, Dept Diagnost Radiol, Grad Sch Med, Chuo Ku, Kumamoto, Japan; [Ueda, Daiju] Osaka Metropolitan Univ, Grad Sch Med, Dept Diagnost &amp; Intervent Radiol, Abeno Ku, Osaka, Japan; [Fujita, Shohei] Univ Tokyo, Dept Radiol, Tokyo, Japan; [Fushimi, Yasutaka] Kyoto Univ, Dept Diagnost Imaging &amp; Nucl Med, Grad Sch Med, Sakyo ku, Kyoto, Japan; [Fujima, Noriyuki] Hokkaido Univ Hosp, Dept Diagnost &amp; Intervent Radiol, Sapporo, Japan; [Matsui, Yusuke] Okayama Univ, Fac Med Dent &amp; Pharmaceut Sci, Dept Radiol, Kita Ku, Okayama, Japan; [Tatsugami, Fuminari] Hiroshima Univ, Dept Diagnost Radiol, Minami Ku, Hiroshima, Hiroshima, Japan; [Nozaki, Taiki] St Lukes Int Hosp, Dept Radiol, Tokyo, Japan; [Fujioka, Tomoyuki] Tokyo Med &amp; Dent Univ, Dept Diagnost Radiol, Tokyo, Japan; [Yanagawa, Masahiro; Tsuboyama, Takahiro] Osaka Univ, Dept Radiol, Grad Sch Med, Suita, Osaka, Japan</t>
  </si>
  <si>
    <t>Shinshu University; Juntendo University; Hokkaido University; Nagoya University; Kumamoto University; University of Tokyo; Kyoto University; Hokkaido University; Okayama University; Hiroshima University; St. Luke's International Hospital; Institute of Science Tokyo; Tokyo Medical &amp; Dental University (TMDU); Osaka University</t>
  </si>
  <si>
    <t>Yamada, A (corresponding author), Shinshu Univ, Dept Radiol, Sch Med, Matsumoto, Nagano, Japan.</t>
  </si>
  <si>
    <t>a_yamada@shinshu-u.ac.jp</t>
  </si>
  <si>
    <t>Ueda, Daiju/AAG-2167-2021; 倫太郎, 伊藤/AFH-9268-2022; Fushimi, Yasutaka/L-8922-2017; Yanagawa, Masahiro/AAD-2306-2022; Naganawa, Shinji/I-1572-2012; 鎌形, 康司/AFL-9072-2022; Fujima, Noriyuki/AAF-7270-2020; Yamada, Akira/AAD-1536-2019</t>
  </si>
  <si>
    <t>Yanagawa, Masahiro/0000-0002-0911-6769; Yamada, Akira/0000-0002-4199-203X</t>
  </si>
  <si>
    <t>Grants-in-Aid for Scientific Research [21K07712] Funding Source: KAKEN</t>
  </si>
  <si>
    <t>10.1007/s11547-023-01638-1</t>
  </si>
  <si>
    <t>I6DF2</t>
  </si>
  <si>
    <t>WOS:000984153500001</t>
  </si>
  <si>
    <t>Vasquez, FGZ; Poveda, DAM; Mora, DPM</t>
  </si>
  <si>
    <t>Vasquez, Freddy Giovanni Zuniga; Poveda, Diego Alejandro Mora; Mora, Diego Patricio Molina</t>
  </si>
  <si>
    <t>THE IMPORTANCE OF ARTIFICIAL INTELLIGENCE IN MARKETING PROCESS COMMUNICATIONS</t>
  </si>
  <si>
    <t>VIVAT ACADEMIA</t>
  </si>
  <si>
    <t>marketing; artificial intelligence; AI; digital marketing</t>
  </si>
  <si>
    <t>These days it is no longer unusual to talk about marketing, and what is involved in its use within organizations, we know that it deals with every possible interaction between companies and people, and why not say it, marketing allows achieve organizational objectives by creating increasingly adaptable and intelligent experiences for customers, for this it is necessary to deploy three types of capabilities: creative, analytical and technological, in the use of these capabilities is where employment intervenes of artificial intelligence; the correct application of this, allows the optimization of resources and reduction of costs; but above all it has a transcendental impact for clients, since it makes it easier to anticipate their needs and offer solutions to them, even before they look for them through predictive analysis; or, using cookies, deep learning techniques and the use of chatbot, data can be obtained from various sources of information to create advertising content that is as personalized as possible. This article aims to carry out an exhaustive bibliographic review on this subject, based on information that has been published in scientific databases, which allows obtaining a reference framework on the importance of the use of artificial intelligence in marketing, which affirms that the use of AI in current marketing is vital for the evolution, adaptability and survival of organizations in this new world of digital transformation 4.0.</t>
  </si>
  <si>
    <t>[Vasquez, Freddy Giovanni Zuniga; Mora, Diego Patricio Molina] Technol Super Univ Spain, Guayaquil, Ecuador; [Poveda, Diego Alejandro Mora] Tech Univ Ambato, Ambato, Ecuador</t>
  </si>
  <si>
    <t>Universidad Tecnica de Ambato</t>
  </si>
  <si>
    <t>Vasquez, FGZ (corresponding author), Technol Super Univ Spain, Guayaquil, Ecuador.</t>
  </si>
  <si>
    <t>freddy.zuniga@iste.edu.ec; da.mora@uta.edu.ec; diego.molina@iste.edu.ec</t>
  </si>
  <si>
    <t>FORUM XXI</t>
  </si>
  <si>
    <t>CALLE CINE 38 BAJO DERECHA, MADRID, SPAIN</t>
  </si>
  <si>
    <t>1575-2844</t>
  </si>
  <si>
    <t>VIVAT ACAD</t>
  </si>
  <si>
    <t>Vivat Acad.</t>
  </si>
  <si>
    <t>10.15178/va.2023.156.e1474</t>
  </si>
  <si>
    <t>J8TU4</t>
  </si>
  <si>
    <t>WOS:001012302500001</t>
  </si>
  <si>
    <t>Neilson, B</t>
  </si>
  <si>
    <t>Neilson, Ben</t>
  </si>
  <si>
    <t>Artificial Intelligence Authoring Financial Recommendations: Comparative Australian Evidence</t>
  </si>
  <si>
    <t>JOURNAL OF FINANCIAL REGULATION</t>
  </si>
  <si>
    <t>ChatGPT; artificial intelligence; financial recommendation; regulation</t>
  </si>
  <si>
    <t>This article explores the use of artificial intelligence software to create financial recommendations. It seeks to define the impacts and outline the benefits of using ChatGPT software in the highly regulated Australian financial sector. ChatGPT was asked to create a financial recommendation, which was evaluated against the relevant regulations and the recommendations of existing professionals and market contributors. The data generated was analysed using Qualtrics analysis techniques. The findings suggest that ChatGPT significantly reduces the time required to carry out creation, input, and editing services for simple financial advice recommendations. However, ChatGPT fails to operate effectively with complex financial advice and requires professional guidance to ensure regulatory adherence. In future, it may be possible to develop ChatGPT as a complementary tool to decrease the time and cost required to create financial recommendations.</t>
  </si>
  <si>
    <t>[Neilson, Ben] Univ Southern Queensland, POB 8010, Bargara, Qld 4670, Australia</t>
  </si>
  <si>
    <t>University of Southern Queensland</t>
  </si>
  <si>
    <t>Neilson, B (corresponding author), Univ Southern Queensland, POB 8010, Bargara, Qld 4670, Australia.</t>
  </si>
  <si>
    <t>Neilson, Ben/0000-0002-9996-5923</t>
  </si>
  <si>
    <t>2053-4833</t>
  </si>
  <si>
    <t>2053-4841</t>
  </si>
  <si>
    <t>J FINANC REGUL</t>
  </si>
  <si>
    <t>J. Financ. Regul.</t>
  </si>
  <si>
    <t>OCT 23</t>
  </si>
  <si>
    <t>10.1093/jfr/fjad004</t>
  </si>
  <si>
    <t>U4GZ5</t>
  </si>
  <si>
    <t>WOS:000989056600001</t>
  </si>
  <si>
    <t>Moneus, AM; Sahari, Y</t>
  </si>
  <si>
    <t>Moneus, Ahmed Mohammed; Sahari, Yousef</t>
  </si>
  <si>
    <t>Artificial intelligence and human translation: A contrastive study based on legal texts</t>
  </si>
  <si>
    <t>Artificial intelligence; Translation software; Machine translation; Human translation; Legal translation</t>
  </si>
  <si>
    <t>Artificial intelligence has advanced significantly in recent years, affecting multiple aspects of life. In particular, this has had an impact on the machine translation of texts, reducing or removing human interaction. Artificial intelligence (AI)-based translation software models have thus become widely available, and these now include Google Translate, Bing, Microsoft Translator, DeepL, Reverso, Systran Translate, and Amazon Translate. Several computer-aided translation (CAT) tools such as Memoq, Trados, Smartcat, Lokalise, Smartling, Crowdin, TextUnited, and Memsource are also available. More recently, artificial intelligence has been applied in the development of applications such as ChatGPT, ChatSonic, GPT-3 Playground, Chat GPT 4 and YouChat, which simulate conversational responses to researchers' inquiries, mimicking human interactions more directly. This study thus aimed to examine any remaining contrasts between human and AI translation in the legal field to investigate the potential hypothesis that there is now no difference between human and AI translation. The paper thus also examined concerns about whether the need for human translators will decline in the face of AI development, as well as beginning to assess whether it will ever be possible for those in the legal field to depend only on machine translation. To achieve this, a collection of legal texts from various contracts was chosen, and these pieces were both allocated to legal translators and subjected to AI translation systems. Using a contrastive methodology, the study thus examined the differences between AI and human translation, examining the strengths and weaknesses of both approaches and discussing the situations in which each approach might be most effective.</t>
  </si>
  <si>
    <t>[Moneus, Ahmed Mohammed] Sanaa Univ, Sanaa, Yemen; [Sahari, Yousef] Univ Bisha, Bisha, Saudi Arabia</t>
  </si>
  <si>
    <t>University of Bisha</t>
  </si>
  <si>
    <t>Moneus, AM (corresponding author), Sanaa Univ, Sanaa, Yemen.</t>
  </si>
  <si>
    <t>moneus55@gmail.com; ysahari@ub.edu.sa</t>
  </si>
  <si>
    <t>Sahari, Yousef/JEO-4132-2023; Moneus, Ahmed/AFU-5682-2022</t>
  </si>
  <si>
    <t>Moneus, Ahmed/0000-0002-9798-9059</t>
  </si>
  <si>
    <t>University of Bisha(University of Bisha)</t>
  </si>
  <si>
    <t>After publishing a research paper about Artificial Intelligence and human translation, the authors may seek potential funding from the University of Bisha for grants for further research. Having a published paper can help demonstrate the authors' expertise and the value of their work, making it more likely that they will be successful in securing funding.</t>
  </si>
  <si>
    <t>e28106</t>
  </si>
  <si>
    <t>10.1016/j.heliyon.2024.e28106</t>
  </si>
  <si>
    <t>OQ0P7</t>
  </si>
  <si>
    <t>WOS:001208626200001</t>
  </si>
  <si>
    <t>Surugiu, C; Gradinaru, C; Surugiu, MR</t>
  </si>
  <si>
    <t>Surugiu, Camelia; Gradinaru, Catalin; Surugiu, Marius Razvan</t>
  </si>
  <si>
    <t>ARTIFICIAL INTELLIGENCE IN BUSINESS EDUCATION: BENEFITS AND TOOLS</t>
  </si>
  <si>
    <t>artificial intelligence (AI); artificial intelligence in education (AIEd); instruments; benefits; Romania</t>
  </si>
  <si>
    <t>Understanding the impact of artificial intelligence (AI) on education is vital for guiding teachers in developing educational tools. AI in education (AIEd) comes not only with opportunities but mostly with challenges for both educators and learners. Finding the proper tools to integrate AI into the learning framework represents a test for current and future generations. Even if most students acknowledged AI as a valuable tool, their interaction with AI in education seems more limited than expected. They mainly concentrated on few tools with higher awareness. This paper examines AI ' s support for educational activities, key drivers, and tools for business education. Survey data collected from 254 learners were analysed using multivariate binary logistic regression. Two research questions were formulated to verify if AI supports educational activities and what AI tools support business educational activities. Results show learners appreciate AI for aiding teachers in administrative tasks, personalising learning plans, and saving time. However, learners are unfamiliar with most benefits of AI tools, except computer vision, edge computing, and AI chatbots. The paper highlights the need to increase the use of AI in education to make students more familiar with AI tools and capitalise on them in business education.</t>
  </si>
  <si>
    <t>[Surugiu, Camelia] Univ Bucharest, Bucharest, Romania; [Surugiu, Camelia; Gradinaru, Catalin] Natl Inst Res &amp; Dev Tourism, Bucharest, Romania; [Surugiu, Marius Razvan] Romanian Acad, Inst Natl Econ, Bucharest, Romania</t>
  </si>
  <si>
    <t>University of Bucharest; Romanian Academy</t>
  </si>
  <si>
    <t>Gradinaru, C (corresponding author), Natl Inst Res &amp; Dev Tourism, Bucharest, Romania.</t>
  </si>
  <si>
    <t>catalin.gradinaru@faa.unibuc.ro</t>
  </si>
  <si>
    <t>Surugiu, Marius-Razvan/F-7771-2010; Gradinaru, Catalin/HOH-2496-2023; Surugiu, Camelia/C-6641-2015</t>
  </si>
  <si>
    <t>Gradinaru, Catalin/0000-0002-3095-6316; Surugiu, Camelia/0000-0002-0393-4015</t>
  </si>
  <si>
    <t>10.24818/EA/2024/65/241</t>
  </si>
  <si>
    <t>WOS:001251298900014</t>
  </si>
  <si>
    <t>Kiester, L; Turp, C</t>
  </si>
  <si>
    <t>Kiester, Lucy; Turp, Clara</t>
  </si>
  <si>
    <t>Artificial intelligence behind the scenes: PubMed's Best Match algorithm</t>
  </si>
  <si>
    <t>JOURNAL OF THE MEDICAL LIBRARY ASSOCIATION</t>
  </si>
  <si>
    <t>PubMed; Best Match; information systems; artificial intelligence; information-seeking behavior</t>
  </si>
  <si>
    <t>INFORMATION; RESOURCES</t>
  </si>
  <si>
    <t>This article focuses on PubMed's Best Match sorting algorithm, presenting a simplified explanation of how it operates and highlighting how artificial intelligence affects search results in ways that are not seen by users. We further discuss user search behaviors and the ethical implications of algorithms, specifically for health care practitioners. PubMed recently began using artificial intelligence to improve the sorting of search results using a Best Match option. In 2020, PubMed deployed this algorithm as the default search method, necessitating serious discussion around the ethics of this and similar algorithms, as users do not always know when an algorithm uses artificial intelligence, what artificial intelligence is, and how it may impact their everyday tasks. These implications resonate strongly in health care, in which the speed and relevancy of search results is crucial but does not negate the importance of a lack of bias in how those search results are selected or presented to the user. As a health care provider will not often venture past the first few results in search of a clinical decision, will Best Match help them find the answers they need more quickly? Or will the algorithm bias their results, leading to the potential suppression of more recent or relevant results?</t>
  </si>
  <si>
    <t>[Kiester, Lucy; Turp, Clara] McGill Univ Lib, Montreal, PQ, Canada</t>
  </si>
  <si>
    <t>McGill University</t>
  </si>
  <si>
    <t>Kiester, L (corresponding author), McGill Univ Lib, Montreal, PQ, Canada.</t>
  </si>
  <si>
    <t>lucy.kiester@mcgill.ca; clara.turp@mcgill.ca</t>
  </si>
  <si>
    <t>Kiester, Lucy/0000-0003-3465-8110; Turp, Clara/0000-0002-4472-7549</t>
  </si>
  <si>
    <t>MEDICAL LIBRARY ASSOC</t>
  </si>
  <si>
    <t>CHICAGO</t>
  </si>
  <si>
    <t>65 EAST WACKER PLACE, STE 1900, CHICAGO, IL 60601-7298 USA</t>
  </si>
  <si>
    <t>1536-5050</t>
  </si>
  <si>
    <t>J MED LIBR ASSOC</t>
  </si>
  <si>
    <t>J. Med. Libr. Assoc.</t>
  </si>
  <si>
    <t>10.5195/jmla.2022.1236</t>
  </si>
  <si>
    <t>ZC3QE</t>
  </si>
  <si>
    <t>WOS:000757437900002</t>
  </si>
  <si>
    <t>Goralski, MA; Tan, TK</t>
  </si>
  <si>
    <t>Goralski, Margaret A.; Tan, Tay Keong</t>
  </si>
  <si>
    <t>Artificial intelligence and sustainable development</t>
  </si>
  <si>
    <t>INTERNATIONAL JOURNAL OF MANAGEMENT EDUCATION</t>
  </si>
  <si>
    <t>Artificial intelligence; Robotics; Deep learning; Sustainable development; Sustainable development goals; Management education</t>
  </si>
  <si>
    <t>Artificial intelligence (AI) is rapidly opening up a new frontier in the fields of business, corporate practices, and governmental policy. The intelligence of machines and robotics with deep learning capabilities have created profound disrupting and enabling impacts on business, governments, and society. They are also influencing the larger trends in global sustainability. As the AI revolution transforms our world, it could herald a utopian future where humanity co-exists harmoniously with machines, or portend a dystopian world filled with conflict, poverty and suffering. More immediately, would AI accelerate our progress on the United Nations (UN) Sustainable Development Goals (SDGs) or bring us further down the path toward greater economic uncertainty, environmental collapse, and social upheaval? What are some of the implications for business leadership and the education of future business leaders? This article aims to address these questions by analyzing the impacts of AI in three case studies. It draws some preliminary inferences for management education and the business of leading corporations in the midst of rapid technological and social change. This study combines the perspectives of business strategy and public policy to analyze the impacts of AI on sustainable development with a specific focus on the advancement of the SDGs. It also draws some lessons on managerial learning and leadership development for global sustainability.</t>
  </si>
  <si>
    <t>[Goralski, Margaret A.] Quinnipiac Univ, 275 Mt Carmel Ave, Hamden, CT 06518 USA; [Tan, Tay Keong] Radford Univ, Dept Polit Sci, 5310 Coll Humanities &amp; Behav Sci Bldg, Radford, VA 24142 USA</t>
  </si>
  <si>
    <t>Quinnipiac University; Radford University</t>
  </si>
  <si>
    <t>Goralski, MA (corresponding author), Quinnipiac Univ, 275 Mt Carmel Ave, Hamden, CT 06518 USA.</t>
  </si>
  <si>
    <t>Margaret.Goralski@Quinnipiac.edu; ttan2@radford.edu</t>
  </si>
  <si>
    <t>Goralski, Margaret/LMO-0881-2024</t>
  </si>
  <si>
    <t>Goralski, Margaret/0009-0000-1522-8815</t>
  </si>
  <si>
    <t>1472-8117</t>
  </si>
  <si>
    <t>2352-3565</t>
  </si>
  <si>
    <t>INT J MANAG EDUC-OXF</t>
  </si>
  <si>
    <t>Int. J. Manag. Educ.</t>
  </si>
  <si>
    <t>10.1016/j.ijme.2019.100330</t>
  </si>
  <si>
    <t>Business; Education &amp; Educational Research; Management</t>
  </si>
  <si>
    <t>KN4XP</t>
  </si>
  <si>
    <t>WOS:000514842200005</t>
  </si>
  <si>
    <t>Garcia-Pomareda, JD</t>
  </si>
  <si>
    <t>Garcia-Pomareda, Jaime Delgado</t>
  </si>
  <si>
    <t>Generative artificial intelligence: a double-edged sword for the metaverse</t>
  </si>
  <si>
    <t>REVISTA E-MERCATORIA</t>
  </si>
  <si>
    <t>artificial intelligence; intellectual property; copyright; data protection</t>
  </si>
  <si>
    <t>The aim of this paper is to analyze the possible impact that the rapid development of generative artificial intelligence may have on the digital landscape in Spain and Europe, particularly with respect to new technologies such as the metaverse. It proposes to address several issues that are already a reality in many areas, but mainly derive from the framework of operation of generative artificial intelligence systems, which require large amounts of data, works and other assets protected by intellectual property rights and data protection. The implementation of AI has revealed numerous shortcomings and deficiencies in its interaction with these rights. For this reason, solutions that respect intellectual property rights and the privacy of third parties are offered herein. The aim of these proposals is to facilitate the advancement of AI and metaverse developers, ensuring that they can continue to drive the technological revolution that these systems are leading without facing barriers that limit their growth.</t>
  </si>
  <si>
    <t>[Garcia-Pomareda, Jaime Delgado] Bird &amp; Bird, Madrid, Spain</t>
  </si>
  <si>
    <t>Garcia-Pomareda, JD (corresponding author), Bird &amp; Bird, Madrid, Spain.</t>
  </si>
  <si>
    <t>jaime.delgado@twobirds.com</t>
  </si>
  <si>
    <t>UNIV EXTERNADO COLOMBIA</t>
  </si>
  <si>
    <t>BOGOTA</t>
  </si>
  <si>
    <t>CALLE 12 NO 1-17 ESTE, BOGOTA, 00000, COLOMBIA</t>
  </si>
  <si>
    <t>1692-3960</t>
  </si>
  <si>
    <t>REV E-MERCATORIA</t>
  </si>
  <si>
    <t>Rev. e-Mercatoria</t>
  </si>
  <si>
    <t>10.18601/16923960.v23n2.09</t>
  </si>
  <si>
    <t>E5W8P</t>
  </si>
  <si>
    <t>WOS:001303715000009</t>
  </si>
  <si>
    <t>Sigurdsson, V; Larsen, NM; Folwarczny, M; Dubois, M; Fagerstrom, A</t>
  </si>
  <si>
    <t>Sigurdsson, Valdimar; Larsen, Nils Magne; Folwarczny, Michal; Dubois, Magalie; Fagerstrom, Asle</t>
  </si>
  <si>
    <t>Putting an artificial intelligence-generated label on it comes naturally</t>
  </si>
  <si>
    <t>PSYCHOLOGY &amp; MARKETING</t>
  </si>
  <si>
    <t>artificial intelligence; backgrounds; certifications; naturalness; signaling theory; sustainability labeling; sustainable wine; willingness to buy; willingness to pay</t>
  </si>
  <si>
    <t>SIGNALING THEORY; CONSUMERS; FOOD; SUSTAINABILITY; BEHAVIOR; INFORMATION; CONSUMPTION; PERCEPTION; PSYTOOLKIT; KNOWLEDGE</t>
  </si>
  <si>
    <t>Climate change and the advent of artificial intelligence-generated content are reshaping wine marketing. The interplay between consumer focus on naturalness and sustainable farming practices and the proliferation of artificial intelligence-generated content represents a particularly salient area of research. However, the extent to which the presence of fictitious artificial intelligence-generated labels and backgrounds impacts consumers' willingness to buy and pay for wine has yet to be addressed. This research contributes to the growing body of literature on consumer susceptibility to sustainability signaling and artificial intelligence greenwashing, focusing on the impact of backgrounds and labels with different degrees of perceived naturalness. Three experiments demonstrate that wines bearing artificial intelligence-generated sustainability labels and third-party accredited sustainability labels reliably exhibit an increased willingness to buy and pay compared to those without sustainability labels. These findings indicate that fictitious, artificial intelligence-generated, and accredited labels are equally effective in influencing consumer wine choices. Customer susceptibility to food labels and wine knowledge and involvement also significantly predict willingness to buy across studies, validating the Customer Susceptibility to Front-of-Package Food Labeling scale. These findings highlight the necessity for future studies to investigate the role of responsible labeling, the susceptibility of customers to such labels, and the potential hazards associated with greenwashing practices involving artificial intelligence-generated labels.</t>
  </si>
  <si>
    <t>[Sigurdsson, Valdimar] Reykjavik Univ, Dept Business &amp; Econ, Menntavegur 1, IS-102 Reykjavik, Iceland; [Larsen, Nils Magne] UiT Arctic Univ Norway, Harstad, Norway; [Folwarczny, Michal] Univ Galway, JE Cairnes Sch Business &amp; Econ, Galway, Ireland; [Dubois, Magalie] Univ Bourgogne Franche Comte, Burgundy Sch Business, CEREN EA 7477, Dijon, France; [Fagerstrom, Asle] BI Norwegian Business Sch, Dept Mkt, Oslo, Norway</t>
  </si>
  <si>
    <t>Reykjavik University; UiT The Arctic University of Tromso; Ollscoil na Gaillimhe-University of Galway; Burgundy School of Business; BI Norwegian Business School</t>
  </si>
  <si>
    <t>Sigurdsson, V (corresponding author), Reykjavik Univ, Dept Business &amp; Econ, Menntavegur 1, IS-102 Reykjavik, Iceland.</t>
  </si>
  <si>
    <t>valdimars@ru.is</t>
  </si>
  <si>
    <t>Dubois, Magalie/HIZ-8609-2022; Folwarczny, Michal/AAQ-4333-2021; Larsen, Nils/L-9419-2019</t>
  </si>
  <si>
    <t>Burgundy School of Business; Icelandic Centre for Research (RANNIS) [218235-051]; Academy of Finland (AKA) [218235] Funding Source: Academy of Finland (AKA)</t>
  </si>
  <si>
    <t>Burgundy School of Business; Icelandic Centre for Research (RANNIS); Academy of Finland (AKA)(Research Council of Finland)</t>
  </si>
  <si>
    <t>The authors thank the Burgundy School of Business and the Icelandic Centre for Research (RANNIS) for partially funding this study (grant number 218235-051). The authors also want to thank Freyja Thoroddsen Sigurdardottir for her assistance.</t>
  </si>
  <si>
    <t>0742-6046</t>
  </si>
  <si>
    <t>1520-6793</t>
  </si>
  <si>
    <t>PSYCHOL MARKET</t>
  </si>
  <si>
    <t>Psychol. Mark.</t>
  </si>
  <si>
    <t>10.1002/mar.22137</t>
  </si>
  <si>
    <t>Business; Psychology, Applied</t>
  </si>
  <si>
    <t>R4I3X</t>
  </si>
  <si>
    <t>WOS:001329788400001</t>
  </si>
  <si>
    <t>Artificial Intelligence for Analysis of Collaborative Consumer Networks Management</t>
  </si>
  <si>
    <t>Artificial Intelligence; Collaborative Consumer Networks; Strategy; Emerging Markets; Information infrastructure; Intelligent Agent</t>
  </si>
  <si>
    <t>This research paper studies the application of Artificial Intelligence (AI) and intelligent technologies and systems to expand customer relations management possibilities for growth of consumer network and development of open adaptive information infrastructure of modern Company. Now networks are an effective tool for purposefully coordinate efforts of all their participants. Thus, there is an urge to study theoretical principles of their formation and find a set of specific managerial skills needed for their efficient operations by developing a strategy to manage relations with other network participants. Simultaneously, in emerging markets, AI and intelligent technologies are in fact an integral part of cutting-edge management systems. They add to globalization of business by providing quick access to employees worldwide, as well as coordinating global interaction between companies at different stages of value chain. It does not mean that intelligent technologies and systems simply increase efficiency of a company's operations; they can be considered as key intangible asset. Their successful integration in the company's information structure can provide significant business effect. This research aims are analyzing applicability and adaptability of the joint customer relations management technologies and multi-agent systems (MAS), as well as the formation of external information infrastructure of companies with growing collaborative consumer network. The paper considers application of integrated approach for software company whose external infrastructure consists of the following blocks: potential consumers; technical support and consultancy; education; sales and dealership. The company strives for long-term contracts, customer loyalty and customer-oriented approach in emerging markets. The study is conceptual and research in equal measure, and provides the examination of approach to forming an external information infrastructure for a company with collaborative consumer network by joining opportunities of CRM and multi-agent technologies. Original contribution: the paper considers application of AI for modern company whose external infrastructure consists of the following blocks: potential consumers; technical support and consultancy; education; sales and dealership.</t>
  </si>
  <si>
    <t>10.34190/ECIAIR.19.026</t>
  </si>
  <si>
    <t>WOS:000539633500036</t>
  </si>
  <si>
    <t>Bennett, SJ</t>
  </si>
  <si>
    <t>Bennett, Sarah Joy</t>
  </si>
  <si>
    <t>Investigating the Role of Moral Decision-Making in Emerging Artificial Intelligence Technologies</t>
  </si>
  <si>
    <t>CONFERENCE COMPANION PUBLICATION OF THE 2019 COMPUTER SUPPORTED COOPERATIVE WORK AND SOCIAL COMPUTING (CSCW'19 COMPANION)</t>
  </si>
  <si>
    <t>22nd ACM Conference on Computer-Supported Cooperative Work and Social Computing (CSCW)</t>
  </si>
  <si>
    <t>NOV 10-13, 2019</t>
  </si>
  <si>
    <t>Austin, TX</t>
  </si>
  <si>
    <t>Assoc Comp Machinery,ACM SIGCHI,Facebook,Adobe,Amazon,IBM Res,Microsoft,Snap,FX PAL,Google,Mozilla,Underwood Inst,NSF</t>
  </si>
  <si>
    <t>Ethics; Design; Artificial Intelligence</t>
  </si>
  <si>
    <t>In the midst of the current boom in ethical principles, frameworks and guidelines for emerging applications of artificial intelligence (AI), it is difficult to assess how these translate into the context of real-world applications. Through interviews and ethnography, my research explores AI specialists' accounts of navigating the ethical and social impact of their work, examining and providing insight into the various interactions impacting ethical decision-making in AI system development. Having investigated behavior of AI specialists as proactive moral agents, the work then aims to explore how we can support meaningful applications of ethics in system design and development.</t>
  </si>
  <si>
    <t>[Bennett, Sarah Joy] Univ Edinburgh, Edinburgh EH8 9YL, Midlothian, Scotland</t>
  </si>
  <si>
    <t>University of Edinburgh</t>
  </si>
  <si>
    <t>Bennett, SJ (corresponding author), Univ Edinburgh, Edinburgh EH8 9YL, Midlothian, Scotland.</t>
  </si>
  <si>
    <t>sarah.bennett@ed.ac.uk</t>
  </si>
  <si>
    <t>Bennett, SJ/0000-0002-8520-3194</t>
  </si>
  <si>
    <t>978-1-4503-6692-2</t>
  </si>
  <si>
    <t>10.1145/3311957.3361858</t>
  </si>
  <si>
    <t>BP1KM</t>
  </si>
  <si>
    <t>WOS:000539904100007</t>
  </si>
  <si>
    <t>Gînguta, A; Munteanu, VP; Stefea, P; Noja, GG</t>
  </si>
  <si>
    <t>DeLaIglesia, DH; DePazSantana, JF; Rivero, AJL</t>
  </si>
  <si>
    <t>Ginguta, Andrea; Munteanu, Valentin Partenie; Stefea, Petru; Noja, Gratiela Georgiana</t>
  </si>
  <si>
    <t>Artificial Intelligence and Consultancy Services: Perspectives of Organizational and Ethical Concerns</t>
  </si>
  <si>
    <t>NEW TRENDS IN DISRUPTIVE TECHNOLOGIES, TECH ETHICS AND ARTIFICIAL INTELLIGENCE, DITTET 2023</t>
  </si>
  <si>
    <t>International Conference on Disruptive Technologies, Tech Ethics, and Artificial Intelligence (DITTET)</t>
  </si>
  <si>
    <t>JUN 21-23, 2023</t>
  </si>
  <si>
    <t>Salamanca, SPAIN</t>
  </si>
  <si>
    <t>Univ Pontificia Salamanca, Fac Informatica,Expert Syst &amp; Applicat Lab,Univ Salamanca, Campus Excelencia Intercionac,UVa,Univ Politecnica Madrid,Univ Tecnologica Panama,Univ Distrital Francisco Jose Caldas,Univ Catolica Salta,IPV, Escola Super Tecnologia Gestao Viseu,Univ Beira Interior,Tecnologico Monterrey,NW Polytechn Univ,Politecnico Portalegre,DiTTEt</t>
  </si>
  <si>
    <t>artificial intelligence; consultancy; ethical concerns; gaussian graphical model</t>
  </si>
  <si>
    <t>CHALLENGES; SYSTEMS; WORLD</t>
  </si>
  <si>
    <t>Artificial intelligence (AI) software affects our daily lives, introducing an increasing number of applications in medicine, education, and business-related fields. Consultancy firms may use AI programs to lessen their time spent on administrative tasks, or to perform accurate and rapid analysis, but there are also limitations and ethical risks related to this technology. The research endeavour aims to establish a foundation for future research in AI and consulting industry, as well as provide a general overview of AI applications through a comparative approach between the perceptions of consultants from different domains and with different seniority over AI impact on their professional activities. Our methodology is based on a quantitative analysis of a survey instrumentation following 3 research questions. To identify if there are causal relationships and interlinkages between our considered variables, we used the network analysis technique of Gaussian Graphical Modelling (GGM). Our findings indicate that there are various partial correlations between seniority and domain and perceptions of benefits and ethical risks of AI technologies.</t>
  </si>
  <si>
    <t>[Ginguta, Andrea] West Univ Timisoara, Doctoral Sch Econ &amp; Business Adm, Timisoara 300115, Romania; [Munteanu, Valentin Partenie; Stefea, Petru] West Univ Timisoara, Fac Econ &amp; Business Adm, Dept Management, Timisoara 300115, Romania; [Noja, Gratiela Georgiana] West Univ Timisoara, Fac Econ &amp; Business Adm, Dept Mkt &amp; Int Econ Relat, Timisoara 300115, Romania</t>
  </si>
  <si>
    <t>Gînguta, A (corresponding author), West Univ Timisoara, Doctoral Sch Econ &amp; Business Adm, Timisoara 300115, Romania.</t>
  </si>
  <si>
    <t>andrea.ginguta98@e-uvt.ro</t>
  </si>
  <si>
    <t>; Noja, Gratiela Georgiana/X-2471-2019</t>
  </si>
  <si>
    <t>Munteanu, Valentin Partenie/0000-0002-6689-3492; Noja, Gratiela Georgiana/0000-0002-9201-3057</t>
  </si>
  <si>
    <t>978-3-031-38343-4; 978-3-031-38344-1</t>
  </si>
  <si>
    <t>10.1007/978-3-031-38344-1_21</t>
  </si>
  <si>
    <t>BX8NY</t>
  </si>
  <si>
    <t>WOS:001334574100021</t>
  </si>
  <si>
    <t>Lo Mastro, A; Grassi, E; Berritto, D; Russo, A; Reginelli, A; Guerra, E; Grassi, F; Boccia, F</t>
  </si>
  <si>
    <t>Lo Mastro, Antonio; Grassi, Enrico; Berritto, Daniela; Russo, Anna; Reginelli, Alfonso; Guerra, Egidio; Grassi, Francesca; Boccia, Francesco</t>
  </si>
  <si>
    <t>Artificial intelligence in fracture detection on radiographs: a literature review</t>
  </si>
  <si>
    <t>JAPANESE JOURNAL OF RADIOLOGY</t>
  </si>
  <si>
    <t>Artificial intelligence; Machine learning; Fracture detection; Deep learning; Radiomics; Musculoskeletal imaging</t>
  </si>
  <si>
    <t>NEURAL-NETWORK; RADIOMICS; PERFORMANCE; VALIDATION; DIAGNOSIS</t>
  </si>
  <si>
    <t>Fractures are one of the most common reasons of admission to emergency department affecting individuals of all ages and regions worldwide that can be misdiagnosed during radiologic examination. Accurate and timely diagnosis of fracture is crucial for patients, and artificial intelligence that uses algorithms to imitate human intelligence to aid or enhance human performs is a promising solution to address this issue. In the last few years, numerous commercially available algorithms have been developed to enhance radiology practice and a large number of studies apply artificial intelligence to fracture detection. Recent contributions in literature have described numerous advantages showing how artificial intelligence performs better than doctors who have less experience in interpreting musculoskeletal X-rays, and assisting radiologists increases diagnostic accuracy and sensitivity, improves efficiency, and reduces interpretation time. Furthermore, algorithms perform better when they are trained with big data on a wide range of fracture patterns and variants and can provide standardized fracture identification across different radiologist, thanks to the structured report. In this review article, we discuss the use of artificial intelligence in fracture identification and its benefits and disadvantages. We also discuss its current potential impact on the field of radiology and radiomics.</t>
  </si>
  <si>
    <t>[Lo Mastro, Antonio; Russo, Anna; Reginelli, Alfonso; Grassi, Francesca; Boccia, Francesco] Univ Campania Luigi Vanvitelli, Dept Radiol, Naples, Italy; [Grassi, Enrico] Univ Florence, Dept Orthopaed, Florence, Italy; [Berritto, Daniela] Univ Foggia, Dept Clin &amp; Expt Med, Foggia, Italy; [Guerra, Egidio] Policlin Riuniti Foggia, Emergency Radiol Dept, Foggia, Italy</t>
  </si>
  <si>
    <t>Universita della Campania Vanvitelli; University of Florence; University of Foggia</t>
  </si>
  <si>
    <t>Lo Mastro, A (corresponding author), Univ Campania Luigi Vanvitelli, Dept Radiol, Naples, Italy.</t>
  </si>
  <si>
    <t>antonio.lomastro@unicampania.it</t>
  </si>
  <si>
    <t>Reginelli, Alfonso/AAL-4730-2020</t>
  </si>
  <si>
    <t>Lo Mastro, Antonio/0009-0004-5038-5268</t>
  </si>
  <si>
    <t>1867-1071</t>
  </si>
  <si>
    <t>1867-108X</t>
  </si>
  <si>
    <t>JPN J RADIOL</t>
  </si>
  <si>
    <t>Jpn. J. Radiol.</t>
  </si>
  <si>
    <t>2024 NOV 14</t>
  </si>
  <si>
    <t>10.1007/s11604-024-01702-4</t>
  </si>
  <si>
    <t>L9K1U</t>
  </si>
  <si>
    <t>WOS:001353829700001</t>
  </si>
  <si>
    <t>Liao, ZM</t>
  </si>
  <si>
    <t>Liao, Zeming</t>
  </si>
  <si>
    <t>Art design and production based on artificial intelligence and improved neural network</t>
  </si>
  <si>
    <t>SOFT COMPUTING</t>
  </si>
  <si>
    <t>Artificial intelligence; Neural network; Art design; Art production</t>
  </si>
  <si>
    <t>The times are developing and society is progressing. In recent years, the level of random science and technology has been continuously improved, and the application of artificial intelligence technology has become more and more common in people's lives. The further combination of artificial intelligence and art design has also largely optimized the methods and expressions of art design. This article takes the decentralization of art design in the era of artificial intelligence as the main research object, and conducts an in-depth discussion and analysis of the performance and causes of art design, aiming to study the influence of artificial intelligence technology on the development of human art design in the future. This article first takes the causes of the decentralization phenomenon produced by art design as the research object, and conducts a specific analysis of the development of art design, including the extension of art design related to artificial intelligence technology, and the aesthetics of neural network technology to the public. Then, we also analyzed the specific impact of neural network intelligent technology on customer groups and customer thinking, as well as its specific embodiment in the content of art design. In the end, we came to the conclusion that although the communication method of artificial intelligence is conducive to the personalized development of art design in many aspects, it is influenced by the mass media and the specific mode of communication in the process of use, resulting in artificial intelligence technology in art. There is great innovation ability in design. Therefore, for professional art designers, they should not only complete their own commercial art design tasks, but also make contributions and efforts for the prosperity of art on this basis.</t>
  </si>
  <si>
    <t>[Liao, Zeming] Chongqing Normal Univ, Coll Fine Arts, Chongqing, Peoples R China</t>
  </si>
  <si>
    <t>Chongqing Normal University</t>
  </si>
  <si>
    <t>Liao, ZM (corresponding author), Chongqing Normal Univ, Coll Fine Arts, Chongqing, Peoples R China.</t>
  </si>
  <si>
    <t>csliaozeming@163.com</t>
  </si>
  <si>
    <t>1432-7643</t>
  </si>
  <si>
    <t>1433-7479</t>
  </si>
  <si>
    <t>SOFT COMPUT</t>
  </si>
  <si>
    <t>Soft Comput.</t>
  </si>
  <si>
    <t>2023 JUN 26</t>
  </si>
  <si>
    <t>10.1007/s00500-023-08796-4</t>
  </si>
  <si>
    <t>K4VH4</t>
  </si>
  <si>
    <t>WOS:001016427800009</t>
  </si>
  <si>
    <t>Kandasamy, V; Abouhawwash, M; Bacanin, N</t>
  </si>
  <si>
    <t>Kandasamy, Venkatachalam; Abouhawwash, Mohamed; Bacanin, Nebojsa</t>
  </si>
  <si>
    <t>Artificial Intelligence and Blockchain Technology Enabling Sustainable and Smart Infrastructure</t>
  </si>
  <si>
    <t>ACTA INFORMATICA PRAGENSIA</t>
  </si>
  <si>
    <t>Artificial intelligence; IoT; Smart infrastructure; Blockchain technology; Computer networks</t>
  </si>
  <si>
    <t>This editorial aims to summarize the special issue entitled Sustainable Solutions for Internet of Things Using Artificial Intelligence and Blockchain in Future Networks, which deals with the impacts of recent infrastructure development using the Internet of things. This special issue consists of four scientific articles.</t>
  </si>
  <si>
    <t>[Kandasamy, Venkatachalam] Univ Hradec Kralove, Fac Sci, Dept Math, Hradec Kralove, Czech Republic; [Abouhawwash, Mohamed] Mansoura Univ, Fac Sci, Dept Math, Mansoura, Egypt; [Bacanin, Nebojsa] Singidunum Univ, Fac Informat &amp; Comp, Belgrade, Serbia</t>
  </si>
  <si>
    <t>University of Hradec Kralove; Egyptian Knowledge Bank (EKB); Mansoura University</t>
  </si>
  <si>
    <t>Kandasamy, V (corresponding author), Univ Hradec Kralove, Fac Sci, Dept Math, Hradec Kralove, Czech Republic.</t>
  </si>
  <si>
    <t>venkatachalam.k@ieee.org</t>
  </si>
  <si>
    <t>Venkatachalam, K/ABF-1695-2020; Abouhawwash, Mohamed/O-7122-2018; Bacanin, Nebojsa/L-5328-2019</t>
  </si>
  <si>
    <t>Abouhawwash, Mohamed/0000-0003-2846-4707; K, Venkatachalam/0000-0002-2353-8853; Bacanin, Nebojsa/0000-0002-2062-924X</t>
  </si>
  <si>
    <t>UNIV ECONOMICS, PRAGUE</t>
  </si>
  <si>
    <t>3 PRAGUE</t>
  </si>
  <si>
    <t>NAM W CHURCHILLA 4, 3 PRAGUE, 13067, CZECH REPUBLIC</t>
  </si>
  <si>
    <t>1805-4951</t>
  </si>
  <si>
    <t>ACTA INFORM PRAG</t>
  </si>
  <si>
    <t>Acta Inform. Prag.</t>
  </si>
  <si>
    <t>10.18267/j.aip.203</t>
  </si>
  <si>
    <t>Computer Science, Interdisciplinary Applications; Social Sciences, Interdisciplinary</t>
  </si>
  <si>
    <t>Y5KB5</t>
  </si>
  <si>
    <t>WOS:001105633500001</t>
  </si>
  <si>
    <t>Arunthavanathan, R; Sajid, Z; Khan, F; Pistikopoulos, E</t>
  </si>
  <si>
    <t>Arunthavanathan, Rajeevan; Sajid, Zaman; Khan, Faisal; Pistikopoulos, Efstratios</t>
  </si>
  <si>
    <t>Artificial intelligence - Human intelligence conflict and its impact on process system safety</t>
  </si>
  <si>
    <t>DIGITAL CHEMICAL ENGINEERING</t>
  </si>
  <si>
    <t>Artificial intelligence safety; Artificial intelligence conflict; Process System Safety; Process Safety; Automation Safety</t>
  </si>
  <si>
    <t>In the Industry 4.0 revolution, industries are advancing their operations by leveraging Artificial Intelligence (AI). AI-based systems enhance industries by automating repetitive tasks and improving overall efficiency. However, from a safety perspective, operating a system using AI without human interaction raises concerns regarding its reliability. Recent developments have made it imperative to establish a collaborative system between humans and AI, known as Intelligent Augmentation (IA). Industry 5.0 focuses on developing IA-based systems that facilitate collaboration between humans and AI. However, potential conflicts between humans and AI in controlling process plant operations pose a significant challenge in IA systems. Human-AI conflict in IA-based system operation can arise due to differences in observation, interpretation, and control action. Observation conflict may arise when humans and AI disagree with the observed data or information. Interpretation conflicts may occur due to differences in decision-making based on observed data, influenced by the learning ability of human intelligence (HI) and AI. Control action conflicts may arise when AI-driven control action differs from the human operator action. Conflicts between humans and AI may introduce additional risks to the IA-based system operation. Therefore, it is crucial to understand the concept of human-AI conflict and perform a detailed risk analysis before implementing a collaborative system. This paper aims to investigate the following: 1. Human and AI operations in process systems and the possible conflicts during the collaboration. 2. Formulate the concept of observation, interpretation, and action conflict in an IA-based system. 3. Provide a case study to identify the potential risk of human-AI conflict.</t>
  </si>
  <si>
    <t>[Arunthavanathan, Rajeevan; Sajid, Zaman; Khan, Faisal; Pistikopoulos, Efstratios] Texas A&amp;M Univ, Artie McFerrin Dept Chem Engn, College Stn, TX 77843 USA; [Arunthavanathan, Rajeevan; Sajid, Zaman; Khan, Faisal] Texas A&amp;M Univ, Mary Kay OConnor Proc Safety Ctr MKOPSC, College Stn, TX 77843 USA; [Pistikopoulos, Efstratios] Texas A&amp;M Univ, Texas A&amp;M Energy Inst, College Stn, TX 77843 USA</t>
  </si>
  <si>
    <t>Texas A&amp;M University System; Texas A&amp;M University College Station; Texas A&amp;M University System; Texas A&amp;M University College Station; Texas A&amp;M University System; Texas A&amp;M University College Station</t>
  </si>
  <si>
    <t>Khan, F (corresponding author), Texas A&amp;M Univ, Artie McFerrin Dept Chem Engn, College Stn, TX 77843 USA.;Khan, F (corresponding author), Texas A&amp;M Univ, Mary Kay OConnor Proc Safety Ctr MKOPSC, College Stn, TX 77843 USA.</t>
  </si>
  <si>
    <t>fikhan@tamu.edu</t>
  </si>
  <si>
    <t>Sajid, Zaman/ACW-5624-2022; Khan, Faisal/AAO-6293-2020; Arunthavanathan, Rajeevan/AAO-6613-2020</t>
  </si>
  <si>
    <t>Khan, Faisal/0000-0002-5638-4299</t>
  </si>
  <si>
    <t>National Science Foundation through project RETRO - Toward Safe and Smart Operations via Real-time; Mary Kay O'Connor Process Safety Centre at Texas A &amp; M University, USA</t>
  </si>
  <si>
    <t>The authors thankfully acknowledge the financial support provided by the National Science Foundation through project RETRO - Toward Safe and Smart Operations via Real-time Risk -based Optimization and the Mary Kay O'Connor Process Safety Centre at Texas A &amp; M University, USA.</t>
  </si>
  <si>
    <t>2772-5081</t>
  </si>
  <si>
    <t>DIGIT CHEM ENG</t>
  </si>
  <si>
    <t>Digit. Chem. Eng.</t>
  </si>
  <si>
    <t>10.1016/j.dche.2024.100151</t>
  </si>
  <si>
    <t>Engineering, Chemical</t>
  </si>
  <si>
    <t>RS5I9</t>
  </si>
  <si>
    <t>WOS:001229659900001</t>
  </si>
  <si>
    <t>González-Esteban, E; Calvo, P</t>
  </si>
  <si>
    <t>Gonzalez-Esteban, Elsa; Calvo, Patrici</t>
  </si>
  <si>
    <t>Ethically governing artificial intelligence in the field of scientific research and innovation</t>
  </si>
  <si>
    <t>Artificial intelligence; Disruptive technologies; Dialogic ethics; Ethical governance; ETHNA System; RRI; Scientific research</t>
  </si>
  <si>
    <t>Artificial Intelligence (AI) has become a double-edged sword for scientific research. While, on one hand, the incredible potential of AI and the different techniques and technologies for using it make it a product coveted by all scientific research centres and organisations and science funding agencies. On the other, the highly negative impacts that its irresponsible and self-interested use is causing, or could cause, make it a controversial tool, attracting strong criticism from those involved in the different sectors of research. This study aims to delve into the current and virtual uses of AI in scientific research and innovation in order to provide guidelines for developing and implementing a governance system to promote ethical and responsible research and innovation in the field of AI.</t>
  </si>
  <si>
    <t>[Gonzalez-Esteban, Elsa; Calvo, Patrici] Univ Jaume 1, Castellon De La Plana, Spain</t>
  </si>
  <si>
    <t>Universitat Jaume I</t>
  </si>
  <si>
    <t>Calvo, P (corresponding author), Univ Jaume 1, Castellon De La Plana, Spain.</t>
  </si>
  <si>
    <t>calvop@uji.es</t>
  </si>
  <si>
    <t>Calvo, Patrici/AAA-9160-2019</t>
  </si>
  <si>
    <t>Scientific Research and Technological Development Project Applied Ethics and Reliability for Artificial Intelligence - MCIN/AEI [2019 109078RB-C21]; European Project Ethical governance system for RRI in higher education, funding and research centers - Horizon 2020 program of the European Commission [872360]</t>
  </si>
  <si>
    <t>Scientific Research and Technological Development Project Applied Ethics and Reliability for Artificial Intelligence - MCIN/AEI; European Project Ethical governance system for RRI in higher education, funding and research centers - Horizon 2020 program of the European Commission</t>
  </si>
  <si>
    <t>This work was supported by Scientific Research and Technological Development Project Applied Ethics and Reliability for Artificial Intelligence PID 2019 109078RB-C21 funded by MCIN/AEI/10.13039/501100011033, as well as in the development of the European Project Ethical governance system for RRI in higher education, funding and research centers [872360] funded by the Horizon 2020 program of the European Commission.</t>
  </si>
  <si>
    <t>e08946</t>
  </si>
  <si>
    <t>10.1016/j.heliyon.2022.e08946</t>
  </si>
  <si>
    <t>FEB 2022</t>
  </si>
  <si>
    <t>ZQ6PR</t>
  </si>
  <si>
    <t>WOS:000767225100111</t>
  </si>
  <si>
    <t>Luo, XM; Tong, SL; Fang, Z; Qu, Z</t>
  </si>
  <si>
    <t>Luo, Xueming; Tong, Siliang; Fang, Zheng; Qu, Zhe</t>
  </si>
  <si>
    <t>Frontiers: Machines vs. Humans: The Impact of Artificial Intelligence Chatbot Disclosure on Customer Purchases</t>
  </si>
  <si>
    <t>MARKETING SCIENCE</t>
  </si>
  <si>
    <t>artificial intelligence; chatbot; conversational commerce; new technology; disclosure</t>
  </si>
  <si>
    <t>CANCER; ROLES</t>
  </si>
  <si>
    <t>Empowered by artificial intelligence (AI), chatbots are surging as new technologies with both business potential and customer pushback. This study exploits field experiment data on more than 6,200 customers who are randomized to receive highly structured outbound sales calls from chatbots or human workers. Results suggest that undisclosed chatbots are as effective as proficient workers and four times more effective than inexperienced workers in engendering customer purchases. However, a disclosure of chatbot identity before the machine-customer conversation reduces purchase rates by more than 79.7%. Additional analyses find that these results are robust to nonresponse bias and hang-ups, and the chatbot disclosure substantially decreases call length. Exploration of the mechanisms reveals that when customers know the conversational partner is not a human, they are curt and purchase less because they perceive the disclosed bot as less knowledgeable and less empathetic. The negative disclosure effect seems to be driven by a subjective human perception against machines, despite the objective competence of AI chatbots. Fortunately, such negative impact can be mitigated by a late disclosure timing strategy and customer prior AI experience. These findings offer useful implications for chatbot applications, customer targeting, and advertising in conversational commerce.</t>
  </si>
  <si>
    <t>[Luo, Xueming; Tong, Siliang] Temple Univ, Fox Sch Business, Philadelphia, PA 19122 USA; [Fang, Zheng] Sichuan Univ, Sch Business, Chengdu 610017, Sichuan, Peoples R China; [Qu, Zhe] Fudan Univ, Sch Management, Shanghai 20043, Peoples R China</t>
  </si>
  <si>
    <t>Pennsylvania Commonwealth System of Higher Education (PCSHE); Temple University; Sichuan University; Fudan University</t>
  </si>
  <si>
    <t>Fang, Z (corresponding author), Sichuan Univ, Sch Business, Chengdu 610017, Sichuan, Peoples R China.;Qu, Z (corresponding author), Fudan Univ, Sch Management, Shanghai 20043, Peoples R China.</t>
  </si>
  <si>
    <t>luoxm@temple.edu; tug76173@temple.edu; 149281891@qq.com; quz@fudan.edu.cn</t>
  </si>
  <si>
    <t>Fang, Zheng/Q-3348-2018; Tong, Siliang/KIV-9626-2024</t>
  </si>
  <si>
    <t>National Natural Science Foundation of China [71172030, 71202138, 71472130, 71522010]; Youth Foundation for Humanities and Social Sciences of the Ministry of Education of China [12YJC630045, 14YJA630024, 14YJC630166]; Sichuan University [skqy201423, skqy201502]; Shanghai Philosophy and Social Science Plan [2017BGL019]; National Science Foundation of China [91746302]</t>
  </si>
  <si>
    <t>National Natural Science Foundation of China(National Natural Science Foundation of China (NSFC)); Youth Foundation for Humanities and Social Sciences of the Ministry of Education of China; Sichuan University(Sichuan University); Shanghai Philosophy and Social Science Plan; National Science Foundation of China(National Natural Science Foundation of China (NSFC))</t>
  </si>
  <si>
    <t>Z. Fang acknowledges the support from the National Natural Science Foundation of China [Grants 71172030, 71202138, 71472130, and 71522010], the Youth Foundation for Humanities and Social Sciences of the Ministry of Education of China [Grants 12YJC630045, 14YJA630024, and 14YJC630166], and Sichuan University [Grants skqy201423 and skqy201502]. Z. Qu acknowledges the Shanghai Philosophy and Social Science Plan [Grant 2017BGL019] and the National Science Foundation of China [91746302].</t>
  </si>
  <si>
    <t>INFORMS</t>
  </si>
  <si>
    <t>CATONSVILLE</t>
  </si>
  <si>
    <t>5521 RESEARCH PARK DR, SUITE 200, CATONSVILLE, MD 21228 USA</t>
  </si>
  <si>
    <t>0732-2399</t>
  </si>
  <si>
    <t>1526-548X</t>
  </si>
  <si>
    <t>MARKET SCI</t>
  </si>
  <si>
    <t>Mark. Sci.</t>
  </si>
  <si>
    <t>10.1287/mksc.2019.1192</t>
  </si>
  <si>
    <t>JU3SK</t>
  </si>
  <si>
    <t>WOS:000501598400004</t>
  </si>
  <si>
    <t>Chua, IS; Gaziel-Yablowitz, M; Korach, ZT; Kehl, KL; Levitan, NA; Arriaga, YE; Jackson, GP; Bates, DW; Hassett, M</t>
  </si>
  <si>
    <t>Chua, Isaac S.; Gaziel-Yablowitz, Michal; Korach, Zfania T.; Kehl, Kenneth L.; Levitan, Nathan A.; Arriaga, Yull E.; Jackson, Gretchen P.; Bates, David W.; Hassett, Michael</t>
  </si>
  <si>
    <t>Artificial intelligence in oncology: Path to implementation</t>
  </si>
  <si>
    <t>CANCER MEDICINE</t>
  </si>
  <si>
    <t>artificial intelligence; deep learning; machine learning; oncology</t>
  </si>
  <si>
    <t>TREATMENT RECOMMENDATIONS; CLINICAL-TRIALS; BREAST-CANCER; CARE; AI; INTEGRATION; CHALLENGES; BEHAVIOR; PATIENT; IMPACT</t>
  </si>
  <si>
    <t>In recent years, the field of artificial intelligence (AI) in oncology has grown exponentially. AI solutions have been developed to tackle a variety of cancer-related challenges. Medical institutions, hospital systems, and technology companies are developing AI tools aimed at supporting clinical decision making, increasing access to cancer care, and improving clinical efficiency while delivering safe, high-value oncology care. AI in oncology has demonstrated accurate technical performance in image analysis, predictive analytics, and precision oncology delivery. Yet, adoption of AI tools is not widespread, and the impact of AI on patient outcomes remains uncertain. Major barriers for AI implementation in oncology include biased and heterogeneous data, data management and collection burdens, a lack of standardized research reporting, insufficient clinical validation, workflow and user-design challenges, outdated regulatory and legal frameworks, and dynamic knowledge and data. Concrete actions that major stakeholders can take to overcome barriers to AI implementation in oncology include training and educating the oncology workforce in AI; standardizing data, model validation methods, and legal and safety regulations; funding and conducting future research; and developing, studying, and deploying AI tools through multidisciplinary collaboration.</t>
  </si>
  <si>
    <t>[Chua, Isaac S.; Gaziel-Yablowitz, Michal; Korach, Zfania T.; Bates, David W.] Brigham &amp; Womens Hosp, Dept Med, Div Gen Internal Med &amp; Primary Care, 75 Francis St, Boston, MA 02115 USA; [Chua, Isaac S.] Dana Farber Canc Inst, Dept Psychosocial Oncol &amp; Palliat Care, Boston, MA 02115 USA; [Chua, Isaac S.; Gaziel-Yablowitz, Michal; Korach, Zfania T.; Kehl, Kenneth L.; Bates, David W.; Hassett, Michael] Harvard Med Sch, Boston, MA 02115 USA; [Kehl, Kenneth L.; Hassett, Michael] Dana Farber Canc Inst, Div Populat Sci, Boston, MA 02115 USA; [Kehl, Kenneth L.; Hassett, Michael] Dana Farber Canc Inst, Dept Med Oncol, Boston, MA 02115 USA; [Levitan, Nathan A.; Arriaga, Yull E.; Jackson, Gretchen P.] IBM Watson Hlth, Cambridge, MA USA; [Jackson, Gretchen P.] Vanderbilt Univ, Med Ctr, Dept Pediat Surg, Nashville, TN USA</t>
  </si>
  <si>
    <t>Harvard University; Harvard University Medical Affiliates; Brigham &amp; Women's Hospital; Harvard University; Harvard University Medical Affiliates; Dana-Farber Cancer Institute; Harvard University; Harvard Medical School; Harvard University; Harvard University Medical Affiliates; Dana-Farber Cancer Institute; Harvard University; Harvard University Medical Affiliates; Dana-Farber Cancer Institute; Vanderbilt University</t>
  </si>
  <si>
    <t>Chua, IS (corresponding author), Brigham &amp; Womens Hosp, Div Gen Internal Med &amp; Primary Care, 1620 Tremont St,Suite OBC-03-2HH, Boston, MA 02120 USA.</t>
  </si>
  <si>
    <t>ichua@bwh.harvard.edu</t>
  </si>
  <si>
    <t>Bates, David/AAE-7283-2019; Hassett, Michael/M-5032-2019</t>
  </si>
  <si>
    <t>Chua, Isaac/0000-0002-8404-8452</t>
  </si>
  <si>
    <t>IBM Watson Health (Cambridge, MA); IBM Watson Health</t>
  </si>
  <si>
    <t>IBM Watson Health (Cambridge, MA)(International Business Machines (IBM)); IBM Watson Health(International Business Machines (IBM))</t>
  </si>
  <si>
    <t>This work was supported in part by IBM Watson Health (Cambridge, MA). I.S.C. and M.H. were partially supported by IBM Watson Health for efforts drafting this manuscript.</t>
  </si>
  <si>
    <t>2045-7634</t>
  </si>
  <si>
    <t>CANCER MED-US</t>
  </si>
  <si>
    <t>Cancer Med.</t>
  </si>
  <si>
    <t>10.1002/cam4.3935</t>
  </si>
  <si>
    <t>ST1RO</t>
  </si>
  <si>
    <t>WOS:000648073000001</t>
  </si>
  <si>
    <t>Amzile, K; Beraich, M; Amouri, I; Malainine, C</t>
  </si>
  <si>
    <t>Amzile, Karim; Beraich, Mohamed; Amouri, Imane; Malainine, Cheklekbire</t>
  </si>
  <si>
    <t>Towards a digital enterprise: the impact of Artificial Intelligence on the hiring process</t>
  </si>
  <si>
    <t>JOURNAL OF INTELLIGENCE STUDIES IN BUSINESS</t>
  </si>
  <si>
    <t>Artificial Neural Network (ANN); Human Resources (HR); Artificial Intelligence (AI); Digital Enterprise; Recruitment</t>
  </si>
  <si>
    <t>In this paper, we proposed a decision support tool for recruiters to improve their hiring decisions of suitable candidates for such a vacancy post. For this purpose, we proposed the use of the Artificial Neural Network (ANN) method from Artificial Intelligence (AI), thus we used real data from a recruitment agency. However, for the adopted methodology, we used the process opted by the methods and techniques related to Data Mining.As a result, after completing the modelling process, we were able to obtain a model capable of predicting the decision to accept or reject such a candidate for such a vacancy. However, we obtained a model with an accuracy of 99% as well as with a very low error rate.However, our results show that Artificial Intelligence techniques can provide a better decision support tool for recruiters while minimising the cost and time of processing applications and maximising the accuracy of the decisions made.</t>
  </si>
  <si>
    <t>[Amzile, Karim; Beraich, Mohamed] UM5 Rabat, FSJES Agdal, Rabat, Morocco; [Amouri, Imane; Malainine, Cheklekbire] Ibn Tofail Univ Kenitra, Kenitra, Morocco</t>
  </si>
  <si>
    <t>Ibn Tofail University of Kenitra</t>
  </si>
  <si>
    <t>Amzile, K (corresponding author), UM5 Rabat, FSJES Agdal, Rabat, Morocco.</t>
  </si>
  <si>
    <t>karim.amzile@um5r.ac.ma; mohamed_beraich@um5.ac.ma; imane.amouri@uit.ac.ma; malainine.chekh@yahoo.fr</t>
  </si>
  <si>
    <t>amzile, karim/HNJ-5856-2023</t>
  </si>
  <si>
    <t>amzile, karim/0000-0003-2999-6473</t>
  </si>
  <si>
    <t>HALMSTAD UNIV, SWEDEN</t>
  </si>
  <si>
    <t>HALMSTAD</t>
  </si>
  <si>
    <t>PO BOX 823, HALMSTAD, 30118, SWEDEN</t>
  </si>
  <si>
    <t>2001-015X</t>
  </si>
  <si>
    <t>J INTELL STUD BUS</t>
  </si>
  <si>
    <t>J. Intell. Stud. Bus.</t>
  </si>
  <si>
    <t>E6LO8</t>
  </si>
  <si>
    <t>WOS:000976637200003</t>
  </si>
  <si>
    <t>Pereira, V; Hadjielias, E; Christofi, M; Vrontis, D</t>
  </si>
  <si>
    <t>Pereira, Vijay; Hadjielias, Elias; Christofi, Michael; Vrontis, Demetris</t>
  </si>
  <si>
    <t>A systematic literature review on the impact of artificial intelligence on workplace outcomes: A multi-process perspective</t>
  </si>
  <si>
    <t>HUMAN RESOURCE MANAGEMENT REVIEW</t>
  </si>
  <si>
    <t>Artificial intelligence; Workplace outcomes; Integrative framework; Systematic review</t>
  </si>
  <si>
    <t>BUSINESS MODEL INNOVATION; NEURAL-NETWORKS; PERFORMANCE MANAGEMENT; KNOWLEDGE MANAGEMENT; TALENT MANAGEMENT; DECISION-SUPPORT; SOCIAL MEDIA; INDUSTRY 4.0; WORK; TECHNOLOGY</t>
  </si>
  <si>
    <t>Artificial intelligence (AI) can bring both opportunities and challenges to human resource management (HRM). While scholars have been examining the impact of AI on workplace outcomes more closely over the past two decades, the literature falls short in providing a holistic scholarly review of this body of research. Such a review is needed in order to: (a) guide future research on the effects of AI on the workplace; and (b) help managers make proper use of AI technology to improve workplace and organizational outcomes.This is the first systematic review to explore the relationship between artificial intelligence and workplace outcomes. Through an exhaustive systematic review and analysis of existing literature, we ultimately examine and cross-relate 60 papers, published in 30 leading international (AJG 3 and 4) journals over a period of 25 years (1995-2020). Our review researches the AI-workplace outcomes nexus by drawing on the major functions of human resource management and the process framework of 'antecedents, phenomenon, outcomes' at multiple levels of analysis. We review the sampled articles based on years of publication, theories, methods, and key themes across the 'antecedents, phenomenon, outcomes' framework. We provide useful directions for future research by embedding our discussion within HR literature, while we recommend topics drawing on alternative units of analysis and theories that draw on the individual, team, and institutional levels.</t>
  </si>
  <si>
    <t>[Pereira, Vijay] NEOMA Business Sch, Reims Campus, Reims Campus, Reims, France; [Hadjielias, Elias; Christofi, Michael] Cyprus Univ Technol, Sch Management &amp; Econ, 30 Archbishop Kyprianos St, CY-3036 Limassol, Cyprus; [Vrontis, Demetris] Univ Nicosia, 46 Makedonitissas Ave,POB 24005, CY-1700 Nicosia, Cyprus</t>
  </si>
  <si>
    <t>Cyprus University of Technology; University of Nicosia</t>
  </si>
  <si>
    <t>Hadjielias, E (corresponding author), Cyprus Univ Technol, Sch Management &amp; Econ, 30 Archbishop Kyprianos St, CY-3036 Limassol, Cyprus.</t>
  </si>
  <si>
    <t>vijay.pereira@port.ac.uk; elias.hadjielias@cut.ac.cy; michael.christofi@cut.ac.cy; vrontis.d@unic.ac.cy</t>
  </si>
  <si>
    <t>Hadjielias, Elias/W-8324-2019; Christofi, Michael/AAS-6989-2020; Pereira, Vijay/B-2736-2013</t>
  </si>
  <si>
    <t>Pereira, Vijay/0000-0001-6755-0793</t>
  </si>
  <si>
    <t>1053-4822</t>
  </si>
  <si>
    <t>1873-7889</t>
  </si>
  <si>
    <t>HUM RESOUR MANAGE R</t>
  </si>
  <si>
    <t>Hum. Resour. Manage. Rev.</t>
  </si>
  <si>
    <t>10.1016/j.hrmr.2021.100857</t>
  </si>
  <si>
    <t>6Y4WT</t>
  </si>
  <si>
    <t>WOS:000897097700019</t>
  </si>
  <si>
    <t>Areef, S; Amouri, L; El-Haggar, N; Moneer, A</t>
  </si>
  <si>
    <t>Areef, Sarah; Amouri, Lobna; El-Haggar, Nahla; Moneer, Aishah</t>
  </si>
  <si>
    <t>Exploring the Socio-economic Implications of Artificial Intelligence from Higher Education Student's Perspective</t>
  </si>
  <si>
    <t>Artificial intelligence; Saudi community; data analysis; social efficiency impact; economic productivity impact</t>
  </si>
  <si>
    <t>FUTURE; JOBS</t>
  </si>
  <si>
    <t>As a result of the instability of oil prices, the economic prospects of the Gulf region are increasing their focus on new technologies. Thus, Saudi Arabia has demonstrated a strong commitment towards the development and implementation of Artificial Intelligence (AI) technologies as alternative sources for revenue and growth in line with globalisation, development, and the vision 2030. This paper examines the impact of AI in the Saudi Arabia community, especially for social and economic evolution. Special focus on the use of smart cars and smart cameras to monitor intelligently traffic, public services and national security is explored. A total of 424 participants from Eastern Province took part in this study. Analysis and discussion of the obtained results are also presented. The findings showed that 75.71% of participants mostly highly agreed about the AI economic impact leading to an increase in both government and business financial incomes. Whereas only 59.84% of participants mostly highly agreed about the social impact of AI as they are worried about AI ethical concerns, job loss and the changing workforce.</t>
  </si>
  <si>
    <t>[Areef, Sarah; Amouri, Lobna; El-Haggar, Nahla; Moneer, Aishah] Imam Abdulrahman Bin Faisal Univ Community Coll, Comp Dept, Dammam, Saudi Arabia</t>
  </si>
  <si>
    <t>Areef, S (corresponding author), Imam Abdulrahman Bin Faisal Univ Community Coll, Comp Dept, Dammam, Saudi Arabia.</t>
  </si>
  <si>
    <t>Amouri, Lobna/GQH-9910-2022</t>
  </si>
  <si>
    <t>Bamatraf, Sarah/0000-0001-8031-1746; Amouri, Lobna/0000-0003-2250-9791</t>
  </si>
  <si>
    <t>UB9TB</t>
  </si>
  <si>
    <t>WOS:000686178900041</t>
  </si>
  <si>
    <t>Tagde, P; Tagde, S; Bhattacharya, T; Tagde, P; Chopra, H; Akter, R; Kaushik, D; Rahman, MH</t>
  </si>
  <si>
    <t>Tagde, Priti; Tagde, Sandeep; Bhattacharya, Tanima; Tagde, Pooja; Chopra, Hitesh; Akter, Rokeya; Kaushik, Deepak; Rahman, Md. Habibur</t>
  </si>
  <si>
    <t>Blockchain and artificial intelligence technology in e-Health</t>
  </si>
  <si>
    <t>Blockchain; Artificial intelligence; Electronic health records; e-Health; Data security</t>
  </si>
  <si>
    <t>LIVER-TRANSPLANTATION; SMART CONTRACTS; PREDICTION; RECORDS; VALIDATION; SURVIVAL; DISEASE; QUALITY; SYSTEM; IMPACT</t>
  </si>
  <si>
    <t>Blockchain and artificial intelligence technologies are novel innovations in healthcare sector. Data on healthcare indices are collected from data published on Web of Sciences and other Google survey from various governing bodies. In this review, we focused on various aspects of blockchain and artificial intelligence and also discussed about integrating both technologies for making a significant difference in healthcare by promoting the implementation of a generalizable analytical technology that can be integrated into a more comprehensive risk management approach. This article has shown the various possibilities of creating reliable artificial intelligence models in e-Health using blockchain, which is an open network for the sharing and authorization of information. Healthcare professionals will have access to the blockchain to display the medical records of the patient, and AI uses a variety of proposed algorithms and decision-making capability, as well as large quantities of data. Thus, by integrating the latest advances of these technologies, the medical system will have improved service efficiency, reduced costs, and democratized healthcare. Blockchain enables the storage of cryptographic records, which AI needs.</t>
  </si>
  <si>
    <t>[Tagde, Priti] Bhabha Univ Bhopal, Bhabha Pharm Res Inst, Bhopal, MP, India; [Tagde, Priti; Tagde, Sandeep] PRISAL Fdn, Pharmaceut Royal Int Soc, New Delhi, India; [Bhattacharya, Tanima] Hubei Univ, Sch Chem &amp; Chem Engn, Wuhan, Peoples R China; [Bhattacharya, Tanima] Novel Global Community Educ Fdn, Dept Sci &amp; Engn, Hebersham, Australia; [Tagde, Pooja] Govt Homeopathy Coll, Practice Med Dept, Bhopal, MP, India; [Chopra, Hitesh] Chitkara Coll Pharm, Rajpura 140401, Punjab, India; [Akter, Rokeya] Jagannath Univ, Dept Pharm, Dhaka 1100, Bangladesh; [Kaushik, Deepak] Maharshi Dayanand Univ, Dept Pharmaceut Sci, Rohtak 124001, Haryana, India; [Rahman, Md. Habibur] Southeast Univ, Dept Pharm, Dhaka 1213, Bangladesh</t>
  </si>
  <si>
    <t>Hubei University; Chitkara University, Punjab; Maharshi Dayanand University</t>
  </si>
  <si>
    <t>Tagde, P (corresponding author), Bhabha Univ Bhopal, Bhabha Pharm Res Inst, Bhopal, MP, India.;Tagde, P (corresponding author), PRISAL Fdn, Pharmaceut Royal Int Soc, New Delhi, India.;Rahman, MH (corresponding author), Southeast Univ, Dept Pharm, Dhaka 1213, Bangladesh.</t>
  </si>
  <si>
    <t>tagde_priti@rediffmail.com; pharmacisthabib@gmail.com</t>
  </si>
  <si>
    <t>Akter, Rokeya/AAC-5720-2021; KAUSHIK, DEEPAK/AAS-2170-2020; BHATTACHARYA, TANIMA/ISV-0043-2023; Chopra, Hitesh/AAA-6925-2021; Rahman, Md. Habibur/AAW-7551-2021; Tagde, Priti/ABF-1684-2021</t>
  </si>
  <si>
    <t>CHOPRA, HITESH/0000-0001-8867-7603</t>
  </si>
  <si>
    <t>10.1007/s11356-021-16223-0</t>
  </si>
  <si>
    <t>UX0YH</t>
  </si>
  <si>
    <t>WOS:000692096400006</t>
  </si>
  <si>
    <t>Liu, HA; Wang, Y; Yan, ZF</t>
  </si>
  <si>
    <t>Liu, Huanan; Wang, Yan; Yan, Zhoufu</t>
  </si>
  <si>
    <t>Artificial Intelligence and Food Processing Firms Productivity: Evidence from China</t>
  </si>
  <si>
    <t>artificial intelligence; food processing; manufacturing firms performance; labor force structure; total factor productivity</t>
  </si>
  <si>
    <t>TECHNOLOGY; EMPLOYMENT; AUTOMATION; FUTURE; TASKS; JOBS</t>
  </si>
  <si>
    <t>Amidst the tremendous evolution of the digital economy and the expedited establishment of a new development paradigm, the use of artificial intelligence (AI) technologies holds significant importance in achieving superior economic development. While much of the previous research focused on the macroeconomic impact of AI, this study examined how AI technology affects food processing firm performance, productivity, and labor skill structure at the food processing firm level. This study utilized panel data from listed food processing enterprises in Shanghai and Shenzhen spanning from 2010 to 2021, performing textual analysis on the annual reports of listed companies and then creating enterprise-level AI indicators to empirically examine the influence of AI applications on enterprise performance and its underlying mechanisms. The findings indicate a substantial improvement in business performance due to the application of artificial intelligence, which is a conclusion corroborated through a series of stability tests. Exploring channels and mechanisms, the analysis revealed that AI-driven advancements in production technologies stimulated the requirement for highly skilled labor, thereby inducing shifts in the labor force's structure. Further investigation demonstrated that artificial intelligence contributed to enhancing the total factor productivity, consequently bolstering the overall enterprise performance. A heterogeneity analysis showed that firm-level factors, such as the nature of property rights and factor intensity, had an impact on the influence of AI on firm performance. In addition, the geographic location and time of year of a company also had impacts on the productivity benefits of artificial intelligence. This research deepened the cognition and understanding of the role played by AI in the production process at the micro-enterprise level and provided suggestions for promoting the development of artificial intelligence technologies at the micro-enterprise level, which will facilitate the transformation of the labor structure to further augment enterprise efficiency.</t>
  </si>
  <si>
    <t>[Liu, Huanan; Wang, Yan; Yan, Zhoufu] Shanghai Ocean Univ, Coll Econ &amp; Management, Shanghai 201306, Peoples R China</t>
  </si>
  <si>
    <t>Shanghai Ocean University</t>
  </si>
  <si>
    <t>Yan, ZF (corresponding author), Shanghai Ocean Univ, Coll Econ &amp; Management, Shanghai 201306, Peoples R China.</t>
  </si>
  <si>
    <t>hnliu@shou.edu.cn; wang_yan202103@163.com; zfyan@shou.edu.cn</t>
  </si>
  <si>
    <t>10.3390/su16145928</t>
  </si>
  <si>
    <t>ZT1O4</t>
  </si>
  <si>
    <t>WOS:001277452400001</t>
  </si>
  <si>
    <t>Smith, RE</t>
  </si>
  <si>
    <t>Smith, Robert Elliott</t>
  </si>
  <si>
    <t>Idealizations of Uncertainty, and Lessons from Artificial Intelligence</t>
  </si>
  <si>
    <t>ECONOMICS-THE OPEN ACCESS OPEN-ASSESSMENT E-JOURNAL</t>
  </si>
  <si>
    <t>Uncertainty; probability; Bayesian; artificial intelligence</t>
  </si>
  <si>
    <t>FREE-ENERGY; RATIONALITY</t>
  </si>
  <si>
    <t>At a time when economics is giving intense scrutiny to the likely impact of artificial intelligence (AI) on the global economy, this paper suggests the two disciplines face a common problem when it comes to uncertainty. It is argued that, despite the enormous achievements of AI systems, it would be a serious mistake to suppose that such systems, unaided by human intervention, are as yet any nearer to providing robust solutions to the problems posed by Keynesian uncertainty. Under the radically uncertain conditions, human decision-making (for all its problems) has proved relatively robust, while decision making relying solely on deterministic rules or probabilistic models is bound to be brittle. AI remains dependent on techniques that are seldom seen in human decision-making, including assumptions of fully enumerable spaces of future possibilities, which are rigorously computed over, and extensively searched. Discussion of alternative models of human decision making under uncertainty follows, suggesting a future research agenda in this area of common interest to AI and economics.</t>
  </si>
  <si>
    <t>[Smith, Robert Elliott] UCL, Dept Comp Sci, London WC1E 6BT, England</t>
  </si>
  <si>
    <t>Smith, RE (corresponding author), UCL, Dept Comp Sci, London WC1E 6BT, England.</t>
  </si>
  <si>
    <t>robert.elliott.smith@gmail.com</t>
  </si>
  <si>
    <t>1864-6042</t>
  </si>
  <si>
    <t>ECONOMICS-KIEL</t>
  </si>
  <si>
    <t>Economics-Kiel</t>
  </si>
  <si>
    <t>MAR 21</t>
  </si>
  <si>
    <t>10.5018/economics-ejournal.ja.2016-7</t>
  </si>
  <si>
    <t>DH7HD</t>
  </si>
  <si>
    <t>WOS:000372962400001</t>
  </si>
  <si>
    <t>Qader, KS; Cek, K</t>
  </si>
  <si>
    <t>Qader, Khowanas Saeed; Cek, Kemal</t>
  </si>
  <si>
    <t>Influence of blockchain and artificial intelligence on audit quality: Evidence from Turkey</t>
  </si>
  <si>
    <t>Blockchain; Artificial intelligence; Audit quality; Turkey; Financial markets</t>
  </si>
  <si>
    <t>This study aims to investigate the influence of blockchain and artificial intelligence on the audit quality of firms from Turkey. Primary data from 300 respondents are collected through random sampling to attain the study's objectives. PLS-SEM is used to investigate the relationship between exogenous and endogenous variables. Our findings show that blockchain technologies and artificial intelligence (AI) utilization in their financial system positively impact audit quality by assisting in the audit process and the detection of fraud, which also improves financial reporting. Blockchain and Artificial Intelligence in the financial system create confidence for investors, stakeholders, and legislators. Moreover, this study advocated significant implications for investors, government, firms, and policymakers. Investors can make investment decisions based on the accuracy of the financial accounts; the government and policymakers can improve the governance mechanism by using the study's findings.</t>
  </si>
  <si>
    <t>[Qader, Khowanas Saeed; Cek, Kemal] Cyprus Int Univ, Dept Accounting &amp; Finance, Mersin 10, TR-99040 Lefkosa, Turkiye; [Qader, Khowanas Saeed] Lebanese French Univ, Coll Adm &amp; Econ, Dept Accounting &amp; Finance, Erbil 44001, Kurdistan Regio, Iraq</t>
  </si>
  <si>
    <t>Cyprus International University</t>
  </si>
  <si>
    <t>Qader, KS (corresponding author), Cyprus Int Univ, Dept Accounting &amp; Finance, Mersin 10, TR-99040 Lefkosa, Turkiye.</t>
  </si>
  <si>
    <t>khowanas.qader@lfu.edu.krd</t>
  </si>
  <si>
    <t>Qader, Khowanas/AGC-8909-2022; Cek, Kemal/AAA-2006-2019</t>
  </si>
  <si>
    <t>Qader, Khowanas/0000-0002-4056-0227</t>
  </si>
  <si>
    <t>MAY 15</t>
  </si>
  <si>
    <t>e30166</t>
  </si>
  <si>
    <t>10.1016/j.heliyon.2024.e30166</t>
  </si>
  <si>
    <t>ST3E2</t>
  </si>
  <si>
    <t>WOS:001236650900001</t>
  </si>
  <si>
    <t>Waymel, Q; Badr, S; Demondion, X; Cotten, A; Jacques, T</t>
  </si>
  <si>
    <t>Waymel, Q.; Badr, S.; Demondion, X.; Cotten, A.; Jacques, T.</t>
  </si>
  <si>
    <t>Impact of the rise of artificial intelligence in radiology: What do radiologists think?</t>
  </si>
  <si>
    <t>DIAGNOSTIC AND INTERVENTIONAL IMAGING</t>
  </si>
  <si>
    <t>Artificial intelligence (AI); Radiologists; Machine learning; Survey</t>
  </si>
  <si>
    <t>SEGMENTATION; TISSUE</t>
  </si>
  <si>
    <t>Purpose: The purpose of this study was to assess the perception, knowledge, wishes and expectations of a sample of French radiologists towards the rise of artificial intelligence (AI) in radiology. Material and method: A general data protection regulation-compliant electronic survey was sent by e-mail to the 617 radiologists registered in the French departments of Nord and Pasde-Calais (93 radiology residents and 524 senior radiologists), from both public and private institutions. The survey included 42 questions focusing on AI in radiology, and data were collected between January 16th and January 31st, 2019. The answers were analyzed together by a senior radiologist and a radiology resident. Results: A total of 70 radiology residents and 200 senior radiologists participated to the survey, which corresponded to a response rate of 43.8% (270/617). One hundred ninety-eight radiologists (198/270; 73.3%) estimated they had received insufficient previous information on AI. Two hundred and fifty-five respondents (255/270; 94.4%) would consider attending a generic continuous medical education in this field and 187 (187/270; 69.3%) a technically advanced training on AI. Two hundred and fourteen respondents (214/270; 79.3%) thought that AI will have a positive impact on their future practice. The highest expectations were the lowering of imaging-related medical errors (219/270; 81%), followed by the lowering of the interpretation time of each examination (201/270; 74.4%) and the increase in the time spent with patients (141/270; 52.2%). Conclusion: While respondents had the feeling of receiving insufficient previous information on AI, they are willing to improve their knowledge and technical skills on this field. They share an optimistic view and think that AI will have a positive impact on their future practice. A lower risk of imaging-related medical errors and an increase in the time spent with patients are among their main expectations. (C) 2019 Societe francaise de radiologie. Published by Elsevier Masson SAS. All rights reserved.</t>
  </si>
  <si>
    <t>[Waymel, Q.; Badr, S.; Demondion, X.; Cotten, A.; Jacques, T.] Univ Hosp Lille, Dept Musculoskeletal Radiol, F-59037 Lille, France; [Demondion, X.; Cotten, A.; Jacques, T.] Univ Lille, Lille Med Sch, F-59045 Lille, France</t>
  </si>
  <si>
    <t>Universite de Lille; CHU Lille; Universite de Lille</t>
  </si>
  <si>
    <t>Jacques, T (corresponding author), Univ Hosp Lille, Dept Musculoskeletal Radiol, F-59037 Lille, France.</t>
  </si>
  <si>
    <t>thibaut.jacques@chru-lille.fr</t>
  </si>
  <si>
    <t>BADR, Sammy/S-4459-2016</t>
  </si>
  <si>
    <t>BADR, Sammy/0000-0002-3485-6531</t>
  </si>
  <si>
    <t>ELSEVIER MASSON, CORPORATION OFFICE</t>
  </si>
  <si>
    <t>2211-5684</t>
  </si>
  <si>
    <t>DIAGN INTERV IMAG</t>
  </si>
  <si>
    <t>Diagn. Interv. Imaging</t>
  </si>
  <si>
    <t>10.1016/j.diii.2019.03.015</t>
  </si>
  <si>
    <t>IB2NE</t>
  </si>
  <si>
    <t>WOS:000470105200002</t>
  </si>
  <si>
    <t>Hamd, ZY; Alorainy, A; Aldhahi, M; Gareeballah, A; Alsubaie, NF; Alshanaiber, SA; Almudayhesh, NS; Alyousef, RA; AlNiwaider, RA; Moammar, LAB; Abuzaid, MM</t>
  </si>
  <si>
    <t>Hamd, Zuhal Y.; Alorainy, Amal, I; Aldhahi, Monira, I; Gareeballah, Awadia; Alsubaie, Naifah F.; Alshanaiber, Shahad A.; Almudayhesh, Nehal S.; Alyousef, Raneem A.; AlNiwaider, Reem A.; Moammar, Lamia A. Bin; Abuzaid, Mohamed M.</t>
  </si>
  <si>
    <t>Evaluation of the Impact of Artificial Intelligence on Clinical Practice of Radiology in Saudi Arabia</t>
  </si>
  <si>
    <t>JOURNAL OF MULTIDISCIPLINARY HEALTHCARE</t>
  </si>
  <si>
    <t>artificial intelligence; perceptions; knowledge; radiologists; radiographers</t>
  </si>
  <si>
    <t>RESIDENTS</t>
  </si>
  <si>
    <t>Background: Artificial Intelligence (AI) is becoming integral to the health sector, particularly radiology, because it enhances diagnostic accuracy and optimizes patient care. This study aims to assess the awareness and acceptance of AI among radiology professionals in Saudi Arabia, identifying the educational and training needs to bridge knowledge gaps and enhance AI-related competencies. Methods: This cross-sectional observational study surveyed radiology professionals across various hospitals in Saudi Arabia. Participants were recruited through multiple channels, including direct invitations, emails, social media, and professional societies. The survey comprised four sections: demographic details, perceptions of AI, knowledge about AI, and willingness to adopt AI in clinical practice. Results: Out of 374 radiology professionals surveyed, 45.2% acknowledged AI's significant impact on their field. Approximately 44% showed enthusiasm for AI adoption. However, 58.6% reported limited AI knowledge and inadequate training, with 43.6% identifying skill development and the complexity of AI educational programs as major barriers to implementation. Conclusion: While radiology professionals in Saudi Arabia are generally positive about integrating AI into clinical practice, significant gaps in knowledge and training need to be addressed. Tailored educational programs are essential to fully leverage AI's potential in improving medical imaging practices and patient care outcomes.</t>
  </si>
  <si>
    <t>[Hamd, Zuhal Y.; Alorainy, Amal, I; Alsubaie, Naifah F.; Alshanaiber, Shahad A.; Almudayhesh, Nehal S.; Alyousef, Raneem A.; AlNiwaider, Reem A.; Moammar, Lamia A. Bin] Princess Nourah Bint Abdulrahman Univ, Coll Hlth &amp; Rehabil Sci, Dept Radiol Sci, Riyadh 11671, Saudi Arabia; [Aldhahi, Monira, I] Princess Nourah Bint Abdulrahman Univ, Coll Hlth &amp; Rehabil Sci, Dept Rehabil Sci, Riyadh 11671, Saudi Arabia; [Gareeballah, Awadia] Taibah Univ, Coll Appl Med Sci, Dept Diagnost Radiol, Al Madinah Al Munawwarah, Saudi Arabia; [Abuzaid, Mohamed M.] Univ Sharjah, Coll Hlth Sci, Med Diagnost Imaging Dept, Sharjah, U Arab Emirates; [Abuzaid, Mohamed M.] Univ Sharjah, Res Inst Med &amp; Hlth Sci, Sharjah, U Arab Emirates</t>
  </si>
  <si>
    <t>Princess Nourah bint Abdulrahman University; Princess Nourah bint Abdulrahman University; Taibah University; University of Sharjah; University of Sharjah</t>
  </si>
  <si>
    <t>Hamd, ZY (corresponding author), Princess Nourah Bint Abdulrahman Univ, Coll Hlth &amp; Rehabil Sci, Dept Radiol Sci, Riyadh 11671, Saudi Arabia.</t>
  </si>
  <si>
    <t>zyhamd@pnu.edu.sa</t>
  </si>
  <si>
    <t>Hamd, Zuhal/JBR-9046-2023; Aldhahi, Monira/ABF-6238-2021</t>
  </si>
  <si>
    <t>Aldhahi, Monira/0000-0002-5255-4860; Gareeballah, Awadia/0000-0001-7320-2795; Hamd, Zuhal/0000-0003-2895-2284</t>
  </si>
  <si>
    <t>Deanship of Scientific Research and Libraries, Princess Nourah bint Abdulrahman University [RPFAP-44-1445]</t>
  </si>
  <si>
    <t>Deanship of Scientific Research and Libraries, Princess Nourah bint Abdulrahman University</t>
  </si>
  <si>
    <t>This research was funded by the Deanship of Scientific Research and Libraries, Princess Nourah bint Abdulrahman University, through the Program of Research Project Funding After publication, grant No.(RPFAP-44-1445).</t>
  </si>
  <si>
    <t>DOVE MEDICAL PRESS LTD</t>
  </si>
  <si>
    <t>ALBANY</t>
  </si>
  <si>
    <t>PO BOX 300-008, ALBANY, AUCKLAND 0752, NEW ZEALAND</t>
  </si>
  <si>
    <t>1178-2390</t>
  </si>
  <si>
    <t>J MULTIDISCIP HEALTH</t>
  </si>
  <si>
    <t>J. Multidiscip. Healthc.</t>
  </si>
  <si>
    <t>10.2147/JMDH.S465508</t>
  </si>
  <si>
    <t>I9F0W</t>
  </si>
  <si>
    <t>WOS:001333227900001</t>
  </si>
  <si>
    <t>Gencer, A</t>
  </si>
  <si>
    <t>Gencer, Adem</t>
  </si>
  <si>
    <t>Bibliometric analysis and research trends of artificial intelligence in lung cancer</t>
  </si>
  <si>
    <t>Artificial intelligence; Lung cancer; Bibliometric analysis; Research trends; Research hotspots</t>
  </si>
  <si>
    <t>NEURAL-NETWORKS; SYSTEM; GAME; GO</t>
  </si>
  <si>
    <t>Background: Due to the rapid advancement of technology, artificial intelligence (AI) has become extensively used for the diagnosis and prognosis of various diseases, such as lung cancer. Research in the field of literature has demonstrated that artificial intelligence (AI) can be valuable in the timely detection of lung cancer and the formulation of an effective treatment plan. This study aims to conduct a bibliometric analysis to examine and illustrate the specific areas of focus, research frontiers, evolutionary processes, and trends in existing research on artificial intelligence in the context of lung cancer. Methods: Publications on AI in lung cancer were selected from the SCIE and ESCI indexes on September 19, 2023. The examination of nations, academic publications, organizations, writers, citations, and terms in this domain was visually analyzed with InCites and VOSviewer. Results: In this study, a total of 4275 publications were selected and analyzed. Artificial intelligence-related lung cancer publications have increased significantly in the last 5 years. China and the USA have contributed the most to the literature in this field (1418 publications with 13.92 citation impacts and 1117 publications with 37.34 citation impacts, respectively). The institution with the highest contribution was Chinese Academy of Sciences, with 118 publications and 29.09 citation impacts. Among the research categories, Radiology, Nuclear Medicine &amp; Imaging, Oncology, and Engineering, Biomedical were in first place. Conclusion: The USA and China have always been leaders in this field and will continue to be for some time. Research in countries such as the Netherlands is increasing. However, research collaboration has to be strengthened in developing countries.</t>
  </si>
  <si>
    <t>[Gencer, Adem] Afyonkarahisar Hlth Sci Univ, Fac Med, Dept Thorac Surg, Dortyol Mah. 2078 Sok 3A Blok, Afyonkarahisar, Turkiye</t>
  </si>
  <si>
    <t>Afyonkarahisar Health Sciences University</t>
  </si>
  <si>
    <t>Gencer, A (corresponding author), Afyonkarahisar Hlth Sci Univ, Fac Med, Dept Thorac Surg, Dortyol Mah. 2078 Sok 3A Blok, Afyonkarahisar, Turkiye.</t>
  </si>
  <si>
    <t>dr.ademgencer@gmail.com</t>
  </si>
  <si>
    <t>Gencer, Adem/AAZ-8187-2020</t>
  </si>
  <si>
    <t>Gencer, Adem/0000-0003-1305-6524</t>
  </si>
  <si>
    <t>e24665</t>
  </si>
  <si>
    <t>10.1016/j.heliyon.2024.e24665</t>
  </si>
  <si>
    <t>IP6D9</t>
  </si>
  <si>
    <t>WOS:001167564000001</t>
  </si>
  <si>
    <t>Bianchini, S; Müller, M; Pelletier, P</t>
  </si>
  <si>
    <t>Bianchini, Stefano; Mueller, Moritz; Pelletier, Pierre</t>
  </si>
  <si>
    <t>Artificial intelligence in science: An emerging general method of invention</t>
  </si>
  <si>
    <t>RESEARCH POLICY</t>
  </si>
  <si>
    <t>Artificial intelligence; Emerging technologies; Method of invention; Scientific discovery; Novelty</t>
  </si>
  <si>
    <t>CREATIVITY; AUTOMATION; INNOVATION; KNOWLEDGE; NOVELTY</t>
  </si>
  <si>
    <t>This paper offers insights into the diffusion and impact of artificial intelligence in science. More specifically, we show that neural network-based technology meets the essential properties of emerging technologies in the scientific realm. It is novel, because it shows discontinuous innovations in the originating domain and is put to new uses in many application domains; it is quick growing, its dimensions being subject to rapid change; it is coherent, because it detaches from its technological parents, and integrates and is accepted in different scientific communities; and it has a prominent impact on scientific discovery, but a high degree of uncertainty and ambiguity associated with this impact. Our findings suggest that intelligent machines diffuse in the sciences, reshape the nature of the discovery process and affect the organization of science. We propose a new conceptual framework that considers artificial intelligence as an emerging general method of invention and, on this basis, derive its policy implications.</t>
  </si>
  <si>
    <t>[Bianchini, Stefano; Mueller, Moritz; Pelletier, Pierre] Univ Strasbourg, BETA, Strasbourg, France</t>
  </si>
  <si>
    <t>Universites de Strasbourg Etablissements Associes; Universite de Strasbourg</t>
  </si>
  <si>
    <t>Bianchini, S (corresponding author), Univ Strasbourg, BETA, Strasbourg, France.</t>
  </si>
  <si>
    <t>s.bianchini@unistra.fr; mueller@unistra.fr; p.pelletier@unistra.fr</t>
  </si>
  <si>
    <t>Pelletier, Pierre/0000-0003-0432-3037</t>
  </si>
  <si>
    <t>0048-7333</t>
  </si>
  <si>
    <t>1873-7625</t>
  </si>
  <si>
    <t>RES POLICY</t>
  </si>
  <si>
    <t>Res. Policy</t>
  </si>
  <si>
    <t>10.1016/j.respol.2022.104604</t>
  </si>
  <si>
    <t>6M0VF</t>
  </si>
  <si>
    <t>WOS:000888595500004</t>
  </si>
  <si>
    <t>White, A; Maguire, MB; Brown, A; Keen, D</t>
  </si>
  <si>
    <t>White, Anne; Maguire, Mary Beth; Brown, Austin; Keen, Diane</t>
  </si>
  <si>
    <t>Impact of Artificial Intelligence on Nursing Students' Attitudes toward Older Adults: A Pre/Post-Study</t>
  </si>
  <si>
    <t>NURSING REPORTS</t>
  </si>
  <si>
    <t>artificial intelligence; simulation training; aging; geriatrics; attitudes survey</t>
  </si>
  <si>
    <t>As the global population ages, nurses with a positive attitude toward caring for older adults is crucial. However, studies indicate that nursing students often exhibit negative attitudes toward older adults. This study aimed to determine if a three-phased educational intervention significantly improved nursing students' attitudes toward older adults. A pre/post-test study design was used to measure the change in nursing students' attitudes toward older adults, as measured by the UCLA Geriatrics Attitudes Survey, after participating in an Artificial Intelligence in Education learning event (n = 151). Results indicate that post-intervention scores (M = 35.07, SD = 5.34) increased from pre-intervention scores (M = 34.50, SD = 4.86). This difference was statistically significant at the 0.10 significance level (t = 1.88, p = 0.06). Incorporating artificial intelligence technology in a learning event is an effective educational strategy due to its convenience, repetition, and measurable learning outcomes. Improved attitudes toward older adults are foundational for delivering competent care to a rapidly growing aging population. This study was prospectively registered with the university's Institutional Review Board (IRB) on 30 July 2021 with the registration number IRB-FY22-3.</t>
  </si>
  <si>
    <t>[White, Anne; Maguire, Mary Beth; Keen, Diane] Kennesaw State Univ, WellStar Sch Nursing, Kennesaw, GA 30144 USA; [Brown, Austin] Kennesaw State Univ, Sch Data Sci &amp; Analyt, Kennesaw, GA 30144 USA</t>
  </si>
  <si>
    <t>University System of Georgia; Kennesaw State University; University System of Georgia; Kennesaw State University</t>
  </si>
  <si>
    <t>White, A (corresponding author), Kennesaw State Univ, WellStar Sch Nursing, Kennesaw, GA 30144 USA.</t>
  </si>
  <si>
    <t>awhite@kennesaw.edu; mbm2332@gmail.com; abrow708@kennesaw.edu; dkeen2@kennesaw.edu</t>
  </si>
  <si>
    <t>White, Anne/AHB-4791-2022; Brown, Austin/JCO-4183-2023</t>
  </si>
  <si>
    <t>Brown, Austin/0000-0003-1530-0009; Keen, Diane/0000-0003-2748-0430; White, Anne/0000-0003-2871-6468</t>
  </si>
  <si>
    <t>2039-439X</t>
  </si>
  <si>
    <t>2039-4403</t>
  </si>
  <si>
    <t>NURS REP</t>
  </si>
  <si>
    <t>Nurs. Rep.</t>
  </si>
  <si>
    <t>10.3390/nursrep14020085</t>
  </si>
  <si>
    <t>WR6J3</t>
  </si>
  <si>
    <t>WOS:001256636300001</t>
  </si>
  <si>
    <t>Aponte, WIG; Valle, VCLL; Fácio, RN</t>
  </si>
  <si>
    <t>Gallo Aponte, William Ivan; Lima Lopez Valle, Vivian Cristina; Facio, Rafaella Nataly</t>
  </si>
  <si>
    <t>THE USE OF ARTIFICIAL INTELLIGENCE IN THE REGULATORY ACTIVITY: A PROPOSAL IN SUPPORT OF SUSTAINABLE NATIONAL DEVELOPMENT</t>
  </si>
  <si>
    <t>VEREDAS DO DIREITO</t>
  </si>
  <si>
    <t>artificial intelligence (AI); regulatory activity; Regulatory Impact Analysis (AIR); regulatory quality; sustainable development</t>
  </si>
  <si>
    <t>The objective of this work is to analyze the regulatory function from the perspective of sustainable national development, intertwining the notion of regulatory quality or Smart regulation, and its instruments, specifically the Regulatory Impact Analysis (AIR) carried out with the support of artificial intelligence (AI). The methodology adopted was deductive, descriptive and comparative, combined with the research technique of indirect documentation of bibliographic and normative references. In the end, it is concluded that the use of artificial intelligence in the field of Regulatory Impact Analysis is viable and desirable to increase regulatory improvements and contribute to sustainable national development, considering the compatibility between the two and their ability to provide a more regulatory decision. technical and effective. Such practice, meanwhile, must be effective according to the presuppositions of two orders: (1) first, in relation to the extension of the possibility of using artificial intelligence as a substitute for the public agent, in that sense, it should be alerted and follow up on the possibility of AI replacing the decision of the public agent; (2) secondly, in relation to the mode of implementation of artificial intelligence, (2.1) the sequence of logical steps should be publicized. Of the algorithmic decision; (2.2) the provisions of the General Law on Data Protection must be observed, especially with regard to the processing of personal data by the Public Power.</t>
  </si>
  <si>
    <t>[Gallo Aponte, William Ivan] Univ Externado Colombia UEXTERNADO, Bogota, Colombia; [Lima Lopez Valle, Vivian Cristina] Pontificia Univ Catolica Parana PUC PR, Curitiba, Parana, Brazil; [Facio, Rafaella Nataly] Inst Direito Romeu Felipe Bacellar, Curitiba, Parana, Brazil</t>
  </si>
  <si>
    <t>Pontificia Universidade Catolica do Parana</t>
  </si>
  <si>
    <t>Aponte, WIG (corresponding author), Univ Externado Colombia UEXTERNADO, Bogota, Colombia.</t>
  </si>
  <si>
    <t>williamg.aponte@gmail.com; vivian.lima@pucpr.br; rafaellafacio@gmail.com</t>
  </si>
  <si>
    <t>Valle, Vivian Cristina/HJI-3952-2023</t>
  </si>
  <si>
    <t>ESCOLA SUPERIOR DOM HELDER CAMARA</t>
  </si>
  <si>
    <t>BELO HORIZONTE</t>
  </si>
  <si>
    <t>RUA ALVARES MACIEL 628, STA EFIGENIA, BELO HORIZONTE, MG 30150-250, BRAZIL</t>
  </si>
  <si>
    <t>1806-3845</t>
  </si>
  <si>
    <t>2179-8699</t>
  </si>
  <si>
    <t>VEREDAS DIREITO</t>
  </si>
  <si>
    <t>Veredas Direito</t>
  </si>
  <si>
    <t>10.18623/rvd.v17i39.1830</t>
  </si>
  <si>
    <t>PT9HU</t>
  </si>
  <si>
    <t>WOS:000608921800006</t>
  </si>
  <si>
    <t>Nair, AV; Ramanathan, S; Sathiadoss, P; Jajodia, A; Macdonald, B</t>
  </si>
  <si>
    <t>Nair, A. V.; Ramanathan, S.; Sathiadoss, P.; Jajodia, A.; Macdonald, Blair</t>
  </si>
  <si>
    <t>Barriers to Artificial Intelligence implementation in radiology practice: What the Radiologist needs to know</t>
  </si>
  <si>
    <t>Artificial Intelligence; Machine learning; Practice; Software</t>
  </si>
  <si>
    <t>COMPUTER-AIDED DIAGNOSIS; CONFLICT-OF-INTEREST; CHALLENGES</t>
  </si>
  <si>
    <t>Artificial Intelligence has the potential to disrupt the way clinical radiology is practiced globally. However, there are barriers that radiologists should be aware of prior to implementing Artificial Intelligence in daily practice. Barriers include regulatory compliance, ethical issues, data privacy, cybersecurity, AI training bias, and safe integration of AI into routine practice. In this article, we summarize the issues and the impact on clinical radiology. (C) 2022 SERAM. Published by Elsevier Espana, S.L.U. All rights reserved.</t>
  </si>
  <si>
    <t>[Nair, A. V.] Hamad Med Corp, Hosp Al Wakra, Dept Imagenol Clin, Doha, Qatar; [Ramanathan, S.] Hosp Al Wakra, Dept Radiol, Dept Imagenol Clin, Weill Cornell Med, Doha, Qatar; [Sathiadoss, P.] Univ Ottawa, Ottawa Hosp, Dept Radiol, Ottawa, ON, Canada; [Jajodia, A.] Univ McMaster, Juravinski Canc Ctr St Josephs Healthcare, Dept Radiol, Hamilton, ON, Canada; [Macdonald, Blair] Univ Ottawa, Dept Radiol, Ottawa, ON, Canada</t>
  </si>
  <si>
    <t>Hamad Medical Corporation; Qatar Foundation (QF); Weill Cornell Medical College Qatar; University of Ottawa; Ottawa Hospital Research Institute; McMaster University; University of Ottawa</t>
  </si>
  <si>
    <t>Nair, AV (corresponding author), Hamad Med Corp, Hosp Al Wakra, Dept Imagenol Clin, Doha, Qatar.</t>
  </si>
  <si>
    <t>dranirudhnair@gmail.com</t>
  </si>
  <si>
    <t>Nair, Anirudh/0000-0001-7662-7668; Sathiadoss, Paul/0000-0002-7460-0469</t>
  </si>
  <si>
    <t>10.1016/j.rx.2022.04.005</t>
  </si>
  <si>
    <t>4X8LL</t>
  </si>
  <si>
    <t>WOS:000861088300006</t>
  </si>
  <si>
    <t>Semenov, AL</t>
  </si>
  <si>
    <t>Semenov, A. L.</t>
  </si>
  <si>
    <t>Artificial Intelligence in Society</t>
  </si>
  <si>
    <t>DOKLADY MATHEMATICS</t>
  </si>
  <si>
    <t>artificial intelligence; extended personality; concern about the negative impact of AI; interstate regulation; European AI Law; Hiroshima AI Process; Knowledge Ark; Encyclopedia</t>
  </si>
  <si>
    <t>This article is the author's review of the singularity in which events in the field of artificial intelligence (AI) are developing. A general view is offered on the role of revolutions in information technology as they expand the human personality. The current stage of personal expansion is considered, covering the last decade, especially 2023. The most important and common socially significant documents expressing concern about AI, as well as those that assert an optimistic view of events, are considered: ethical principles, important directions, requirements, and restrictions. It takes a closer look at the pending European AI Act (AIA) and how different groups are reacting to it. Cultural and historical factors are highlighted that can counteract the negative and catastrophic developments that may result from AI. Possible mechanisms for preserving genuine knowledge among professionals and disseminating it among the general public are analyzed.</t>
  </si>
  <si>
    <t>[Semenov, A. L.] Lomonosov Moscow State Univ, Moscow, Russia; [Semenov, A. L.] Lobachevsky Inst Math &amp; Mech, Sci &amp; Educ Math Ctr Volga Fed Dist, Kazan, Russia; [Semenov, A. L.] Russian Acad Sci, Berg Inst Cybernet &amp; Educ Comp, Fed Res Ctr Comp Sci &amp; Control, Moscow, Russia</t>
  </si>
  <si>
    <t>Lomonosov Moscow State University; Russian Academy of Sciences; Federal Research Center Computer Science &amp; Control of RAS</t>
  </si>
  <si>
    <t>Semenov, AL (corresponding author), Lomonosov Moscow State Univ, Moscow, Russia.;Semenov, AL (corresponding author), Lobachevsky Inst Math &amp; Mech, Sci &amp; Educ Math Ctr Volga Fed Dist, Kazan, Russia.;Semenov, AL (corresponding author), Russian Acad Sci, Berg Inst Cybernet &amp; Educ Comp, Fed Res Ctr Comp Sci &amp; Control, Moscow, Russia.</t>
  </si>
  <si>
    <t>alsemno@ya.ru</t>
  </si>
  <si>
    <t>Semenov, Alexei/S-5268-2018</t>
  </si>
  <si>
    <t>Semenov, Alexei/0000-0002-1785-2387</t>
  </si>
  <si>
    <t>MAIK NAUKA/INTERPERIODICA/SPRINGER</t>
  </si>
  <si>
    <t>233 SPRING ST, NEW YORK, NY 10013-1578 USA</t>
  </si>
  <si>
    <t>1064-5624</t>
  </si>
  <si>
    <t>1531-8362</t>
  </si>
  <si>
    <t>DOKL MATH</t>
  </si>
  <si>
    <t>Dokl. Math.</t>
  </si>
  <si>
    <t>SUPPL 2</t>
  </si>
  <si>
    <t>S168</t>
  </si>
  <si>
    <t>S178</t>
  </si>
  <si>
    <t>10.1134/S106456242355001X</t>
  </si>
  <si>
    <t>Mathematics</t>
  </si>
  <si>
    <t>MC7S1</t>
  </si>
  <si>
    <t>WOS:001180328000002</t>
  </si>
  <si>
    <t>Gingras, D; Morrison, J</t>
  </si>
  <si>
    <t>Gingras, Darren; Morrison, Joshua</t>
  </si>
  <si>
    <t>ARTIFICIAL INTELLIGENCE AND FAMILY ODR</t>
  </si>
  <si>
    <t>FAMILY COURT REVIEW</t>
  </si>
  <si>
    <t>Artificial Intelligence; Family Law; Legal Technology; ODR; Online Dispute Resolution; Sole Practitioner</t>
  </si>
  <si>
    <t>In the last 10 years, Artificial Intelligence (AI) has become a buzzword hovering over many industries, including the legal industry. It is a concept that we all think we understand based on the media or our own experiences with Amazon's Alexa, Apple's Siri or IBM's Watson. Yet, the fact is that the majority of us have little to no understanding of AIs current practical application in our own industry or what it may mean to our practices tomorrow. To some, the potential of AI spreading and growing throughout the legal sector feels almost Orwellian-like partners or worse-replacements-who will deliver better, faster, and cheaper legal services. In this article we will answer the questions so many family lawyers seem be asking about AI: What is it really? Why are so many people so enamoured with it? And how will it impact legal services, especially for small firms or sole practitioners today and into the future?</t>
  </si>
  <si>
    <t>[Gingras, Darren; Morrison, Joshua] SIESDE Dispute Resolut Technol, Toronto, ON, Canada; [Gingras, Darren] IBM Canada, Innovat Program, ODR Technol, Toronto, ON, Canada; [Gingras, Darren] ADR Programs, Toronto, ON, Canada; [Gingras, Darren] Int Council Online Dispute Resolut, Toronto, ON, Canada; [Gingras, Darren] Ontario Assoc Family Mediat, Toronto, ON, Canada; [Gingras, Darren] ADR Inst Ontario, Toronto, ON, Canada; [Morrison, Joshua] Univ Toronto, Future Law Lab, Toronto, ON, Canada; [Morrison, Joshua] Ryerson Univ, Legal Innovat Zone, Toronto, ON, Canada</t>
  </si>
  <si>
    <t>International Business Machines (IBM); University of Toronto; Toronto Metropolitan University</t>
  </si>
  <si>
    <t>Gingras, D (corresponding author), SIESDE Dispute Resolut Technol, Toronto, ON, Canada.;Gingras, D (corresponding author), Int Council Online Dispute Resolut, Toronto, ON, Canada.;Gingras, D (corresponding author), Ontario Assoc Family Mediat, Toronto, ON, Canada.;Gingras, D (corresponding author), ADR Inst Ontario, Toronto, ON, Canada.</t>
  </si>
  <si>
    <t>dgingras@siesde.com</t>
  </si>
  <si>
    <t>1531-2445</t>
  </si>
  <si>
    <t>1744-1617</t>
  </si>
  <si>
    <t>FAM COURT REV</t>
  </si>
  <si>
    <t>Fam. Court Rev.</t>
  </si>
  <si>
    <t>10.1111/fcre.12569</t>
  </si>
  <si>
    <t>Family Studies; Law</t>
  </si>
  <si>
    <t>Family Studies; Government &amp; Law</t>
  </si>
  <si>
    <t>RU4DC</t>
  </si>
  <si>
    <t>WOS:000639599400001</t>
  </si>
  <si>
    <t>Fesakis, G; Prantsoudi, S</t>
  </si>
  <si>
    <t>Fesakis, Georgios; Prantsoudi, Stavroula</t>
  </si>
  <si>
    <t>Raising Artificial Intelligence Bias Awareness in Secondary Education: The Design of an Educational Intervention</t>
  </si>
  <si>
    <t>algorithmic bias; machine learning; artificial intelligence; secondary education</t>
  </si>
  <si>
    <t>The purpose of education should be to provide students with skills to thrive in their social and professional lives. To sufficiently prepare students for their future in a constantly evolving society, equal education in Artificial Intelligence (AI) is necessary. AI and its applications are already part of students' everyday lives. Smart devices, social media feeds and recommendation engines, digital voice assistants, videogames, and many other AI applications surround them. Such systems usually facilitate everyday life, however in several cases they may operate improperly due to algorithmic bias. What arises is the need to educate students in understanding and critically using AI technology. This work concerns the design of a secondary school educational intervention proposed to provide essential AI knowledge, by introducing students to AI and Machine Learning (ML) and further raising their awareness of algorithmic bias. The interventions' structure consists of an introduction and three lessons. Students are initially introduced to AI by identifying and discerning such applications in their everyday lives. They are guided to use selected AI applications, categorize them, and discuss the famous Turing test and its multiple social effects. What follows is a series of three lessons. In the first lesson students are introduced to ML, they train a ML model, and evaluate it to produce an optimal model for a certain problem. In the second lesson students code an application and embed the ML model they previously created in it. In the third lesson they discuss and learn about societal impacts of AI, algorithms, and data science. Students are introduced to the concept of algorithmic bias and highlight malfunctions caused from insufficient model training, due to non-representative or limited variety of the sample. They then discuss concerns and possible addressing of such cases. The proposed intervention is expected to raise students' awareness of AI and algorithmic bias and support them in creating Machine Learning applications and critically interacting with AI in their everyday lives.</t>
  </si>
  <si>
    <t>[Fesakis, Georgios; Prantsoudi, Stavroula] Univ Aegean, Mitilini, Greece</t>
  </si>
  <si>
    <t>University of Aegean</t>
  </si>
  <si>
    <t>Fesakis, G (corresponding author), Univ Aegean, Mitilini, Greece.</t>
  </si>
  <si>
    <t>gfesakis@aegean.gr; stapran@aegean.gr</t>
  </si>
  <si>
    <t>10.34190/EAIR.21.039</t>
  </si>
  <si>
    <t>WOS:000838033200005</t>
  </si>
  <si>
    <t>Putera, NSFMS; Saripan, H; Bajury, MSA; Yacob, SN</t>
  </si>
  <si>
    <t>Putera, Nurus Sakinatul Fikriah Mohd Shith; Saripan, Hartini; Bajury, Mimi Sintia A.; Yacob, Syazni Nadzirah</t>
  </si>
  <si>
    <t>Artificial Intelligence-Powered Criminal Sentencing in Malaysia: A conflict with the rule of law</t>
  </si>
  <si>
    <t>Artificial Intelligence; Artificial Intelligence in Courts; Artificial Intelligence in Criminal Justice</t>
  </si>
  <si>
    <t>Despite its promising benefits, Artificial Intelligence-powered sentencing may infringe the fundamental principle of due process, presents unacceptable risks of error and implicit bias, and reliance on AI to predict recidivism which forms significant components of the rule of law. The present research, therefore, examines technical characteristics and legal theoretical consequences of the technology used in court processes. Employing jurisprudential analysis as the method of research, this research explores an adjudicatory paradigm that prefers standardisation over discretion, leading in the waning of the notion of rule of law pertinent to the justice system.</t>
  </si>
  <si>
    <t>[Putera, Nurus Sakinatul Fikriah Mohd Shith; Saripan, Hartini; Bajury, Mimi Sintia A.; Yacob, Syazni Nadzirah] Univ Teknol MARA, Fac Law, Shah Alam, Malaysia</t>
  </si>
  <si>
    <t>Universiti Teknologi MARA - Lex Praesta Research Grant [600-TNCPI 5/3/DDF]</t>
  </si>
  <si>
    <t>Universiti Teknologi MARA - Lex Praesta Research Grant</t>
  </si>
  <si>
    <t>10.21834/ebpj.v7iSI7.3813</t>
  </si>
  <si>
    <t>WOS:001039360300020</t>
  </si>
  <si>
    <t>Fang, W; Sha, Y; Sheng, VS</t>
  </si>
  <si>
    <t>Fang, Wei; Sha, Yu; Sheng, Victor S.</t>
  </si>
  <si>
    <t>Survey on the Application of Artificial Intelligence in ENSO Forecasting</t>
  </si>
  <si>
    <t>MATHEMATICS</t>
  </si>
  <si>
    <t>climate disasters; ENSO forecasting; artificial intelligence; machine learning; deep learning</t>
  </si>
  <si>
    <t>NINO-SOUTHERN-OSCILLATION; SEA-SURFACE TEMPERATURE; EL-NINO; PREDICTION; MODEL; EVENTS; NETWORKS; CLIMATE; IMPACT</t>
  </si>
  <si>
    <t>Climate disasters such as floods and droughts often bring heavy losses to human life, national economy, and public safety. El Nino/Southern Oscillation (ENSO) is one of the most important inter-annual climate signals in the tropics and has a global impact on atmospheric circulation and precipitation. To address the impact of climate change, accurate ENSO forecasts can help prevent related climate disasters. Traditional prediction methods mainly include statistical methods and dynamic methods. However, due to the variability and diversity of the temporal and spatial evolution of ENSO, traditional methods still have great uncertainty in predicting ENSO. In recent years, with the rapid development of artificial intelligence technology, it has gradually penetrated into all aspects of people's lives, and the climate field has also benefited. For example, deep learning methods in artificial intelligence can automatically learn and train from a large amount of sample data, obtain excellent feature representation, and effectively improve the performance of various learning tasks. It is widely used in computer vision, natural language processing, and other fields. In 2019, Ham et al. used a convolutional neural network (CNN) model in ENSO forecasting 18 months in advance, and the winter ENSO forecasting skill could reach 0.64, far exceeding the dynamic model with a forecasting skill of 0.5. The research results were regarded as the pioneering work of deep learning in the field of weather forecasting. This paper introduces the traditional ENSO forecasting methods and focuses on summarizing the various latest artificial intelligence methods and their forecasting effects for ENSO forecasting, so as to provide useful reference for future research by researchers.</t>
  </si>
  <si>
    <t>[Fang, Wei; Sha, Yu] Nanjing Univ Informat Sci &amp; Technol, Engn Res Ctr Digital Forens, Sch Comp &amp; Software, Minist Educ, Nanjing 210044, Peoples R China; [Fang, Wei] Chinese Acad Meteorol Sci, State Key Lab Severe Weather, Beijing 100081, Peoples R China; [Fang, Wei] Nanjing Univ Informat Sci &amp; Technol, Jiangsu Collaborat Innovat Ctr Atmospher Environm, Nanjing 210044, Peoples R China; [Sheng, Victor S.] Texas Tech Univ, Dept Comp, Lubbock, TX 79409 USA</t>
  </si>
  <si>
    <t>Nanjing University of Information Science &amp; Technology; China Meteorological Administration; Chinese Academy of Meteorological Sciences (CAMS); Nanjing University of Information Science &amp; Technology; Texas Tech University System; Texas Tech University</t>
  </si>
  <si>
    <t>Fang, W (corresponding author), Nanjing Univ Informat Sci &amp; Technol, Engn Res Ctr Digital Forens, Sch Comp &amp; Software, Minist Educ, Nanjing 210044, Peoples R China.;Fang, W (corresponding author), Chinese Acad Meteorol Sci, State Key Lab Severe Weather, Beijing 100081, Peoples R China.;Fang, W (corresponding author), Nanjing Univ Informat Sci &amp; Technol, Jiangsu Collaborat Innovat Ctr Atmospher Environm, Nanjing 210044, Peoples R China.</t>
  </si>
  <si>
    <t>hsfangwei@sina.com</t>
  </si>
  <si>
    <t>Sha, Yu/JLM-8693-2023; Fang, Wei/CAA-1842-2022</t>
  </si>
  <si>
    <t>Fang, Wei/0000-0002-5561-7249</t>
  </si>
  <si>
    <t>National Natural Science Foundation of China [42075007]; Open Grants of the State Key Laboratory of Severe Weather [2021LASW-B19]</t>
  </si>
  <si>
    <t>National Natural Science Foundation of China(National Natural Science Foundation of China (NSFC)); Open Grants of the State Key Laboratory of Severe Weather</t>
  </si>
  <si>
    <t>This work was supported by the National Natural Science Foundation of China (Grant No. 42075007), the Open Grants of the State Key Laboratory of Severe Weather (No. 2021LASW-B19).</t>
  </si>
  <si>
    <t>2227-7390</t>
  </si>
  <si>
    <t>MATHEMATICS-BASEL</t>
  </si>
  <si>
    <t>10.3390/math10203793</t>
  </si>
  <si>
    <t>5P3SA</t>
  </si>
  <si>
    <t>WOS:000873073100001</t>
  </si>
  <si>
    <t>Kim, T; Lee, J</t>
  </si>
  <si>
    <t>Kim, Taekyun; Lee, Jeesu</t>
  </si>
  <si>
    <t>The impact of government-backed venture capital on artificial intelligence startups' productivity: focusing on broker roles</t>
  </si>
  <si>
    <t>Artificial intelligence startup; venture capital; proprietary data; R&amp;D testbed</t>
  </si>
  <si>
    <t>FIRMS; INVESTMENT; GROWTH; ENTREPRENEURS; INNOVATION; MODEL</t>
  </si>
  <si>
    <t>This study investigates the effects of government venture capitals (GVCs) backing on the productivity of startups compared to private venture capitals (PVCs). Based on a sample of 1,149 artificial intelligence startups in South Korea, we find that startups backed by GVCs show better productivity than those backed by PVCs. In examining the underlying mechanism of such higher performance by GVC-backing, we find that GVC-backed startups are more likely to acquire proprietary data and join R&amp;D testbed programmes, thus leading to better productivity compared with PVC-backed startups. We interpret our findings as evidence of the positive abilities of GVCs as intermediaries for their portfolio startups.</t>
  </si>
  <si>
    <t>[Kim, Taekyun] Univ Cote Azur, SKEMA Ctr Artificial Intelligence, SKEMA Business Sch, Sophia Antipolis, France; [Lee, Jeesu] Korea Adv Inst Sci &amp; Technol, Coll Business, Sch Business &amp; Technol Management, Daejeon, South Korea</t>
  </si>
  <si>
    <t>Universite Cote d'Azur; SKEMA Business School; Korea Advanced Institute of Science &amp; Technology (KAIST)</t>
  </si>
  <si>
    <t>Lee, J (corresponding author), Korea Adv Inst Sci &amp; Technol, Coll Business, Sch Business &amp; Technol Management, Daejeon, South Korea.</t>
  </si>
  <si>
    <t>jeesu94@kaist.ac.kr</t>
  </si>
  <si>
    <t>Ministry of Education of the Republic of Korea [NRF-2021R1A6A1A14045741]; National Research Foundation of Korea [NRF-2021R1A6A1A14045741]</t>
  </si>
  <si>
    <t>Ministry of Education of the Republic of Korea(Ministry of Education (MOE), Republic of Korea); National Research Foundation of Korea(National Research Foundation of Korea)</t>
  </si>
  <si>
    <t>This work was supported by Ministry of Education of the Republic of Korea and National Research Foundation of Korea: [grant no NRF-2021R1A6A1A14045741]</t>
  </si>
  <si>
    <t>2024 OCT 15</t>
  </si>
  <si>
    <t>10.1080/09537325.2024.2408731</t>
  </si>
  <si>
    <t>J4D1N</t>
  </si>
  <si>
    <t>WOS:001336576900001</t>
  </si>
  <si>
    <t>Pagliara, SM; Bonavolontà, G; Pia, M; Falchi, S; Zurru, AL; Fenu, G; Mura, A</t>
  </si>
  <si>
    <t>Pagliara, Silvio Marcello; Bonavolonta, Gianmarco; Pia, Mariella; Falchi, Stefania; Zurru, Antioco Luigi; Fenu, Gianni; Mura, Antonello</t>
  </si>
  <si>
    <t>The Integration of Artificial Intelligence in Inclusive Education: A Scoping Review</t>
  </si>
  <si>
    <t>inclusive education; Artificial Intelligence; disabilities; assistive technology; accessibility</t>
  </si>
  <si>
    <t>This scoping review seeks to map the landscape of how Artificial Intelligence (AI) is leveraged within educational environments to support students with disabilities and inclusive strategies and experiences. The research question concerns the role and impact of AI across diverse educational settings and, in particular: How is Artificial Intelligence (AI) being utilized within educational settings to support individuals with disabilities and promote inclusive education?. The review explores this question under four pivotal dimensions: Educational Context, Disabilities and Special Needs, Artificial Intelligence Technologies, and Inclusivity and Inclusive Practice. Each contributes to a comprehensive understanding of the interdisciplinary nature of this inquiry. To ensure a comprehensive analysis, four major research databases have been used: Scopus, EBSCO, ERIC, and Web of Science (WoS). This robust search strategy enabled us to capture a wide array of relevant literature. The review also addresses ethical considerations essential for the responsible integration of AI in education, such as privacy, accessibility, and bias. By mapping existing research and identifying gaps, this scoping review lays the groundwork for future advancements in AI-driven inclusive educational practices.</t>
  </si>
  <si>
    <t>[Pagliara, Silvio Marcello; Bonavolonta, Gianmarco; Pia, Mariella; Zurru, Antioco Luigi; Mura, Antonello] Univ Cagliari, Dept Literature Languages &amp; Cultural Heritage, Via Is Mirrionis 1, I-09123 Cagliari, Italy; [Falchi, Stefania] Univ Cagliari, Dept Pedag Psychol Philosophy, Via Is Mirrionis 1, I-09123 Cagliari, Italy; [Fenu, Gianni] Univ Cagliari, Dept Math &amp; Comp Sci, Palazzo Sci,Via Osped 72, I-09124 Cagliari, Italy</t>
  </si>
  <si>
    <t>University of Cagliari; University of Cagliari; University of Cagliari</t>
  </si>
  <si>
    <t>Pagliara, SM (corresponding author), Univ Cagliari, Dept Literature Languages &amp; Cultural Heritage, Via Is Mirrionis 1, I-09123 Cagliari, Italy.</t>
  </si>
  <si>
    <t>silviom.pagliara@unica.it; gianmarco.bonavolont@unica.it; mariella.pia@unica.it; stefania.falchi@unica.it; antiocol.zurru@unica.it; fenu@unica.it; amura@unica.it</t>
  </si>
  <si>
    <t>BONAVOLONTA', Gianmarco/ABG-4337-2020; Pagliara, Silvio/IWM-6716-2023</t>
  </si>
  <si>
    <t>Pagliara, Silvio Marcello/0000-0002-0175-5160; Bonavolonta, Gianmarco/0000-0001-7818-8865</t>
  </si>
  <si>
    <t>EUROPEAN UNION NEXT GENERATION EU-M4C2-INVESTMENT 1.5 [PNRR 4331-2024, B47E2BEDFE, F53C22000430001-PNRR CONTRACT FUNDED BY THE EUROPEAN UNION NEXT GENERATION EU-M4C2-INVESTMENT 1.5]; APC under the National Recovery and Resilience Plan (NRRP)</t>
  </si>
  <si>
    <t>EUROPEAN UNION NEXT GENERATION EU-M4C2-INVESTMENT 1.5(European Union (EU)Marie Curie Actions); APC under the National Recovery and Resilience Plan (NRRP)</t>
  </si>
  <si>
    <t>This research received funding for APC under the National Recovery and Resilience Plan (NRRP), Number PNRR 4331-2024, CIG: B47E2BEDFE, CUP: F53C22000430001-PNRR CONTRACT FUNDED BY THE EUROPEAN UNION NEXT GENERATION EU-M4C2-INVESTMENT 1.5.</t>
  </si>
  <si>
    <t>10.3390/info15120774</t>
  </si>
  <si>
    <t>Q4W8Z</t>
  </si>
  <si>
    <t>WOS:001384712700001</t>
  </si>
  <si>
    <t>Haga, SB</t>
  </si>
  <si>
    <t>Haga, Susanne B.</t>
  </si>
  <si>
    <t>Artificial intelligence, medications, pharmacogenomics, and ethics</t>
  </si>
  <si>
    <t>PHARMACOGENOMICS</t>
  </si>
  <si>
    <t>Artificial intelligence; pharmacogenomics; ethics; patient education; provider education</t>
  </si>
  <si>
    <t>CLINICAL DECISION-SUPPORT; HEALTH-CARE; PREDICTING RESPONSE; PUBLIC-ATTITUDES; PATIENT; MEDICINE; AI; PERFORMANCE; SYSTEMS; TRUST</t>
  </si>
  <si>
    <t>Artificial Intelligence (AI) and Machine Learning (ML) are revolutionizing various scientific and clinical disciplines including pharmacogenomics (PGx) by enabling the analysis of complex datasets and the development of predictive models. The integration of AI and ML with PGx has the potential to provide more precise, data-driven insights into new drug targets, drug efficacy, drug selection, and risk of adverse events. While significant effort to develop and validate these tools remain, ongoing advancements in AI technologies, coupled with improvements in data quality and depth is anticipated to drive the transition of these tools into clinical practice and delivery of individualized treatments and improved patient outcomes. The successful development and integration of AI-assisted PGx tools will require careful consideration of ethical, legal, and social issues (ELSI) in research and clinical practice. This paper explores the intersection of PGx with AI, highlighting current research and potential clinical applications, and ELSI including privacy, oversight, patient and provider knowledge and acceptance, and the impact on patient-provider relationship and new roles.</t>
  </si>
  <si>
    <t>[Haga, Susanne B.] Duke Univ, Sch Med, Dept Med, Div Gen Internal Med, CIEMAS Bldg 2180,101 Sci Dr, Durham, NC 27708 USA</t>
  </si>
  <si>
    <t>Haga, SB (corresponding author), Duke Univ, Sch Med, Dept Med, Div Gen Internal Med, CIEMAS Bldg 2180,101 Sci Dr, Durham, NC 27708 USA.</t>
  </si>
  <si>
    <t>sbhaga@duke.edu</t>
  </si>
  <si>
    <t>Ranse, Jamie/AAU-1649-2020</t>
  </si>
  <si>
    <t>Ranse, Jamie/0000-0002-5265-6365; Hagan, Stephanie/0000-0002-0731-7321</t>
  </si>
  <si>
    <t>1462-2416</t>
  </si>
  <si>
    <t>1744-8042</t>
  </si>
  <si>
    <t>Pharmacogenomics</t>
  </si>
  <si>
    <t>OCT 12</t>
  </si>
  <si>
    <t>14-15</t>
  </si>
  <si>
    <t>10.1080/14622416.2024.2428587</t>
  </si>
  <si>
    <t>Q0T9B</t>
  </si>
  <si>
    <t>WOS:001356195300001</t>
  </si>
  <si>
    <t>Oke, OA; Cavus, N</t>
  </si>
  <si>
    <t>Oke, Oluwafemi Ayotunde; Cavus, Nadire</t>
  </si>
  <si>
    <t>A systematic review on the impact of artificial intelligence on electrocardiograms in cardiology</t>
  </si>
  <si>
    <t>INTERNATIONAL JOURNAL OF MEDICAL INFORMATICS</t>
  </si>
  <si>
    <t>Artificial intelligence; Cardiology; Deep learning; Electrocardiogram; Machine learning</t>
  </si>
  <si>
    <t>Background: Artificial intelligence (AI) has revolutionized numerous industries, enhancing efficiency, scalability, and insight generation. In cardiology, particularly through electrocardiogram (ECG) analysis, AI has the potential to improve diagnostic accuracy and reduce the time needed for diagnosis. This systematic review explores the integration of AI, machine learning (ML), and deep learning (DL) in ECG analysis, focusing on their impact on predictive diagnostics and treatment support in cardiology. Methods: A systematic literature review was conducted following the PRISMA 2020 framework, using four highimpact databases to identify studies from 2014 to -2024. The inclusion criteria included English-language journal articles and research papers that focused on AI applications in cardiology, specifically ECG analysis. Records were screened, duplicates were removed, and final selections were made on the basis of their relevance to AI-ECG integration for cardiac health. Results: The review included 46 studies that met the inclusion criteria, covering diverse AI models such as CNNs, RNNs, and hybrid models. These models were applied to ECG data to detect and predict heart conditions such as arrhythmia, myocardial infarction, and heart failure. These findings indicate that AI-driven ECG analysis improves diagnostic accuracy and provides significant support for early diagnosis and personalized treatment. Conclusions: AI technologies, especially ML and DL, enhance ECG-based cardiology diagnostics by increasing accuracy, reducing diagnosis time, and supporting timely interventions and personalized care. Continued research in this area is essential to refine algorithms and integrate AI tools into clinical practice for improved patient outcomes in cardiology.</t>
  </si>
  <si>
    <t>[Oke, Oluwafemi Ayotunde; Cavus, Nadire] Near East Univ, Dept Comp Informat Syst, CY-99138 Nicosia, Cyprus; [Oke, Oluwafemi Ayotunde; Cavus, Nadire] Comp Informat Syst Res &amp; Technol Ctr, Istanbul, Turkiye</t>
  </si>
  <si>
    <t>Near East University</t>
  </si>
  <si>
    <t>Oke, OA (corresponding author), Near East Univ, Dept Comp Informat Syst, CY-99138 Nicosia, Cyprus.</t>
  </si>
  <si>
    <t>oke.oluwafemi_a@yahoo.com; nadire.cavus@neu.edu.tr</t>
  </si>
  <si>
    <t>Cavus, Nadire/C-4210-2016</t>
  </si>
  <si>
    <t>Oke, Oluwafemi/0000-0001-9040-0531</t>
  </si>
  <si>
    <t>1386-5056</t>
  </si>
  <si>
    <t>1872-8243</t>
  </si>
  <si>
    <t>INT J MED INFORM</t>
  </si>
  <si>
    <t>Int. J. Med. Inform.</t>
  </si>
  <si>
    <t>10.1016/j.ijmedinf.2024.105753</t>
  </si>
  <si>
    <t>Computer Science, Information Systems; Health Care Sciences &amp; Services; Medical Informatics</t>
  </si>
  <si>
    <t>Computer Science; Health Care Sciences &amp; Services; Medical Informatics</t>
  </si>
  <si>
    <t>R0E8A</t>
  </si>
  <si>
    <t>WOS:001388302600001</t>
  </si>
  <si>
    <t>De Vita, CG; Mellone, G; Di Luccio, D; Kosta, S; Ciaramella, A; Montella, R</t>
  </si>
  <si>
    <t>De Vita, Ciro Giuseppe; Mellone, Gennaro; Di Luccio, Diana; Kosta, Sokol; Ciaramella, Angelo; Montella, Raffaele</t>
  </si>
  <si>
    <t>AIQUAM: Artificial Intelligence-based water QUAlity Model</t>
  </si>
  <si>
    <t>2022 IEEE 18TH INTERNATIONAL CONFERENCE ON E-SCIENCE (ESCIENCE 2022)</t>
  </si>
  <si>
    <t>Proceeding IEEE International Conference on e-Science (e-Science)</t>
  </si>
  <si>
    <t>IEEE 18th International Conference on E-Science (E-Science)</t>
  </si>
  <si>
    <t>OCT 10-14, 2022</t>
  </si>
  <si>
    <t>Salt Lake City, UT</t>
  </si>
  <si>
    <t>IEEE,IEEE Comp Soc Tech Comm Parallel Proc,IEEE Tech Comm High Performance Comp,Intel,ViSOAR,Sci Comp &amp; Imaging Inst</t>
  </si>
  <si>
    <t>High-Performance Computing; Artificial Intelligence; Lagrangian model; Marine pollution forecast</t>
  </si>
  <si>
    <t>Monitoring the impact of the pollutants on the sea is a crucial issue for coastal human activities, such as aquaculture. However, leveraging a continuous microbiological laboratory analysis is unfeasible for costs and practical reasons. Here we present a novel methodology finalized to predict water quality as categorized indexes leveraging an integrated approach between computational components and artificial intelligence techniques. As a paradigm demonstrator, we couple WaComM++ with AIQUAM. The use case presented is an application of AIQUAM in the Bay of Naples (Campania Region, Italy) for predicting bacteria contaminants in mussel farms. The results are encouraging as the model reached a correct prediction rate of 93%.</t>
  </si>
  <si>
    <t>[De Vita, Ciro Giuseppe; Mellone, Gennaro; Di Luccio, Diana; Ciaramella, Angelo; Montella, Raffaele] Univ Naples Parthenope, Dept Sci &amp; Technol, Naples, Italy; [Kosta, Sokol] Aalborg Univ, Dept Elect Syst, Copenhagen, Denmark</t>
  </si>
  <si>
    <t>Parthenope University Naples; Aalborg University</t>
  </si>
  <si>
    <t>De Vita, CG (corresponding author), Univ Naples Parthenope, Dept Sci &amp; Technol, Naples, Italy.</t>
  </si>
  <si>
    <t>Montella, Raffaele/LSK-3630-2024; Kosta, Sokol/F-2711-2016</t>
  </si>
  <si>
    <t>Ciaramella, Angelo/0000-0001-5592-7995; Montella, Raffaele/0000-0002-4767-2045; De Vita, Ciro Giuseppe/0000-0002-3828-0170; Mellone, Gennaro/0000-0002-9545-9978; Kosta, Sokol/0000-0002-9441-4508</t>
  </si>
  <si>
    <t>2325-372X</t>
  </si>
  <si>
    <t>978-1-6654-6124-5</t>
  </si>
  <si>
    <t>P IEEE INT C E-SCI</t>
  </si>
  <si>
    <t>10.1109/eScience55777.2022.00058</t>
  </si>
  <si>
    <t>BU6RD</t>
  </si>
  <si>
    <t>WOS:000927625900044</t>
  </si>
  <si>
    <t>Claramunt, Jorge Castellanos</t>
  </si>
  <si>
    <t>Information management in the algorithmic paradigm: Artificial Intelligence and data protection</t>
  </si>
  <si>
    <t>METODOS DE INFORMACION</t>
  </si>
  <si>
    <t>Data protection; artificial intelligence; GDPR; big data; privacy</t>
  </si>
  <si>
    <t>Information management in the digital age, in a scenario in which artificial intelligence allows the treatment of countless personal data of citizens, is a subject on which it is legally and socially convenient to focus. In addition to taking into account the recent community and Spanish regulations, we must also observe the importance of new rights derived from the protection of citizens' data with their computerized treatment. Issues such as the right to be forgotten, the political impact of this data, the automation of decisions that affect us and the way in which data and its management by artificial intelligence are used in education and health are also of considerable relevance. Thus, the management of information becomes a digital right from which consequences are drawn for many other fundamental rights, an essential nucleus of whose reflection this work draws, concluding in a necessary conjugation of ethical and legal issues in the way of implementing artificial intelligence systems in the way of managing the rights and personal data of citizens.</t>
  </si>
  <si>
    <t>[Claramunt, Jorge Castellanos] Univ Valencia, Valencia, Spain</t>
  </si>
  <si>
    <t>Claramunt, JC (corresponding author), Univ Valencia, Valencia, Spain.</t>
  </si>
  <si>
    <t>jorge.castellanos@uv.es</t>
  </si>
  <si>
    <t>COLLEGI OFICIAL BIBLIOTECARIS &amp; DOCUMENTALISTES COMUNITAT VALENCI</t>
  </si>
  <si>
    <t>UNIV POLITECNICA VALENCIA, ETSINF, CAMINO VERA S-N, VALENCIA, 46022, SPAIN</t>
  </si>
  <si>
    <t>1134-2838</t>
  </si>
  <si>
    <t>2173-1241</t>
  </si>
  <si>
    <t>METODOS INF</t>
  </si>
  <si>
    <t>Metodos Inf.</t>
  </si>
  <si>
    <t>10.5557/IIMEI11-N21-059082</t>
  </si>
  <si>
    <t>QB3NI</t>
  </si>
  <si>
    <t>WOS:000614048400004</t>
  </si>
  <si>
    <t>McKendrick, M; Yang, S; McLeod, GA</t>
  </si>
  <si>
    <t>McKendrick, M.; Yang, S.; McLeod, G. A.</t>
  </si>
  <si>
    <t>The use of artificial intelligence and robotics in regional anaesthesia</t>
  </si>
  <si>
    <t>ANAESTHESIA</t>
  </si>
  <si>
    <t>artificial intelligence; regional anaesthesia; robotics; technology; ultrasonography</t>
  </si>
  <si>
    <t>EYE-TRACKING TECHNOLOGY; VIRTUAL-REALITY; ULTRASOUND; SIMULATOR; EXPERTISE; GUIDANCE; FEEDBACK</t>
  </si>
  <si>
    <t>The current fourth industrial revolution is a distinct technological era characterised by the blurring of physics, computing and biology. The driver of change is data, powered by artificial intelligence. The UK National Health Service Topol Report embraced this digital revolution and emphasised the importance of artificial intelligence to the health service. Application of artificial intelligence within regional anaesthesia, however, remains limited. An example of the use of a convoluted neural network applied to visual detection of nerves on ultrasound images is described. New technologies that may impact on regional anaesthesia include robotics and artificial sensing. Robotics in anaesthesia falls into three categories. The first, used commonly, is pharmaceutical, typified by target-controlled anaesthesia using electroencephalography within a feedback loop. Other types include mechanical robots that provide precision and dexterity better than humans, and cognitive robots that act as decision support systems. It is likely that the latter technology will expand considerably over the next decades and provide an autopilot for anaesthesia. Technical robotics will focus on the development of accurate sensors for training that incorporate visual and motion metrics. These will be incorporated into augmented reality and visual reality environments that will provide training at home or the office on life-like simulators. Real-time feedback will be offered that stimulates and rewards performance. In discussing the scope, applications, limitations and barriers to adoption of these technologies, we aimed to stimulate discussion towards a framework for the optimal application of current and emerging technologies in regional anaesthesia.</t>
  </si>
  <si>
    <t>[McKendrick, M.] Heriot Watt Univ, Sch Social Sci, Dept Psychol, Edinburgh, Midlothian, Scotland; [McKendrick, M.] Optomize Ltd, Glasgow, Lanark, Scotland; [Yang, S.] Univ Glasgow, James Watt Sch Engn, Glasgow, Lanark, Scotland; [McLeod, G. A.] Ninewells Hosp, Dept Anaesthesia, Dundee, Scotland; [McLeod, G. A.] Univ Dundee, Dundee, Scotland</t>
  </si>
  <si>
    <t>Heriot Watt University; University of Glasgow; University of Dundee; University of Dundee</t>
  </si>
  <si>
    <t>McLeod, GA (corresponding author), Ninewells Hosp, Dept Anaesthesia, Dundee, Scotland.;McLeod, GA (corresponding author), Univ Dundee, Dundee, Scotland.</t>
  </si>
  <si>
    <t>g.a.mcleod@dundee.ac.uk</t>
  </si>
  <si>
    <t>McLeod, Graeme/AAC-3885-2022; McLeod, Graeme/C-3405-2012</t>
  </si>
  <si>
    <t>McLeod, Graeme/0000-0001-5931-1362; McKendrick, Mel/0000-0002-7798-4381</t>
  </si>
  <si>
    <t>B. Braun; Philips</t>
  </si>
  <si>
    <t>We thank the Asimov Institute, Utrecht, The Netherlands, for permission to use their images of artificial neural networks. MM and GM have received grants from B. Braun and Philips to conduct research studies. MM is CEO of Optomize Ltd, a psychology and eye tracking company. GM is a member of the European Scientific Advisory Board of B. Braun/Philips. He received payment to present research on their behalf at ESRA 2018, Dublin and ESRA 2019, Bilbao. GM is a member of the advisory board of the Medical Device Manufacturing Centre, Heriot Watt University, Edinburgh, UK. No other competing interests declared.</t>
  </si>
  <si>
    <t>0003-2409</t>
  </si>
  <si>
    <t>1365-2044</t>
  </si>
  <si>
    <t>Anaesthesia</t>
  </si>
  <si>
    <t>10.1111/anae.15274</t>
  </si>
  <si>
    <t>PQ4QW</t>
  </si>
  <si>
    <t>WOS:000606531100016</t>
  </si>
  <si>
    <t>Hong, Y; Nguyen, A; Dang, B; Nguyen, BPT</t>
  </si>
  <si>
    <t>Chang, M; Chen, NS; Dascalu, M; Sampson, DG; Tlili, A; Trausan-Matu, S</t>
  </si>
  <si>
    <t>Hong, Yvonne; Nguyen, Andy; Dang, Belle; Nguyen, Bich-Phuong Thi</t>
  </si>
  <si>
    <t>Data Ethics Framework for Artificial Intelligence in Education (AIED)</t>
  </si>
  <si>
    <t>2022 INTERNATIONAL CONFERENCE ON ADVANCED LEARNING TECHNOLOGIES (ICALT 2022)</t>
  </si>
  <si>
    <t>IEEE International Conference on Advanced Learning Technologies</t>
  </si>
  <si>
    <t>22nd IEEE International Conference on Advanced Learning Technologies (ICALT)</t>
  </si>
  <si>
    <t>JUL 01-04, 2022</t>
  </si>
  <si>
    <t>IEEE Tech Community Learning Technol,IEEE Comp Soc</t>
  </si>
  <si>
    <t>Ethics; Privacy; Artificial Intelligence; AIED</t>
  </si>
  <si>
    <t>PRIVACY</t>
  </si>
  <si>
    <t>In recent years, we have gradually adopted the applications of artificial intelligence in education (AIED) to improve our understanding of students' learning and enhance their learning experiences. AIED can have a profound impact on the educational landscape, influencing the role of all involved in education. The adoption of AIED and its related large-scale data collection and analysis to do with learners seriously concern human-rights and related ethical and privacy aspects. This paper presents conceptual research establishing a data ethics framework for AIED by mapping and analyzing international organizations' current policies and guidelines. In addition to contributing to the discussion of the benefits of AI in education, this paper raises data ethics concern for AIED. The proposed framework helps promote the design, development, and implementation of ethical and trustworthy AIED.</t>
  </si>
  <si>
    <t>[Hong, Yvonne] Univ Auckland, Informat Syst &amp; Operat Management, Auckland, New Zealand; [Nguyen, Andy] Univ Oulu, Learning &amp; Educ Technol Res Unit, Oulu, Finland; [Dang, Belle] Univ Oulu, Fac Educ, Oulu, Finland; [Nguyen, Bich-Phuong Thi] Vietnam Natl Univ, Fac English Language Teacher Educ, Ho Chi Minh City, Vietnam</t>
  </si>
  <si>
    <t>University of Auckland; University of Oulu; University of Oulu; Vietnam National University Ho Chi Minh City (VNUHCM) System</t>
  </si>
  <si>
    <t>Hong, Y (corresponding author), Univ Auckland, Informat Syst &amp; Operat Management, Auckland, New Zealand.</t>
  </si>
  <si>
    <t>e.hong@auckland.ac.nz; andy.nguyen@oulu.fi; huong.dang@student.oulu.fi; bichphuong@vnu.edu.vn</t>
  </si>
  <si>
    <t>Hong, Yvonne/KGM-3746-2024; Nguyen, Andy/F-5932-2019</t>
  </si>
  <si>
    <t>Nguyen, Andy/0000-0002-0759-9656; Hong, Yvonne/0000-0002-0046-3983; Thi Nguyen, Bich-Phuong/0000-0003-1836-4403; Dang, Belle/0009-0006-8734-6697</t>
  </si>
  <si>
    <t>2161-3761</t>
  </si>
  <si>
    <t>978-1-6654-9519-6</t>
  </si>
  <si>
    <t>IEEE INT CONF ADV LE</t>
  </si>
  <si>
    <t>10.1109/ICALT55010.2022.00095</t>
  </si>
  <si>
    <t>Computer Science, Interdisciplinary Applications; Computer Science, Software Engineering; Education &amp; Educational Research</t>
  </si>
  <si>
    <t>BU2JW</t>
  </si>
  <si>
    <t>WOS:000885102700089</t>
  </si>
  <si>
    <t>Castillo-Pantoja, H; Pérez-Rodríguez, R; Avila-Rondón, R; Hernández-González, LW</t>
  </si>
  <si>
    <t>Castillo-Pantoja, Hiovanis; Perez-Rodriguez, Roberto; Avila-Rondon, Ricardo; Wilfredo Hernandez-Gonzalez, Luis</t>
  </si>
  <si>
    <t>Trends in the use of Artificial Intelligence in High-Speed Milling</t>
  </si>
  <si>
    <t>REVISTA CUBANA DE INGENIERIA</t>
  </si>
  <si>
    <t>Artificial Intelligence; High Speed Milling; bibliometric study</t>
  </si>
  <si>
    <t>SURFACE-ROUGHNESS; CHATTER DETECTION; TOOL WEAR; OPTIMIZATION; PREDICTION; QUALITY</t>
  </si>
  <si>
    <t>In the present work, a characterization of the scientific production related to the application of Artificial Intelligence in High-Speed Milling was carried out, through a bibliometric study. As sources of information, articles of the journals indexed in the Web of Science, Scopus and Science Direct databases were used. The bibliometric indicators of productivity, collaboration, impact and the analysis of the co-occurrence of keywords that allow the main research areas to be identified were analyzed. For the information treatment process, Microsoft Excel and VOSviewer computer programs were used. The results obtained show the relationship between High-Speed Milling and Artificial Intelligence, showing the new challenges in research. The main journals, keywords and subject fields were grouped. Emerging trends and issues that have not been sufficiently developed and require further investigation are presented.</t>
  </si>
  <si>
    <t>[Castillo-Pantoja, Hiovanis; Perez-Rodriguez, Roberto; Wilfredo Hernandez-Gonzalez, Luis] Univ Holguin, Ctr Estudios CAD CAM, Campus Oscar Lucero Moya,Ave 20 Aniversario S-N, Piedra Blanca, Cuba; [Avila-Rondon, Ricardo] Univ Autonoma Coahuila, Saltillo, Coahuila, Mexico</t>
  </si>
  <si>
    <t>Universidad Autonoma de Coahuila</t>
  </si>
  <si>
    <t>Hernández-González, LW (corresponding author), Univ Holguin, Ctr Estudios CAD CAM, Campus Oscar Lucero Moya,Ave 20 Aniversario S-N, Piedra Blanca, Cuba.</t>
  </si>
  <si>
    <t>wilfredo@uho.edu.cu</t>
  </si>
  <si>
    <t>Pérez-Rodríguez, Roberto/D-7023-2016</t>
  </si>
  <si>
    <t>INST SUPERIOR POLITECNICO JOSE ANTONIO ECHEVERRIA</t>
  </si>
  <si>
    <t>FAC INGENIERIA INDUSTRIAL, CALLE 114 MO 11901 &amp; CICLOVIA Y ROTONDA, MARIANAO 15, HAVANA, 00000, CUBA</t>
  </si>
  <si>
    <t>2223-1781</t>
  </si>
  <si>
    <t>REV CUBA ING</t>
  </si>
  <si>
    <t>Rev. Cuba Ing.</t>
  </si>
  <si>
    <t>e312</t>
  </si>
  <si>
    <t>UZ3EO</t>
  </si>
  <si>
    <t>WOS:000702091700013</t>
  </si>
  <si>
    <t>Ali, T; Ahmed, S; Aslam, M</t>
  </si>
  <si>
    <t>Ali, Tabish; Ahmed, Sarfaraz; Aslam, Muhammad</t>
  </si>
  <si>
    <t>Artificial Intelligence for Antimicrobial Resistance Prediction: Challenges and Opportunities towards Practical Implementation</t>
  </si>
  <si>
    <t>ANTIBIOTICS-BASEL</t>
  </si>
  <si>
    <t>antimicrobial resistance genes; artificial intelligence; deep learning; machine learning; challenges and opportunities</t>
  </si>
  <si>
    <t>GENES; SURVEILLANCE; ATTENTION; OUTCOMES</t>
  </si>
  <si>
    <t>Antimicrobial resistance (AMR) is emerging as a potential threat to many lives worldwide. It is very important to understand and apply effective strategies to counter the impact of AMR and its mutation from a medical treatment point of view. The intersection of artificial intelligence (AI), especially deep learning/machine learning, has led to a new direction in antimicrobial identification. Furthermore, presently, the availability of huge amounts of data from multiple sources has made it more effective to use these artificial intelligence techniques to identify interesting insights into AMR genes such as new genes, mutations, drug identification, conditions favorable to spread, and so on. Therefore, this paper presents a review of state-of-the-art challenges and opportunities. These include interesting input features posing challenges in use, state-of-the-art deep-learning/machine-learning models for robustness and high accuracy, challenges, and prospects to apply these techniques for practical purposes. The paper concludes with the encouragement to apply AI to the AMR sector with the intention of practical diagnosis and treatment, since presently most studies are at early stages with minimal application in the practice of diagnosis and treatment of disease.</t>
  </si>
  <si>
    <t>[Ali, Tabish] Hanyang Univ, Dept Civil &amp; Environm Engn, Seoul 04763, South Korea; [Ahmed, Sarfaraz] Hanyang Univ, Dept Elect &amp; Comp Engn, Seoul 04763, South Korea; [Aslam, Muhammad] Sejong Univ, Dept Artificial Intelligence, Seoul 05006, South Korea</t>
  </si>
  <si>
    <t>Hanyang University; Hanyang University; Sejong University</t>
  </si>
  <si>
    <t>Aslam, M (corresponding author), Sejong Univ, Dept Artificial Intelligence, Seoul 05006, South Korea.</t>
  </si>
  <si>
    <t>aslam@sejong.ac.kr</t>
  </si>
  <si>
    <t>Muhammad, Aslam/0000-0002-5854-8197</t>
  </si>
  <si>
    <t>2079-6382</t>
  </si>
  <si>
    <t>Antibiotics-Basel</t>
  </si>
  <si>
    <t>10.3390/antibiotics12030523</t>
  </si>
  <si>
    <t>Infectious Diseases; Pharmacology &amp; Pharmacy</t>
  </si>
  <si>
    <t>A7MC2</t>
  </si>
  <si>
    <t>WOS:000956912600001</t>
  </si>
  <si>
    <t>Yuriev, E; Wink, DJ; Holme, TA</t>
  </si>
  <si>
    <t>Yuriev, Elizabeth; Wink, Donald J.; Holme, Thomas A.</t>
  </si>
  <si>
    <t>Virtual Special Issue Call for Papers: Investigating the Uses and Impacts of Generative Artificial Intelligence in Chemistry Education</t>
  </si>
  <si>
    <t>JOURNAL OF CHEMICAL EDUCATION</t>
  </si>
  <si>
    <t>Artificial Intelligence; ChatGPT; GenerativeAI; Student Writing</t>
  </si>
  <si>
    <t>The Journal of Chemical Education announces a call for papers for an upcoming virtual special issue on studies about the emerging applications of generative artificial intelligence (AI). Predictions abound about the expected impacts of this new technology, and as increasing numbers of chemistry educators consider ways to incorporate it in their classrooms, the need for scholarly investigations grows. The virtual special issue will collect reports on such work and seek to establish early baselines of understanding the potential presented by tools such as ChatGPT and others. The timing for the collection's release is designed to gather information by August 2024 to help instructors contemplating use of these tools by the start of the 2024-2025 academic year in North America.</t>
  </si>
  <si>
    <t>[Yuriev, Elizabeth] Monash Univ, Fac Pharm &amp; Pharmaceut Sci, Clayton, Australia; [Wink, Donald J.] Univ Illinois, Dept Chem, Chicago, IL USA; [Holme, Thomas A.] Iowa State Univ, Dept Chem, Ames, IA USA</t>
  </si>
  <si>
    <t>Monash University; University of Illinois System; University of Illinois Chicago; University of Illinois Chicago Hospital; Iowa State University</t>
  </si>
  <si>
    <t>Yuriev, E (corresponding author), Monash Univ, Fac Pharm &amp; Pharmaceut Sci, Clayton, Australia.</t>
  </si>
  <si>
    <t>Yuriev, Elizabeth/A-7132-2016</t>
  </si>
  <si>
    <t>Yuriev, Elizabeth/0000-0002-3909-0379; Holme, Thomas/0000-0003-0590-5848; Wink, Donald/0000-0002-2475-2392</t>
  </si>
  <si>
    <t>0021-9584</t>
  </si>
  <si>
    <t>1938-1328</t>
  </si>
  <si>
    <t>J CHEM EDUC</t>
  </si>
  <si>
    <t>J. Chem. Educ.</t>
  </si>
  <si>
    <t>10.1021/acs.jchemed.3c00829</t>
  </si>
  <si>
    <t>Chemistry, Multidisciplinary; Education, Scientific Disciplines</t>
  </si>
  <si>
    <t>Chemistry; Education &amp; Educational Research</t>
  </si>
  <si>
    <t>T5OG7</t>
  </si>
  <si>
    <t>WOS:001078474700001</t>
  </si>
  <si>
    <t>Encarnacao, R; Manuel, T; Palheira, H; Neves-Amado, J; Alves, P</t>
  </si>
  <si>
    <t>Encarnacao, Ruben; Manuel, Tania; Palheira, Helder; Neves-Amado, Joao; Alves, Paulo</t>
  </si>
  <si>
    <t>Artificial Intelligence in Wound Care Education: Protocol for a Scoping Review</t>
  </si>
  <si>
    <t>artificial intelligence; wound; education; scoping review</t>
  </si>
  <si>
    <t>As healthcare continues evolving in the age of digital technology, the integration of artificial intelligence has emerged as a powerful force, particularly in wound care. The education of healthcare professionals in wound care is crucial for ensuring they acquire the necessary knowledge and skills, optimizing patient outcomes. This paper outlines the protocol for a scoping review with the goal of mapping and analyzing the current scientific evidence regarding the potential impact of artificial intelligence in wound care education. The current protocol follows the JBI methodological framework. The search was conducted in December 2023 in the following databases: CINAHL Complete (via EBSCOhost), MEDLINE (via PubMed), Cochrane Library, Academic Search Complete, Scientific Electronic Library Online (Scielo), Scopus, and Web of Science. Electronics searches were conducted in the Scientific Open Access Scientific Repositories of Portugal (RCAAP) and ProQuest Dissertations and Theses, OpenAIRE, and Open Dissertations databases to access gray literature. Additionally, searches were performed on Google Scholar and specific journals such as the International Wound Journal, Skin Research and Technology, Journal of Wound Care, and Wound Repair and Regeneration. The initial database searches retrieved a total of 11,323 studies. After removing duplicates, a total of 6450 studies were submitted for screening. Currently, 15 studies are included in this review, and data charting and analysis are underway. The findings of this scoping review will likely provide insights into the application of artificial intelligence in wound care education.</t>
  </si>
  <si>
    <t>[Encarnacao, Ruben; Manuel, Tania; Palheira, Helder; Neves-Amado, Joao; Alves, Paulo] Univ Catolica Portuguesa, Fac Hlth Sci &amp; Nursing, Ctr Interdisciplinary Res Hlth, P-4169005 Porto, Portugal; [Encarnacao, Ruben] Sao Joao Univ Hosp Ctr, Cardiol ICU, P-4200319 Porto, Portugal; [Manuel, Tania] Grp Saude Nuno Mendes, Prove pt, P-4560164 Penafiel, Portugal; [Palheira, Helder] HC Healthcare &amp; Innovat, P-4445176 Alfena, Portugal; [Palheira, Helder] Sao Joao Univ Hosp Ctr, Cardiothorac Ctr, P-4200319 Porto, Portugal</t>
  </si>
  <si>
    <t>Universidade Catolica Portuguesa</t>
  </si>
  <si>
    <t>Encarnacao, R (corresponding author), Univ Catolica Portuguesa, Fac Hlth Sci &amp; Nursing, Ctr Interdisciplinary Res Hlth, P-4169005 Porto, Portugal.;Encarnacao, R (corresponding author), Sao Joao Univ Hosp Ctr, Cardiol ICU, P-4200319 Porto, Portugal.</t>
  </si>
  <si>
    <t>rcencarnacao@ucp.pt; tscarvalho@ucp.pt; helder.palheira@hc-healthcare.com; jamado@ucp.pt; pjalves@ucp.pt</t>
  </si>
  <si>
    <t>Encarnação, Rúben/JJD-1640-2023; Alves, Paulo/AAD-1391-2019</t>
  </si>
  <si>
    <t>Manuel, Tania/0000-0003-0915-9950; Amado, Joao/0000-0002-5330-779X; Camara Encarnacao, Ruben Miguel/0000-0003-2666-7391; Palheira, Helder/0009-0009-4305-5136; Alves, Paulo/0000-0002-6348-3316</t>
  </si>
  <si>
    <t>FCT [UIDB/04279/2020]</t>
  </si>
  <si>
    <t>FCT(Fundacao para a Ciencia e a Tecnologia (FCT))</t>
  </si>
  <si>
    <t>This research was supported by national funds through FCT within the scope of the Centre for Interdisciplinary Research in Health (UIDB/04279/2020).</t>
  </si>
  <si>
    <t>10.3390/nursrep14010048</t>
  </si>
  <si>
    <t>MH7R1</t>
  </si>
  <si>
    <t>WOS:001192803100001</t>
  </si>
  <si>
    <t>He, MG; Li, ZX; Liu, C; Shi, DL; Tan, Z</t>
  </si>
  <si>
    <t>He, Mingguang; Li, Zhixi; Liu, Chi; Shi, Danli; Tan, Zachary</t>
  </si>
  <si>
    <t>Deployment of Artificial Intelligence in Real-World Practice: Opportunity and Challenge</t>
  </si>
  <si>
    <t>artificial intelligence; deployment; real-world</t>
  </si>
  <si>
    <t>GLAUCOMATOUS OPTIC NEUROPATHY; DIABETIC-RETINOPATHY; COHERENCE TOMOGRAPHY; AUTOMATED IDENTIFICATION; FUNDUS PHOTOGRAPHS; EVALUATION PROJECT; DEEP; VALIDATION; ACCURACY; PREDICTION</t>
  </si>
  <si>
    <t>Artificial intelligence has rapidly evolved from the experimental phase to the implementation phase in many image-driven clinical disciplines, including ophthalmology. A combination of the increasing availability of large datasets and computing power with revolutionary progress in deep learning has created unprecedented opportunities for major breakthrough improvements in the performance and accuracy of automated diagnoses that primarily focus on image recognition and feature detection. Such an automated disease classification would significantly improve the accessibility, efficiency, and cost-effectiveness of eye care systems where it is less dependent on human input, potentially enabling diagnosis to be cheaper, quicker, and more consistent. Although this technology will have a profound impact on clinical flow and practice patterns sooner or later, translating such a technology into clinical practice is challenging and requires similar levels of accountability and effectiveness as any new medication or medical device due to the potential problems of bias, and ethical, medical, and legal issues that might arise. The objective of this review is to summarize the opportunities and challenges of this transition and to facilitate the integration of artificial intelligence (AI) into routine clinical practice based on our best understanding and experience in this area.</t>
  </si>
  <si>
    <t>[He, Mingguang; Li, Zhixi; Liu, Chi; Shi, Danli] Sun Yat Sen Univ, Zhongshan Ophthalm Ctr, State Key Lab Ophthalmol, Guangzhou, Peoples R China; [He, Mingguang] Royal Victorian Eye &amp; Ear Hosp, Ctr Eye Res Australia, Melbourne, Vic 3003, Australia; [Liu, Chi] Univ Technol Sydney, Sch Comp Sci, Ultimo, NSW, Australia; [Tan, Zachary] Univ Queensland, Fac Med, Brisbane, Qld, Australia; [Tan, Zachary] Tsinghua Univ, Schwarzman Coll, Beijing, Peoples R China</t>
  </si>
  <si>
    <t>Sun Yat Sen University; Royal Victorian Eye &amp; Ear Hospital; Centre for Eye Research Australia; University of Technology Sydney; University of Queensland; Tsinghua University</t>
  </si>
  <si>
    <t>He, MG (corresponding author), Royal Victorian Eye &amp; Ear Hosp, Ctr Eye Res Australia, Melbourne, Vic 3003, Australia.</t>
  </si>
  <si>
    <t>mingguang.he@unimelb.edu.au</t>
  </si>
  <si>
    <t>He, Mingguang/AAY-5239-2020; Liu, Chi/KGK-6146-2024; Shi, Danli/KLD-8383-2024; Tan, Zachary/B-4529-2016</t>
  </si>
  <si>
    <t>Shi, Danli/0000-0001-6094-137X; Tan, Zachary/0000-0003-0213-9287; Liu, Chi/0000-0002-6428-5514</t>
  </si>
  <si>
    <t>National Key R&amp;D Program of China [2018YFC0116500]; Fundamental Research Funds of the State Key Laboratory in Ophthalmology, National Natural Science Foundation of China [81420108008]; Science and Technology Planning Project of Guangdong Province [2013B20400003]</t>
  </si>
  <si>
    <t>National Key R&amp;D Program of China; Fundamental Research Funds of the State Key Laboratory in Ophthalmology, National Natural Science Foundation of China(National Natural Science Foundation of China (NSFC)); Science and Technology Planning Project of Guangdong Province</t>
  </si>
  <si>
    <t>Supported in part by the National Key R&amp;D Program of China (2018YFC0116500), the Fundamental Research Funds of the State Key Laboratory in Ophthalmology, National Natural Science Foundation of China (81420108008), Science and Technology Planning Project of Guangdong Province (2013B20400003).</t>
  </si>
  <si>
    <t>ASIA-PACIFIC ACAD OPHTHALMOLOGY-APAO</t>
  </si>
  <si>
    <t>KOWLOON</t>
  </si>
  <si>
    <t>4-F, HONG KONG EYE HOSP, 147K ARGYLE ST, KOWLOON, KOWLOON, HONG KONG 00000, PEOPLES R CHINA</t>
  </si>
  <si>
    <t>10.1097/APO.0000000000000301</t>
  </si>
  <si>
    <t>MX2GL</t>
  </si>
  <si>
    <t>WOS:000557544400005</t>
  </si>
  <si>
    <t>Liu, JL; Xiao, HA; Fan, JW; Hu, WG; Yang, Y; Dong, P; Xing, L; Cai, J</t>
  </si>
  <si>
    <t>Liu, Jiali; Xiao, Haonan; Fan, Jiawei; Hu, Weigang; Yang, Yong; Dong, Peng; Xing, Lei; Cai, Jing</t>
  </si>
  <si>
    <t>An overview of artificial intelligence in medical physics and radiation oncology</t>
  </si>
  <si>
    <t>JOURNAL OF THE NATIONAL CANCER CENTER</t>
  </si>
  <si>
    <t>Artificial intelligence; Radiotherapy; Medical physics</t>
  </si>
  <si>
    <t>ADAPTIVE NEURAL-NETWORK; IMAGE REGISTRATION; AUTOMATIC SEGMENTATION; PREDICTION; MOTION; ORGANS; HEAD; CT; FRAMEWORK; SYSTEM</t>
  </si>
  <si>
    <t>Artificial intelligence (AI) is developing rapidly and has found widespread applications in medicine, especially radiotherapy. This paper provides a brief overview of AI applications in radiotherapy, and highlights the research directions of AI that can potentially make significant impacts and relevant ongoing research works in these directions. Challenging issues related to the clinical applications of AI, such as robustness and interpretability of AI models, are also discussed. The future research directions of AI in the field of medical physics and radiotherapy are highlighted.</t>
  </si>
  <si>
    <t>[Liu, Jiali] Univ Hong Kong, Dept Clin Oncol, Shenzhen Hosp, Shenzhen, Peoples R China; [Liu, Jiali] Univ Hong Kong, Li Ka Shing Fac Med, Dept Clin Oncol, Hong Kong, Peoples R China; [Xiao, Haonan; Cai, Jing] Hong Kong Polytech Univ, Dept Hlth Technol &amp; Informat, Hong Kong, Peoples R China; [Fan, Jiawei; Hu, Weigang] Fudan Univ, Shanghai Canc Ctr, Dept Radiat Oncol, Shanghai, Peoples R China; [Fan, Jiawei; Hu, Weigang] Fudan Univ, Shanghai Med Coll, Dept Oncol, Shanghai, Peoples R China; [Fan, Jiawei; Hu, Weigang] Shanghai Key Lab Radiat Oncol, Shanghai, Peoples R China; [Yang, Yong; Dong, Peng; Xing, Lei] Stanford Univ, Dept Radiat Oncol, Stanford, CA USA</t>
  </si>
  <si>
    <t>University of Hong Kong; University of Hong Kong; Hong Kong Polytechnic University; Fudan University; Fudan University; Stanford University</t>
  </si>
  <si>
    <t>Cai, J (corresponding author), Hong Kong Polytech Univ, Dept Hlth Technol &amp; Informat, Hong Kong, Peoples R China.</t>
  </si>
  <si>
    <t>jing.cai@polyu.edu.hk</t>
  </si>
  <si>
    <t>Hu, Weigang/ABB-9430-2021</t>
  </si>
  <si>
    <t>2667-0054</t>
  </si>
  <si>
    <t>J NATL CANCER CTR</t>
  </si>
  <si>
    <t>J. Natl. Cancer Cent.</t>
  </si>
  <si>
    <t>10.1016/j.jncc.2023.08.002</t>
  </si>
  <si>
    <t>U8GQ1</t>
  </si>
  <si>
    <t>WOS:001087134800001</t>
  </si>
  <si>
    <t>Glebova, E; Madsen, DO; Mihal'ová, P; Géczi, G; Mittelman, A; Jorgic, B</t>
  </si>
  <si>
    <t>Glebova, Ekaterina; Madsen, Dag Oivind; Mihal'ova, Paulina; Geczi, Gabor; Mittelman, Alexandra; Jorgic, Bojan</t>
  </si>
  <si>
    <t>Artificial intelligence development and dissemination impact on the sports industry labor market</t>
  </si>
  <si>
    <t>FRONTIERS IN SPORTS AND ACTIVE LIVING</t>
  </si>
  <si>
    <t>AI; artificial intelligence; sports; labour market; technological transformation; employment &amp; career; workforce; job role</t>
  </si>
  <si>
    <t>Purpose The objective of this study is to explore the impact of artificial intelligence (AI) development on the sports industry labor market, the ways in which AI has influenced the demand for labor, created new job opportunities, and impacted existing job roles. Methodology It refers to the inductive approach in the spirit technological determinism theory. It is based on the literature review and written qualitative, semi-structured interviews (N = 14) with sports human resources, management, and technology professionals (purposive sampling). Analysis involved inductive coding and line-by-line analytics of the data. Findings The labor market implications of AI in the sports industry are multifaceted. New job roles are likely to emerge, demanding a blend of AI expertise, data-analysis skills, and sports domain knowledge. Professionals in roles such as sports data analysts and marketing experts may find increasing opportunities. However, certain jobs undergo transformation as AI automates routine tasks. It requires individuals to upskill or transition to roles that require a deeper understanding of AI. This necessitates the creation of responsibilities focused on ethical AI governance and oversight. Originality It is important to research the impact of AI dissemination on the sports industry labor market in a holistic manner because the effects of AI are complex and far-reaching. While there are potential benefits to the implementation of AI, there are also potential risks and challenges that need to be addressed, the implementation of AI in the sports industry could have broader social and ethical implications that need to be considered.</t>
  </si>
  <si>
    <t>[Glebova, Ekaterina] Univ Paris Saclay, CIAMS, Orsay, France; [Madsen, Dag Oivind] Univ South Eastern Norway, USN Sch Business, Honefoss, Norway; [Mihal'ova, Paulina; Mittelman, Alexandra; Jorgic, Bojan] Comenius Univ, Fac Management, Bratislava, Slovakia; [Geczi, Gabor] Hungarian Univ Sports Sci HUSS, Dept Sport Management, Budapest, Hungary</t>
  </si>
  <si>
    <t>Universite Paris Saclay; University College of Southeast Norway; Comenius University Bratislava</t>
  </si>
  <si>
    <t>Glebova, E (corresponding author), Univ Paris Saclay, CIAMS, Orsay, France.;Madsen, DO (corresponding author), Univ South Eastern Norway, USN Sch Business, Honefoss, Norway.</t>
  </si>
  <si>
    <t>katrina.glebova@universite-paris-saclay.fr; dag.oivind.madsen@usn.no</t>
  </si>
  <si>
    <t>Glebova, Ekaterina/AEK-2058-2022; Mittelman, Alexandra/P-1467-2017; Madsen, Dag Oivind/I-1587-2016</t>
  </si>
  <si>
    <t>Madsen, Dag Oivind/0000-0001-8735-3332</t>
  </si>
  <si>
    <t>National Scholarship Program of Slovak Republic</t>
  </si>
  <si>
    <t>Authors are grateful to the National Scholarship Program of Slovak Republic for the financial support and opportunity of academic mobility. This study cannot be conducted without sport management, HR, and technology professionals and international experts who kindly accepted interview invitation and contributed to the dataset for this study, namely, Elena Kulagina, Egor Timme, Airnel Abarra, Aleksandra Peplowska, Hafsa Samahri, Zoltan Klink, Gergely Geczi, Judit Pandur, Kristof Vilagi, Attila Telegdi, Nagy Attila, among other anonymous interviewees.</t>
  </si>
  <si>
    <t>2624-9367</t>
  </si>
  <si>
    <t>FRONT SPORTS ACT LIV</t>
  </si>
  <si>
    <t>Front. Sports Act. Living</t>
  </si>
  <si>
    <t>MAR 28</t>
  </si>
  <si>
    <t>10.3389/fspor.2024.1363892</t>
  </si>
  <si>
    <t>Sport Sciences</t>
  </si>
  <si>
    <t>NI8N7</t>
  </si>
  <si>
    <t>WOS:001199916600001</t>
  </si>
  <si>
    <t>Ramalingam, M; Jaisankar, A; Cheng, LJ; Krishnan, S; Lan, L; Hassan, A; Sasmazel, HT; Kaji, H; Deigner, HP; Pedraz, JL; Kim, HW; Shi, Z; Marrazza, G</t>
  </si>
  <si>
    <t>Ramalingam, Murugan; Jaisankar, Abinaya; Cheng, Lijia; Krishnan, Sasirekha; Lan, Liang; Hassan, Anwarul; Sasmazel, Hilal Turkoglu; Kaji, Hirokazu; Deigner, Hans-Peter; Pedraz, Jose Luis; Kim, Hae-Won; Shi, Zheng; Marrazza, Giovanna</t>
  </si>
  <si>
    <t>Impact of nanotechnology on conventional and artificial intelligence-based biosensing strategies for the detection of viruses</t>
  </si>
  <si>
    <t>DISCOVER NANO</t>
  </si>
  <si>
    <t>Nanotechnology; Nanomaterials; Artificial intelligence; Nanobiosensors; Viral diagnostics</t>
  </si>
  <si>
    <t>ELECTROCHEMICAL DNA BIOSENSOR; POINT-OF-CARE; APTASENSOR; SENSORS; NANOCOMPOSITE; NANOPARTICLES; OLIGOMER</t>
  </si>
  <si>
    <t>Recent years have witnessed the emergence of several viruses and other pathogens. Some of these infectious diseases have spread globally, resulting in pandemics. Although biosensors of various types have been utilized for virus detection, their limited sensitivity remains an issue. Therefore, the development of better diagnostic tools that facilitate the more efficient detection of viruses and other pathogens has become important. Nanotechnology has been recognized as a powerful tool for the detection of viruses, and it is expected to change the landscape of virus detection and analysis. Recently, nanomaterials have gained enormous attention for their value in improving biosensor performance owing to their high surface-to-volume ratio and quantum size effects. This article reviews the impact of nanotechnology on the design, development, and performance of sensors for the detection of viruses. Special attention has been paid to nanoscale materials, various types of nanobiosensors, the internet of medical things, and artificial intelligence-based viral diagnostic techniques.</t>
  </si>
  <si>
    <t>[Ramalingam, Murugan; Cheng, Lijia; Lan, Liang; Shi, Zheng] Chengdu Univ, Clin Med Coll, Affiliated Hosp, Sch Basic Med Sci, Chengdu 610106, Peoples R China; [Ramalingam, Murugan; Kim, Hae-Won] Dankook Univ, Inst Tissue Regenerat Engn, Cheonan 31116, South Korea; [Ramalingam, Murugan; Kim, Hae-Won] Dankook Univ, Dept Nanobiomed Sci, Cheonan 31116, South Korea; [Ramalingam, Murugan; Kim, Hae-Won] Dankook Univ, NBM Global Res Ctr Regenerat Med BK21, Cheonan 31116, South Korea; [Ramalingam, Murugan; Kim, Hae-Won] Dankook Univ, Mechanobiol Dent Med Res Ctr, Cheonan 31116, South Korea; [Ramalingam, Murugan; Kim, Hae-Won] Dankook Univ, UCL Eastman Korea Dent Med Innovat Ctr, Cheonan 31116, South Korea; [Ramalingam, Murugan; Sasmazel, Hilal Turkoglu] Atilim Univ, Fac Engn, Dept Met &amp; Mat Engn, TR-06836 Ankara, Turkiye; [Jaisankar, Abinaya; Krishnan, Sasirekha] Vellore Inst Technol, Ctr Biomat Cellular &amp; Mol Theranost, Sch Mech Engn, Vellore 632014, India; [Hassan, Anwarul] Qatar Univ, Biomed Res Ctr, Dept Mech &amp; Ind Engn, Doha 2713, Qatar; [Kaji, Hirokazu] Tokyo Med &amp; Dent Univ, Inst Biomat &amp; Bioengn, Dept Biomech, Tokyo 1010062, Japan; [Deigner, Hans-Peter] Furtwangen Univ, Inst Precis Med, Med &amp; Life Sci Fac, D-78054 Villingen Schwenningen, Germany; [Pedraz, Jose Luis] Univ Basque Country, Sch Pharm, Lab Pharmaceut, NanoBioCel Grp, Vitoria 01006, Spain; [Pedraz, Jose Luis] Bioengn Biomat &amp; Nanomed, Biomed Res Networking Ctr, Madrid 28029, Spain; [Marrazza, Giovanna] Univ Florence, Dept Chem Ugo Schiff, I-50019 Florence, Italy</t>
  </si>
  <si>
    <t>Chengdu University; Dankook University; Dankook University; Dankook University; Dankook University; Dankook University; Atilim University; Vellore Institute of Technology (VIT); VIT Vellore; Qatar University; Institute of Science Tokyo; Tokyo Medical &amp; Dental University (TMDU); University of Basque Country; University of Florence</t>
  </si>
  <si>
    <t>Ramalingam, M; Shi, Z (corresponding author), Chengdu Univ, Clin Med Coll, Affiliated Hosp, Sch Basic Med Sci, Chengdu 610106, Peoples R China.;Ramalingam, M (corresponding author), Dankook Univ, Inst Tissue Regenerat Engn, Cheonan 31116, South Korea.;Ramalingam, M (corresponding author), Dankook Univ, Dept Nanobiomed Sci, Cheonan 31116, South Korea.;Ramalingam, M (corresponding author), Dankook Univ, NBM Global Res Ctr Regenerat Med BK21, Cheonan 31116, South Korea.;Ramalingam, M (corresponding author), Dankook Univ, Mechanobiol Dent Med Res Ctr, Cheonan 31116, South Korea.;Ramalingam, M (corresponding author), Dankook Univ, UCL Eastman Korea Dent Med Innovat Ctr, Cheonan 31116, South Korea.;Ramalingam, M (corresponding author), Atilim Univ, Fac Engn, Dept Met &amp; Mat Engn, TR-06836 Ankara, Turkiye.;Marrazza, G (corresponding author), Univ Florence, Dept Chem Ugo Schiff, I-50019 Florence, Italy.</t>
  </si>
  <si>
    <t>rmurug2000@gmail.com; shizheng@cdu.edu.cn; giovanna.marrazza@unifi.it</t>
  </si>
  <si>
    <t>Pedraz, Jose/AAR-1338-2021; Marrazza, Giovanna/F-8043-2017; Cheng, Lijia/HTN-5352-2023; Kaji, Hirokazu/T-2219-2019; Turkoglu Sasmazel, Hilal/V-6900-2018; Ramalingam, Murugan/AAV-1702-2020</t>
  </si>
  <si>
    <t>Ramalingam, Murugan/0000-0001-6498-9792; Turkoglu Sasmazel, Hilal/0000-0002-0254-4541</t>
  </si>
  <si>
    <t>Sichuan Provincial Science and Technology Foundation [22NZZH0031]; Medical Scientific Research Project of Chengdu City, China [2021043]; Natural Science Foundation of Sichuan Province, China [2022NSFSC1510]; ICTS NANBIOSIS, in particular by the Drug Formulation Unit (U10) of the CIBER in Bioengineering, Biomaterials and Nanomedicine (CIBER-BBN) at the University of the Basque Country (UPV/EHU) in Vitoria-Gasteiz; National Research Foundation of Korea [2018K1A4A3A01064257, F2018K1A4A3A01064257]; Baden-Wuerttemberg Ministry of Economy, Labor and Housing, Germany [354223.10/17]; Grants-in-Aid for Scientific Research [22K18936, 23K26514] Funding Source: KAKEN</t>
  </si>
  <si>
    <t>Sichuan Provincial Science and Technology Foundation; Medical Scientific Research Project of Chengdu City, China; Natural Science Foundation of Sichuan Province, China; ICTS NANBIOSIS, in particular by the Drug Formulation Unit (U10) of the CIBER in Bioengineering, Biomaterials and Nanomedicine (CIBER-BBN) at the University of the Basque Country (UPV/EHU) in Vitoria-Gasteiz; National Research Foundation of Korea(National Research Foundation of Korea); Baden-Wuerttemberg Ministry of Economy, Labor and Housing, Germany; Grants-in-Aid for Scientific Research(Ministry of Education, Culture, Sports, Science and Technology, Japan (MEXT)Japan Society for the Promotion of ScienceGrants-in-Aid for Scientific Research (KAKENHI))</t>
  </si>
  <si>
    <t>This work was supported by, Sichuan Provincial Science and Technology Foundation (22NZZH0031), Medical Scientific Research Project of Chengdu City, China (2021043), Natural Science Foundation of Sichuan Province, China (2022NSFSC1510), ICTS NANBIOSIS, in particular by the Drug Formulation Unit (U10) of the CIBER in Bioengineering, Biomaterials and Nanomedicine (CIBER-BBN) at the University of the Basque Country (UPV/EHU) in Vitoria-Gasteiz, and National Research Foundation of Korea (2018K1A4A3A01064257 and F2018K1A4A3A01064257), Baden-Wuerttemberg Ministry of Economy, Labor and Housing, Germany (AsphyxDx project: 35-4223.10/17). The authors would like to thank all the reviewers and editorial members who participated in the review.</t>
  </si>
  <si>
    <t>2731-9229</t>
  </si>
  <si>
    <t>DISCOV NANO</t>
  </si>
  <si>
    <t>Discov. Nano.</t>
  </si>
  <si>
    <t>10.1186/s11671-023-03842-4</t>
  </si>
  <si>
    <t>Nanoscience &amp; Nanotechnology; Materials Science, Multidisciplinary; Physics, Applied</t>
  </si>
  <si>
    <t>Science &amp; Technology - Other Topics; Materials Science; Physics</t>
  </si>
  <si>
    <t>F3YC0</t>
  </si>
  <si>
    <t>WOS:000981725300001</t>
  </si>
  <si>
    <t>Guha, A; Grewal, D; Kopalle, PK; Haenlein, M; Schneider, MJ; Jung, H; Moustafa, R; Hegde, DR; Hawkins, G</t>
  </si>
  <si>
    <t>Guha, Abhijit; Grewal, Dhruv; Kopalle, Praveen K.; Haenlein, Michael; Schneider, Matthew J.; Jung, Hyunseok; Moustafa, Rida; Hegde, Dinesh R.; Hawkins, Gary</t>
  </si>
  <si>
    <t>How artificial intelligence will affect the future of retailing</t>
  </si>
  <si>
    <t>JOURNAL OF RETAILING</t>
  </si>
  <si>
    <t>Artificial intelligence; Retailing; Ethics; Privacy; Bias</t>
  </si>
  <si>
    <t>EXPERIENCES</t>
  </si>
  <si>
    <t>Artificial intelligence (AI) will substantially impact retailing. Building on past research and from interviews with senior managers, we examine how senior retailing managers should think about adopting AI, involving factors such as the extent to which an AI application is customer-facing, the amount of value creation, whether the AI application is online, and extent of ethics concerns. In addition, we highlight that the near-term impact of AI on retailing may not be as pronounced as the popular press might suggest, and also that AI is likely to be more effective if it focuses on augmenting (rather than replacing) managers' judgments. Finally, while press coverage typically involves customer-facing AI applications, we highlight that a lot of value can be obtained by adopting non-customer-facing applications. Overall, we remain very optimistic as regards the impact of AI on retailing. Finally, we lay out a research agenda and also outline implications for practice. (C) 2021 Published by Elsevier Inc. on behalf of New York University.</t>
  </si>
  <si>
    <t>[Guha, Abhijit] Univ South Carolina, Columbia, SC 29208 USA; [Grewal, Dhruv] Babson Coll, Babson Pk, MA 02157 USA; [Kopalle, Praveen K.] Dartmouth Coll, Hanover, NH 03755 USA; [Haenlein, Michael] ESCP, Sch Business, Paris, France; [Schneider, Matthew J.] Drexel Univ, LeBow Coll Business, Philadelphia, PA 19104 USA; [Jung, Hyunseok] Univ Arkansas, Sam M Walton Coll Business, Fayetteville, AR 72701 USA; [Moustafa, Rida] Walmart, Bentonville, AK USA; [Hegde, Dinesh R.] Univ Arkansas, Fayetteville, AR 72701 USA</t>
  </si>
  <si>
    <t>University of South Carolina System; University of South Carolina Columbia; Babson College; Dartmouth College; heSam Universite; ESCP Business School; Drexel University; University of Arkansas System; University of Arkansas Fayetteville; Wal-Mart Stores Inc; University of Arkansas System; University of Arkansas Fayetteville</t>
  </si>
  <si>
    <t>Guha, A (corresponding author), Univ South Carolina, Columbia, SC 29208 USA.</t>
  </si>
  <si>
    <t>abhijit.guha@moore.sc.edu; dgrewal@babson.edu; praveen.k.kopalle@tuck.dartmouth.edu; haenlein@escp.eu; mjs624@drexel.edu; hjung@walton.uark.edu; Rida.Moustafa@walmart.com; dhegde@uark.edu; ghawk40@hotmail.com</t>
  </si>
  <si>
    <t>Haenlein, Michael/H-7852-2015; Schneider, Matthew/MAH-2360-2025; Grewal, Dhruv/B-7264-2013</t>
  </si>
  <si>
    <t>Haenlein, Michael/0000-0001-6175-4947; Grewal, Dhruv/0000-0002-7046-6063</t>
  </si>
  <si>
    <t>0022-4359</t>
  </si>
  <si>
    <t>1873-3271</t>
  </si>
  <si>
    <t>J RETAILING</t>
  </si>
  <si>
    <t>J. Retail.</t>
  </si>
  <si>
    <t>10.1016/j.jretai.2021.01.005</t>
  </si>
  <si>
    <t>RP9WR</t>
  </si>
  <si>
    <t>WOS:000642072700005</t>
  </si>
  <si>
    <t>López-Blanco, R; Alonso, RS; Rodríguez-González, S; Prieto, J; Corchado, JM</t>
  </si>
  <si>
    <t>Lopez-Blanco, Raul; Alonso, Ricardo S.; Rodriguez-Gonzalez, Sara; Prieto, Javier; Corchado, Juan M.</t>
  </si>
  <si>
    <t>Trustworthy Artificial Intelligence-based federated architecture for symptomatic disease detection</t>
  </si>
  <si>
    <t>NEUROCOMPUTING</t>
  </si>
  <si>
    <t>Trustworthy Artificial Intelligence; Federated learning; Internet of Things; Healthcare; COVID-19</t>
  </si>
  <si>
    <t>The recent viral outbreaks have had a significant impact on interpersonal relationships, particularly in enclosed spaces. Detecting and preventing the transmission of diseases such as COVID-19 has become a top priority. These diseases are typically identifiable through the symptoms they cause in humans. However, the collection of personal and health data for use in Artificial Intelligence models can give rise to ethical, security, and privacy issues. Therefore, it is necessary to have architectures that maintain the principles of Trustworthy Artificial Intelligence by design. This work proposes a decentralised architecture based on Federated Learning for symptomatic disease detection using the edge computing paradigm, storing the information in the device that collected it, and the foundations of Trustworthy Artificial Intelligence. The architecture is designed to be robust, secure, transparent, and responsible while maintaining data privacy. The proposed approach can be used with medical information capture systems with different user profiles.</t>
  </si>
  <si>
    <t>[Lopez-Blanco, Raul; Rodriguez-Gonzalez, Sara; Prieto, Javier; Corchado, Juan M.] Univ Salamanca, BISITE Res Grp, Edificio I D i,Calle Espejo 2, Salamanca 37007, Castile, Spain; [Lopez-Blanco, Raul; Rodriguez-Gonzalez, Sara; Prieto, Javier; Corchado, Juan M.] Univ Salamanca, BISITE Res Grp, Edificio I D i,Calle Espejo 2, Salamanca 37007, Leon, Spain; [Alonso, Ricardo S.; Corchado, Juan M.] AIR Inst, Deep tech lab IoT Digital Innovat Hub, Paseo Belen 9A, Valladolid 47011, Castile, Spain; [Alonso, Ricardo S.; Corchado, Juan M.] AIR Inst, Deep tech lab IoT Digital Innovat Hub, Paseo Belen 9A, Valladolid 47011, Leon, Spain; [Alonso, Ricardo S.] Int Univ Rioja, UNIR, Ave Paz 137, Logrono 26006, La Rioja, Spain</t>
  </si>
  <si>
    <t>University of Salamanca; University of Salamanca; Universidad Internacional de La Rioja (UNIR)</t>
  </si>
  <si>
    <t>López-Blanco, R (corresponding author), Univ Salamanca, BISITE Res Grp, Edificio I D i,Calle Espejo 2, Salamanca 37007, Castile, Spain.;López-Blanco, R (corresponding author), Univ Salamanca, BISITE Res Grp, Edificio I D i,Calle Espejo 2, Salamanca 37007, Leon, Spain.</t>
  </si>
  <si>
    <t>raullb@usal.es</t>
  </si>
  <si>
    <t>; Corchado, Juan Manuel/D-3229-2013; Rodriguez Gonzalez, Sara/N-4457-2013; Prieto, Javier/H-3704-2015; Alonso Rincon, Ricardo S./W-8845-2018</t>
  </si>
  <si>
    <t>Lopez-Blanco, Raul/0000-0002-8856-4008; Corchado, Juan Manuel/0000-0002-2829-1829; Rodriguez Gonzalez, Sara/0000-0002-3081-5177; Prieto, Javier/0000-0001-8175-2201; Alonso Rincon, Ricardo S./0000-0002-6599-0186</t>
  </si>
  <si>
    <t>Spanish Ministry of Science and Innovation [CNS2022-135101]; European Union NextGenerationEU/PRTR</t>
  </si>
  <si>
    <t>Spanish Ministry of Science and Innovation(Ministry of Science and Innovation, Spain (MICINN)Spanish Government); European Union NextGenerationEU/PRTR(European Union (EU))</t>
  </si>
  <si>
    <t>This research has been partially supported by the Spanish Ministry of Science and Innovation under the RESILIENCE project (CNS2022-135101, MCIN/AEI/10.13039/501100011033) and by the European Union NextGenerationEU/PRTR.</t>
  </si>
  <si>
    <t>0925-2312</t>
  </si>
  <si>
    <t>1872-8286</t>
  </si>
  <si>
    <t>Neurocomputing</t>
  </si>
  <si>
    <t>APR 28</t>
  </si>
  <si>
    <t>10.1016/j.neucom.2024.127415</t>
  </si>
  <si>
    <t>PA6C8</t>
  </si>
  <si>
    <t>WOS:001211388800001</t>
  </si>
  <si>
    <t>Huang, Y; Yang, XQ</t>
  </si>
  <si>
    <t>Huang, Yao; Yang, Xueqin</t>
  </si>
  <si>
    <t>EXPLORING THE INTEGRATION OF ARTIFICIAL INTELLIGENCE IN THE SPORTS TOURISM INDUSTRY</t>
  </si>
  <si>
    <t>REVISTA INTERNACIONAL DE MEDICINA Y CIENCIAS DE LA ACTIVIDAD FISICA Y DEL DEPORTE</t>
  </si>
  <si>
    <t>Artificial Intelligence; Tourism Industry; Sports; Industry Integration</t>
  </si>
  <si>
    <t>Artificial intelligence (AI) has advanced from a theoretical concept to a practical application thanks to the quick development of computer science and information technology. AI, a fundamental component of contemporary civilization, has a growing impact on all facets of daily life, including sports training. Artificial intelligence (AI) can be viewed as a supporting technology that specifically supports athletes' physical education training through methods like data analysis and simulation of training scenarios. Even though research on AI is still in its early stages, it is important to investigate how it may be used in sports training because this cutting -edge technology could in some ways make it easier for individuals to train physically. This study begins by reviewing the prior work on AI applications. In, this study investigates three specific situations of AI application in sports training and describes the key concepts based on the core idea and related research findings of AI. This study focuses on the close connection between artificial intelligence (AI) and physical education instruction and emphasises the benefits of AI, such as its use, ease, and innovation. This study creates the appropriate information data interface mode based on the integration of the sports tourist sector and the culture industry.</t>
  </si>
  <si>
    <t>[Huang, Yao] Guangxi Normal Univ, Sch Literature, Guilin 541000, Peoples R China; [Yang, Xueqin] Yunnan Univ, Inst Phys Educ, Kunming 650000, Peoples R China</t>
  </si>
  <si>
    <t>Guangxi Normal University; Yunnan University</t>
  </si>
  <si>
    <t>Huang, Y (corresponding author), Guangxi Normal Univ, Sch Literature, Guilin 541000, Peoples R China.</t>
  </si>
  <si>
    <t>gxnuwxyhy@mailbox.gxnu.edu.cn</t>
  </si>
  <si>
    <t>RED IRIS</t>
  </si>
  <si>
    <t>EDIF BRONCE, PLAZA DE MANUEL GOMEZ MORENO, S-N 2A PLANTA, MADRID, 28020, SPAIN</t>
  </si>
  <si>
    <t>1577-0354</t>
  </si>
  <si>
    <t>REV INT MED CIENC AC</t>
  </si>
  <si>
    <t>Rev. Int. Med. Cienc. Act. Fis. Dep.</t>
  </si>
  <si>
    <t>10.15366/rimcafd2024.95.014</t>
  </si>
  <si>
    <t>QT0E5</t>
  </si>
  <si>
    <t>WOS:001222995400017</t>
  </si>
  <si>
    <t>Gu, JQ; Wu, Z; Song, YB; Nicolescu, AC</t>
  </si>
  <si>
    <t>Gu, Jianqiang; Wu, Zhan; Song, Yubing; Nicolescu, Ana-Cristina</t>
  </si>
  <si>
    <t>A win-win relationship? New evidence on artificial intelligence and new energy vehicles</t>
  </si>
  <si>
    <t>Artificial intelligence; Electric vehicles; Win -win relationship; Dynamic</t>
  </si>
  <si>
    <t>ELECTRIC VEHICLES; REGRESSION</t>
  </si>
  <si>
    <t>Investigating the vital role of artificial intelligence is essential to develop the electric vehicle market. This study utilises the wavelet-based QQR methodology to seize the dynamic correlation of artificial intelligence index (AII) and electric vehicle indicator (EVI). Based on quantitative deliberations, the favourable effects of AII on EVI at low-low and high-high quantiles and adverse impacts at high-low and low-high quantiles in the short run confirm the role of artificial intelligence in facilitating the electric vehicle market. However, the favourable effect of AII at medium to high quantiles on EVI at low quantiles refutes it because of the crowding-out effect. Conversely, the positive impact of EVI at medium to high quantiles on AII at low to medium quantiles ascertains the crowdingout effect of electric vehicles, while AII at medium to high quantiles cannot agree on it due to safety and convenience needs. In the mid-to-long term, the interactions of AII and EVI are gradually weakened, and speculative behaviours, crowding-out effects, and safety concerns drive the different cases. Therefore, a win-win situation between them does not always hold, and recommendations are being offered to enhance the significance of artificial intelligence in electric vehicles under the new round of scientific and technological revolution.</t>
  </si>
  <si>
    <t>[Gu, Jianqiang] Yangzhou Univ, Business Sch, Yangzhou, Peoples R China; [Wu, Zhan] Univ Sydney, Business Sch, Discipline Int Business, Sydney, Australia; [Song, Yubing] Ocean Univ China, Sch Management, Qingdao, Peoples R China; [Nicolescu, Ana-Cristina] West Univ Timisoara, Fac Econ &amp; Business Adm, Finance Dept, Timisoara, Romania</t>
  </si>
  <si>
    <t>Yangzhou University; University of Sydney; Ocean University of China; West University of Timisoara</t>
  </si>
  <si>
    <t>Gu, JQ (corresponding author), Yangzhou Univ, Business Sch, Yangzhou, Peoples R China.</t>
  </si>
  <si>
    <t>jqgu@yzu.edu.cn; zhan.wu@sydney.edu.au; cristina.nicolescu@e-uvt.ro</t>
  </si>
  <si>
    <t>ANA-CRISTINA, NICOLESCU/GOH-0345-2022</t>
  </si>
  <si>
    <t>ANA-CRISTINA, NICOLESCU/0000-0003-0659-4789</t>
  </si>
  <si>
    <t>National Natural Science Foundation (NNSF) of China [72372117]</t>
  </si>
  <si>
    <t>National Natural Science Foundation (NNSF) of China(National Natural Science Foundation of China (NSFC))</t>
  </si>
  <si>
    <t>Zhan Wu acknowledges the support of National Natural Science Foundation (NNSF) of China (72372117) .</t>
  </si>
  <si>
    <t>10.1016/j.eneco.2024.107613</t>
  </si>
  <si>
    <t>XX5N1</t>
  </si>
  <si>
    <t>WOS:001264989700001</t>
  </si>
  <si>
    <t>Costa-Jussà, MR; Nogués, MM</t>
  </si>
  <si>
    <t>Costa-Jussa, Marta R.; Melero Nogues, Maite</t>
  </si>
  <si>
    <t>CONVERSATIONS AROUND ARTIFICIAL INTELLIGENCE FROM THE CATALAN PERSPECTIVE</t>
  </si>
  <si>
    <t>REVISTA DE LLENGUA I DRET-JOURNAL OF LANGUAGE AND LAW</t>
  </si>
  <si>
    <t>artificial intelligence; deep learning; unsupervised learning; neural networks; language and technology; technology and ethics</t>
  </si>
  <si>
    <t>Artificial intelligence moves millions of euros and occupies an important part of governments' political and strategic agendas. In this article we reflect on this varied concept through interviews with three people who hold important positions in the field of artificial intelligence and who also have in common the fact that they were born and trained in Catalonia. We talked with them about the origins of this technological revolution, its impact on social organization and the labour market, its ethical implications, the future trends which are emerging and also on what role we Catalans play in this. With regards to the Catalan question we wanted to know if our universities are capable of generating the necessary talent, how to strategically boost the fabric of business in this area, what role the Administration should play and what should happen for artificial intelligence to communicate in Catalan. Throughout these conversations, the interviewees have conveyed to us the urgency and need to work on the definition of country-specific strategies in order not to be left behind socially and structurally in what seems to be a revolution without limits.</t>
  </si>
  <si>
    <t>[Costa-Jussa, Marta R.] UPC, Ramon Y Cajal, Barcelona, Spain; [Costa-Jussa, Marta R.] UPC, ERC, Barcelona, Spain; [Costa-Jussa, Marta R.] Machine Translat Grp, Barcelona, Spain; [Melero Nogues, Maite] Machine Translat Grp, Data Min Unit, Barcelona Supercomp Ctr, Barcelona, Spain</t>
  </si>
  <si>
    <t>Universitat Politecnica de Catalunya; Universitat Politecnica de Catalunya; Universitat Politecnica de Catalunya; Barcelona Supercomputer Center (BSC-CNS)</t>
  </si>
  <si>
    <t>Costa-Jussà, MR (corresponding author), UPC, Ramon Y Cajal, Barcelona, Spain.;Costa-Jussà, MR (corresponding author), UPC, ERC, Barcelona, Spain.;Costa-Jussà, MR (corresponding author), Machine Translat Grp, Barcelona, Spain.</t>
  </si>
  <si>
    <t>marta.ruiz@upc.edu; maite.melero@upf.edu</t>
  </si>
  <si>
    <t>Costa-jussà, Marta/M-7886-2013</t>
  </si>
  <si>
    <t>Spanish Ministerio de Ciencia e Innovacion; European Research Council (ERC) under the European Union [947657]; European Research Council (ERC) [947657] Funding Source: European Research Council (ERC)</t>
  </si>
  <si>
    <t>Spanish Ministerio de Ciencia e Innovacion(Ministry of Science and Innovation, Spain (MICINN)Instituto de Salud Carlos IIISpanish Government); European Research Council (ERC) under the European Union(European Research Council (ERC)); European Research Council (ERC)(European Research Council (ERC))</t>
  </si>
  <si>
    <t>This work is supported in part by the Spanish Ministerio de Ciencia e Innovacion through the postdoctoral senior grant Ramon y Cajal and by the European Research Council (ERC) under the European Union's Horizon 2020 research and innovation programme (grant agreement No. 947657).</t>
  </si>
  <si>
    <t>0212-5056</t>
  </si>
  <si>
    <t>2013-1453</t>
  </si>
  <si>
    <t>REV LLENG DRET</t>
  </si>
  <si>
    <t>Rev. Lleng. Dret</t>
  </si>
  <si>
    <t>10.2436/rld.i74.2020.3503</t>
  </si>
  <si>
    <t>PD0VL</t>
  </si>
  <si>
    <t>WOS:000597412600006</t>
  </si>
  <si>
    <t>Wen, Z; Shankar, A; Antonidoss, A</t>
  </si>
  <si>
    <t>Wen, Zhang; Shankar, Achyut; Antonidoss, A.</t>
  </si>
  <si>
    <t>Modern Art Education and Teaching Based on Artificial Intelligence</t>
  </si>
  <si>
    <t>JOURNAL OF INTERCONNECTION NETWORKS</t>
  </si>
  <si>
    <t>Modern art education and teaching; artificial intelligence</t>
  </si>
  <si>
    <t>MAJOR COURSES; STRATEGIES; DESIGN</t>
  </si>
  <si>
    <t>The rapid advancement of artificial intelligence has been intensely employed in art teaching and learning. Including the advancement of smart technologies, there are various difficulties in improving the teaching capability of technical art design courses, including the impact of several variables and the absence of quantitative study, and the imperfection in the index system. The paper proposes the Artificial Intelligence assisted Effective Art Teaching Framework (AIEATF) to expand the ability to adapt to AI-oriented art instruction, develop intelligent teaching styles, and enhance AI-oriented art teaching art knowledge and environment. The potential of improving AI's effects on major art courses' teaching effect has been illustrated in detail. On this basis, an assessment model has been developed to consider the enhancing effects. The study's findings include a valuable guide for educators in art design to strengthen their teaching ability. The experimental results have shown that Modern Painting Perfection Ratio is 87.66%, Computer graphical representation ratio is 88.77%, Photographical Design Percentage ratio is 84.50%, Performance of Carving in Sculpture Ratio is 82.26%, Construction Development Ratio is 93.83%, Expressive Musical Performing Ratio is 92.70%, Energized Dance Performance Ratio is 84.26%, and overall performance ratio is 92.30%.</t>
  </si>
  <si>
    <t>[Wen, Zhang] Chongqing Ind Polytech Coll, Coll Design, Chongqing 401120, Peoples R China; [Shankar, Achyut] Amity Univ, Noida, Uttar Pradesh, India; [Antonidoss, A.] Hindustan Inst Technol, Chennai, Tamil Nadu, India</t>
  </si>
  <si>
    <t>Chongqing Industry Polytechnic College; Amity University Noida; Hindustan Institute of Technology &amp; Science</t>
  </si>
  <si>
    <t>Wen, Z (corresponding author), Chongqing Ind Polytech Coll, Coll Design, Chongqing 401120, Peoples R China.</t>
  </si>
  <si>
    <t>zhwen-09@163.com; ashankar1@amity.edu; aantonidoss@hindustanuniv.ac.in</t>
  </si>
  <si>
    <t>Shankar, Achyut/ABI-4052-2020</t>
  </si>
  <si>
    <t>National Vocational Education Teaching Resource Bank Advertising Design and Production Major [(2019) 100]</t>
  </si>
  <si>
    <t>National Vocational Education Teaching Resource Bank Advertising Design and Production Major</t>
  </si>
  <si>
    <t>The work of this paper is supported by National Vocational Education Teaching Resource Bank Advertising Design and Production Major (Grant No. Teacher Chengsi Letter (2019) 100).</t>
  </si>
  <si>
    <t>0219-2659</t>
  </si>
  <si>
    <t>1793-6713</t>
  </si>
  <si>
    <t>J INTERCONNECT NETW</t>
  </si>
  <si>
    <t>J. Interconnect. Netw.</t>
  </si>
  <si>
    <t>SUPP01</t>
  </si>
  <si>
    <t>10.1142/S021926592141005X</t>
  </si>
  <si>
    <t>5H4FH</t>
  </si>
  <si>
    <t>WOS:000867635500009</t>
  </si>
  <si>
    <t>Roberts, DL; Candi, M</t>
  </si>
  <si>
    <t>Roberts, Deborah L.; Candi, Marina</t>
  </si>
  <si>
    <t>Artificial intelligence and innovation management: Charting the evolving landscape</t>
  </si>
  <si>
    <t>TECHNOVATION</t>
  </si>
  <si>
    <t>Artificial intelligence; Generative artificial intelligence; Innovation management; Innovation process</t>
  </si>
  <si>
    <t>PRODUCT DEVELOPMENT SUCCESS; KNOWLEDGE; PROJECT; DESIGN</t>
  </si>
  <si>
    <t>The excitement surrounding Artificial Intelligence (AI) is palpable. It is rapidly gaining prevalence in academia, business, and personal use. In particular, the emergence of generative AI, exemplified by large language models such as ChatGPT, has been marked by substantial media attention, discourse, and hype. Like most, if not all, aspects of business, innovation processes have been impacted. However, little is known about the degree of impact or the benefits that might be gained. To cut through the hype and understand the use of AI in innovation processes in businesses today, a large-scale survey amongst innovation managers in the USA was conducted, followed by interviews. The findings indicate that the use of AI in innovation processes is high and widespread, with AI being used for more than half of the surveyed firms' innovation projects. Furthermore, AI is used more in the development stage of the innovation process than in the idea or commercialization stages, which counters much of the existing discourse, which focuses on the idea stage. We uncover interesting differences by comparing the use and impact of generative AI with that of more traditional AI. Among these is a significant difference in expected benefits in making employees' jobs more fulfilling - managers believe generative AI is more likely to confer this benefit than traditional AI. This paper offers two valuable contributions. First, it enriches the evolving dialogue at the intersection of AI and innovation management by offering much-needed empirical evidence about practical applications. Second, it provides timely managerial implications by examining relationships between the use of AI and innovation performance and understanding the benefits that AI can confer in the innovation process.</t>
  </si>
  <si>
    <t>[Roberts, Deborah L.] Univ York, Sch Business &amp; Soc, York YO10 5DD, England; [Candi, Marina] Reykjavik Univ, Ctr Res Innovat &amp; Entrepreneurship, Dept Business, Menntavegur 1, IS-102 Reykjavik, Iceland</t>
  </si>
  <si>
    <t>University of York - UK; Reykjavik University</t>
  </si>
  <si>
    <t>Roberts, DL (corresponding author), Univ York, Sch Business &amp; Soc, York YO10 5DD, England.</t>
  </si>
  <si>
    <t>deborah.roberts@york.ac.uk; marina@ru.is</t>
  </si>
  <si>
    <t>Candi, Marina/B-9338-2008</t>
  </si>
  <si>
    <t>Candi, Marina/0000-0002-5516-0701</t>
  </si>
  <si>
    <t>0166-4972</t>
  </si>
  <si>
    <t>1879-2383</t>
  </si>
  <si>
    <t>Technovation</t>
  </si>
  <si>
    <t>10.1016/j.technovation.2024.103081</t>
  </si>
  <si>
    <t>Engineering, Industrial; Management; Operations Research &amp; Management Science</t>
  </si>
  <si>
    <t>Engineering; Business &amp; Economics; Operations Research &amp; Management Science</t>
  </si>
  <si>
    <t>A1D6Z</t>
  </si>
  <si>
    <t>WOS:001280014900001</t>
  </si>
  <si>
    <t>Catalano, C; Specchia, G; Totaro, NOG</t>
  </si>
  <si>
    <t>Kadgien, R; Jedlitschka, A; Janes, A; Lenarduzzi, V; Li, X</t>
  </si>
  <si>
    <t>Catalano, Christian; Specchia, Giorgia; Totaro, Nicol O. G.</t>
  </si>
  <si>
    <t>Enhancing Code Obfuscation Techniques: Exploring the Impact of Artificial Intelligence on Malware Detection</t>
  </si>
  <si>
    <t>PRODUCT-FOCUSED SOFTWARE PROCESS IMPROVEMENT, PROFES 2023, PT II</t>
  </si>
  <si>
    <t>24th International Conference on Product-Focused Software Process Improvement (PROFES)</t>
  </si>
  <si>
    <t>DEC 10-13, 2023</t>
  </si>
  <si>
    <t>Dornbirn, AUSTRIA</t>
  </si>
  <si>
    <t>Metamorphic Generator; Malware Obfuscation; Malware Detection; Artificial Intelligence; Cybersecurity</t>
  </si>
  <si>
    <t>Code obfuscation techniques serve to obscure proprietary code, and there are several types. Various tools, such as reverse engineering, are used to reconstruct obfuscated code. To make the analysis and decoding of obfuscated code more difficult, obfuscation techniques can be combined in cascades. Artificial Intelligence (AI) can be used to recombine old codes with each other and make it more difficult to decrypt them. In this paper, the focus is precisely on the increased complexity of the process of reconstructing proprietary code if it is generated with the aid of AI, and consequently on the increasing difficulty for antiviruses in detecting this new type of malware.</t>
  </si>
  <si>
    <t>[Catalano, Christian] Univ Salento, Dept Innovat Engn, Lecce, Italy; [Specchia, Giorgia; Totaro, Nicol O. G.] Univ Salento, Ctr Appl Math &amp; Phys Ind CAMPI, Lecce, Italy</t>
  </si>
  <si>
    <t>University of Salento; University of Salento</t>
  </si>
  <si>
    <t>Specchia, G; Totaro, NOG (corresponding author), Univ Salento, Ctr Appl Math &amp; Phys Ind CAMPI, Lecce, Italy.</t>
  </si>
  <si>
    <t>giorgia.specchia@unisalento.it; nicologiamauro.totara@unisalento.it</t>
  </si>
  <si>
    <t>978-3-031-49268-6; 978-3-031-49269-3</t>
  </si>
  <si>
    <t>10.1007/978-3-031-49269-3_8</t>
  </si>
  <si>
    <t>BW5AE</t>
  </si>
  <si>
    <t>WOS:001157575800008</t>
  </si>
  <si>
    <t>Rodrigues, Z; Pinheiro, L; Marcolin, C; Matheus, R; Saxena, S; Morais, M</t>
  </si>
  <si>
    <t>VanDeWetering, R; Helms, R; Roelens, B; Bagheri, S; Dwivedi, YK; Pappas, IO; Mantymaki, M</t>
  </si>
  <si>
    <t>Rodrigues, Zenaldo; Pinheiro, Luiz; Marcolin, Carla; Matheus, Ricardo; Saxena, Stuti; Morais, Marcos</t>
  </si>
  <si>
    <t>Artificial Intelligence in Supermarkets: A Multiple Analysis About Tasks, Jobs, and Automation</t>
  </si>
  <si>
    <t>DISRUPTIVE INNOVATION IN A DIGITALLY CONNECTED HEALTHY WORLD, I3E 2024</t>
  </si>
  <si>
    <t>23rd IFIP WG 6.11 Conference on e-Business, e-Services and e-Society (I3E)</t>
  </si>
  <si>
    <t>SEP 11-13, 2024</t>
  </si>
  <si>
    <t>Open Univ, Heerlen, NETHERLANDS</t>
  </si>
  <si>
    <t>IFIP WG 6.11</t>
  </si>
  <si>
    <t>Open Univ</t>
  </si>
  <si>
    <t>Artificial Intelligence; AI; Automation; Jobs; Supermarkets</t>
  </si>
  <si>
    <t>This study aims to analyze the impacts of Artificial Intelligence (AI) and automation in the supermarket sector, focusing on three main areas: tasks, jobs, and automation processes. The research builds on studies about technology adoption and its impact on employment, including Christensen approach on disruptive innovation, Huang &amp; Rust [19] on artificial intelligence in services, and Jarrahi [27] on human-AI symbiosis. A multiple case study approach was employed, involving interviews with four groups: cashiers, managers, customers who use self-checkouts, and customers who do not use self-checkouts. The interviewswere analyzed using qualitative methods to identify emerging subcategories. Many customers prefer manned checkouts due to convenience. Self-service checkout technology is primarily used for small purchases, and younger customers find it easier to use. Employees do not currently feel threatened by automation, but there is a trend toward job reduction and relocation to roles requiring analytical, intuitive, and emotional skills. Managers do not see the need to prepare employees for a future without self-service checkouts, focusing instead on current training. Future research should analyze other supermarket functions that could be impacted by AI automation and investigate more deeply the acceptance and impact of these technologies on the labor market.</t>
  </si>
  <si>
    <t>[Rodrigues, Zenaldo; Pinheiro, Luiz; Saxena, Stuti] Posit Univ, Ai Labs, Curitiba, Parana, Brazil; [Marcolin, Carla; Morais, Marcos] Univ Fed Uberlandia, Uberlandia, MG, Brazil; [Matheus, Ricardo] Delft Univ Technol, TPM, Delft, Netherlands</t>
  </si>
  <si>
    <t>Universidade Federal de Uberlandia; Delft University of Technology</t>
  </si>
  <si>
    <t>Pinheiro, L (corresponding author), Posit Univ, Ai Labs, Curitiba, Parana, Brazil.</t>
  </si>
  <si>
    <t>luiz.junior@up.edu.br</t>
  </si>
  <si>
    <t>Matheus, Ricardo/AAL-1826-2021; Saxena, Shailendra K/ABK-6489-2022</t>
  </si>
  <si>
    <t>978-3-031-72233-2; 978-3-031-72234-9</t>
  </si>
  <si>
    <t>10.1007/978-3-031-72234-9_8</t>
  </si>
  <si>
    <t>BX8OU</t>
  </si>
  <si>
    <t>WOS:001336388000008</t>
  </si>
  <si>
    <t>Malik, N; Tripathi, SN; Kar, AK; Gupta, S</t>
  </si>
  <si>
    <t>Malik, Nishtha; Tripathi, Shalini Nath; Kar, Arpan Kumar; Gupta, Shivam</t>
  </si>
  <si>
    <t>Impact of artificial intelligence on employees working in industry 4.0 led organizations</t>
  </si>
  <si>
    <t>INTERNATIONAL JOURNAL OF MANPOWER</t>
  </si>
  <si>
    <t>Artificial intelligence; Industry 4; 0; Employee experiences; Technostress; Human resources management</t>
  </si>
  <si>
    <t>INFORMATION-TECHNOLOGY; DECISION-MAKING; SAMPLE-SIZE; TECHNOSTRESS; PERFORMANCE; IMPLEMENTATION; SATISFACTION; REVOLUTION; WORKPLACE; FRAMEWORK</t>
  </si>
  <si>
    <t>Purpose This study attempts to develop a practical understanding of the positive and negative employee experiences due to artificial intelligence (AI) adoption and the creation of technostress. It unravels the human resource development-related challenges with the onset of Industry 4.0. Design/methodology/approach Semi-structured interviews were conducted with 32 professionals with average work experience of 7.6 years and working across nine industries, and the transcripts were analyzed using NVivo. Findings The findings establish prominent adverse impacts of the adoption of AI, namely, information security, data privacy, drastic changes resulting from digital transformations and job risk and insecurity brewing in the employee psyche. This is followed by a hierarchy of factors comprising the positive impacts, namely, work-related flexibility and autonomy, creativity and innovation and overall enhancement in job performance. Further factors contributing to technostress (among employees): work overload, job insecurity and complexity were identified. Practical implications The emerging knowledge economy and technological interventions are changing the existing job profiles, hence the need for different skillsets and technological competencies. The organizations thus need to deploy strategic manpower development measures involving up-gradation of skills and knowledge management. Inculcating requisite skills requires well-designed training programs using specialized tools and virtual reality (VR). In addition, employees need to be supported in their evolving socio-technical relationships, for managing both positive and negative outcomes. Originality/value This research makes the unique contribution of establishing a qualitative hierarchy of prominent factors constituting unintended consequences, positive impacts and technostress creators (among employees) of AI deployment in organizational processes.</t>
  </si>
  <si>
    <t>[Malik, Nishtha; Tripathi, Shalini Nath] Jaipuria Inst Management, Lucknow, Uttar Pradesh, India; [Kar, Arpan Kumar] Indian Inst Technol Delhi, Dept Management Studies, New Delhi, India; [Gupta, Shivam] NEOMA Business Sch, Dept Informat Syst Supply Chain &amp; Decis Making, Reims, France</t>
  </si>
  <si>
    <t>Gupta, S (corresponding author), NEOMA Business Sch, Dept Informat Syst Supply Chain &amp; Decis Making, Reims, France.</t>
  </si>
  <si>
    <t>shivam.gupta@neoma-bs.fr</t>
  </si>
  <si>
    <t>Gupta, Shivam/R-2996-2016; Kar, Arpan Kumar/B-9999-2009</t>
  </si>
  <si>
    <t>Kar, Arpan Kumar/0000-0003-4186-4887; Nath, Shalini/0000-0003-1008-1329; Gupta, Shivam/0000-0002-2714-4958; MALIK, DR. NISHTHA/0000-0002-1582-6855</t>
  </si>
  <si>
    <t>0143-7720</t>
  </si>
  <si>
    <t>1758-6577</t>
  </si>
  <si>
    <t>INT J MANPOWER</t>
  </si>
  <si>
    <t>Int. J. Manpow.</t>
  </si>
  <si>
    <t>MAY 24</t>
  </si>
  <si>
    <t>10.1108/IJM-03-2021-0173</t>
  </si>
  <si>
    <t>Industrial Relations &amp; Labor; Management</t>
  </si>
  <si>
    <t>1K1AY</t>
  </si>
  <si>
    <t>WOS:000663465200001</t>
  </si>
  <si>
    <t>Li, RS</t>
  </si>
  <si>
    <t>Li, Ruisheng</t>
  </si>
  <si>
    <t>An artificial intelligence agent technology based web distance education system</t>
  </si>
  <si>
    <t>JOURNAL OF INTELLIGENT &amp; FUZZY SYSTEMS</t>
  </si>
  <si>
    <t>Artificial intelligence; agent technology; web distance education; system design</t>
  </si>
  <si>
    <t>IMPACT</t>
  </si>
  <si>
    <t>Based on the analysis of the characteristics of artificial intelligence and agent, this paper discusses the feasibility of introducing Web services and intelligent agent technology into online teaching and learning and proposes a modern distance education system model based on artificial intelligence agent technology web. The architecture integrates the advantages of Agent technology and Web services. Starting from improving the shortcomings of the traditional Web-based distance teaching system, it strives to increase learners' self-directed learning interest, monitor students' emotions, and exchange knowledge between teaching agents. To realize students' on-demand learning according to their aptitude, teachers' teaching ultimately improve the system's flexibility, personalization, and artificial intelligence. Under the guidance of learning communities and other theories, construct learner model ontology inference rules. Based on the learner's relationship characteristics, the knowledge domain that the learner is interested in is inferred, thus constructing an intelligent information retrieval system. Knowledge retrieval is realized quickly and accurately, thereby verifying the application of learner relationship characteristics in digital learning.</t>
  </si>
  <si>
    <t>[Li, Ruisheng] Gansu Univ Polit Sci &amp; Law, Coll Publ Secur Technol, Lanzhou 730070, Gansu, Peoples R China</t>
  </si>
  <si>
    <t>Gansu University of Political Science &amp; Law</t>
  </si>
  <si>
    <t>Li, RS (corresponding author), Gansu Univ Polit Sci &amp; Law, Coll Publ Secur Technol, Lanzhou 730070, Gansu, Peoples R China.</t>
  </si>
  <si>
    <t>ruishengli@aol.com</t>
  </si>
  <si>
    <t>1064-1246</t>
  </si>
  <si>
    <t>1875-8967</t>
  </si>
  <si>
    <t>J INTELL FUZZY SYST</t>
  </si>
  <si>
    <t>J. Intell. Fuzzy Syst.</t>
  </si>
  <si>
    <t>10.3233/JIFS-189369</t>
  </si>
  <si>
    <t>QH1ZP</t>
  </si>
  <si>
    <t>WOS:000618076700139</t>
  </si>
  <si>
    <t>De Vita, CG; Mellone, G; Barchiesi, F; Di Luccio, D; Ciaramella, A; Montella, R</t>
  </si>
  <si>
    <t>De Vita, Ciro Giuseppe; Mellone, Gennaro; Barchiesi, Francesca; Di Luccio, Diana; Ciaramella, Angelo; Montella, Raffaele</t>
  </si>
  <si>
    <t>Artificial Intelligence for mussels farm quality assessment and prediction</t>
  </si>
  <si>
    <t>2022 IEEE INTERNATIONAL WORKSHOP ON METROLOGY FOR THE SEA LEARNING TO MEASURE SEA HEALTH PARAMETERS (METROSEA)</t>
  </si>
  <si>
    <t>IEEE International Workshop on Metrology for the Sea Learning to Measure Sea Health Parameters (MetroSea)</t>
  </si>
  <si>
    <t>OCT 03-05, 2022</t>
  </si>
  <si>
    <t>Milazzo, ITALY</t>
  </si>
  <si>
    <t>IEEE,Univ Messina</t>
  </si>
  <si>
    <t>Artificial Intelligence; Lagrangian model; K-Nearest Neighbour; Marine pollution forecast</t>
  </si>
  <si>
    <t>MODEL</t>
  </si>
  <si>
    <t>Mussel farming is one of the production sectors influenced by the pollutants in seawater, both of chemical and biological origin. Monitoring the impact of the pollutants on mussel farms is a crucial issue in coastal management. A computational approach to mitigate the coast connected to the in-situ monitoring and give the possibility to predict the water quality evolution concerning the coastal hydrodynamics and the known pollution source activities could be a convenient solution. However, although a coupled atmosphere-ocean numerical models workflow is a solution already made operational in diverse and different contexts, the prediction of bacteria contamination in farmed mussels, given the forecast of contaminant concentration, is still an open issue. In this paper, we introduce a novel methodology devoted to predicting the level of contamination given the pollutant concentration from Lagrangian models for transport and diffusion. We present the Artificial Intelligence-based water QUAlity Model (AIQUAM). AIQUAM adopts a computational approach based on High-Performance computer facilities and artificial intelligence to define the dynamics of pollutants in the proximity of mussel farms. We motivate the design and implementation of decision-making tools to support the local authorities in the management activities. Within the framework presented here, the mussel is modeled by the mussel-pollutant interaction time and the bio-accumulation phenomena in filtering organisms (mussels), which can result in hygienic-sanitary emergence deriving from the sale and consumption of potentially polluted products.</t>
  </si>
  <si>
    <t>[De Vita, Ciro Giuseppe; Mellone, Gennaro; Di Luccio, Diana; Ciaramella, Angelo; Montella, Raffaele] Univ Naples Parthenope, Dept Sci &amp; Technol, Naples, Italy; [Barchiesi, Francesca] Ist Zooprofilatt Sperimentale Umbria &amp; Marche, Perugia, Italy</t>
  </si>
  <si>
    <t>Parthenope University Naples; IZS Umbria e Marche</t>
  </si>
  <si>
    <t>Montella, Raffaele/LSK-3630-2024; Barchiesi, Francesca/HKW-4925-2023</t>
  </si>
  <si>
    <t>Ciaramella, Angelo/0000-0001-5592-7995; De Vita, Ciro Giuseppe/0000-0002-3828-0170; Montella, Raffaele/0000-0002-4767-2045; Mellone, Gennaro/0000-0002-9545-9978; Barchiesi, Francesca/0000-0001-6260-4430</t>
  </si>
  <si>
    <t>[I65F21000040002]; [I25F20000250002]</t>
  </si>
  <si>
    <t>;</t>
  </si>
  <si>
    <t>The activities are in the framework of the Modelling mytilus farming with Artificial Intelligence technologies research project (MytilAI -CUP I65F21000040002), and in the framework of the H2020 EuroHPC+ project Adaptive multitier intelligent data manager for Exascale (ADMIRE - CUP I25F20000250002). We are grateful to the Prevention and Veterinary Public Health Managerial Unit of the Campania Region, the C.Ri.S.Sa.P. (Regional Reference Center for the Health Safety of Fish), and the ORSA (Regional Observatory for Food Safety) for the support in biological data collection. We are grateful for the support of Department of Science and Technologies and Research Computing Facilities of the University of Naples Parthenope for assistance with the calculations carried out in this work, and to the forecast service Meteo@Uniparthenope provided the numerical simulations.</t>
  </si>
  <si>
    <t>978-1-6654-9942-2</t>
  </si>
  <si>
    <t>10.1109/METROSEA55331.2022.9950875</t>
  </si>
  <si>
    <t>Engineering, Ocean; Oceanography</t>
  </si>
  <si>
    <t>Engineering; Oceanography</t>
  </si>
  <si>
    <t>BU3ZQ</t>
  </si>
  <si>
    <t>WOS:000894276700007</t>
  </si>
  <si>
    <t>Xu, ZJ; Wang, X; Zeng, SS; Ren, XX; Yan, YL; Gong, ZC</t>
  </si>
  <si>
    <t>Xu, Zhijie; Wang, Xiang; Zeng, Shuangshuang; Ren, Xinxin; Yan, Yuanliang; Gong, Zhicheng</t>
  </si>
  <si>
    <t>Applying artificial intelligence for cancer immunotherapy</t>
  </si>
  <si>
    <t>ACTA PHARMACEUTICA SINICA B</t>
  </si>
  <si>
    <t>Cancer immunotherapy; Machine learning; Diagnostics; Artificial intelligence</t>
  </si>
  <si>
    <t>IMMUNE CONTEXTURE; DIGITAL PATHOLOGY; RADIOMICS; BLOCKADE; PREDICTION; FUTURE; BIOMARKER; MEDICINE; FEATURES; MARKERS</t>
  </si>
  <si>
    <t>Artificial intelligence (AI) is a general term that refers to the use of a machine to imitate intelligent behavior for performing complex tasks with minimal human intervention, such as machine learning; this technology is revolutionizing and reshaping medicine. AI has considerable potential to perfect health-care systems in areas such as diagnostics, risk analysis, health information administration, lifestyle supervision, and virtual health assistance. In terms of immunotherapy, AI has been applied to the prediction of immunotherapy responses based on immune signatures, medical imaging and histological analysis. These features could also be highly useful in the management of cancer immunotherapy given their ever-increasing performance in improving diagnostic accuracy, optimizing treatment planning, predicting outcomes of care and reducing human resource costs. In this review, we present the details of AI and the current progression and state of the art in employing AI for cancer immunotherapy. Furthermore , we discuss the challenges, opportunities and corresponding strategies in applying the technology for widespread clinical deployment. Finally, we summarize the impact of AI on cancer immunotherapy and provide our perspectives about underlying applications of AI in the future. (C) 2021 Chinese Pharmaceutical Association and Institute of Materia Medica, Chinese Academy of Medical Sciences. Production and hosting by Elsevier B.V.</t>
  </si>
  <si>
    <t>[Xu, Zhijie] Cent South Univ, Xiangya Hosp, Dept Pathol, Changsha 410008, Peoples R China; [Wang, Xiang; Zeng, Shuangshuang; Yan, Yuanliang; Gong, Zhicheng] Cent South Univ, Xiangya Hosp, Dept Pharm, Changsha 410008, Peoples R China; [Yan, Yuanliang; Gong, Zhicheng] Cent South Univ, Xiangya Hosp, Natl Clin Res Ctr Geriatr Disorders, Inst Rat &amp; Safe Medicat Practices, Changsha 410008, Peoples R China; [Ren, Xinxin] Cent South Univ, Xiangya Hosp, Ctr Mol Med, Key Lab Mol Radiat Oncol Hunan Prov, Changsha 410008, Peoples R China</t>
  </si>
  <si>
    <t>Central South University; Central South University; Central South University; Central South University</t>
  </si>
  <si>
    <t>Yan, YL; Gong, ZC (corresponding author), Cent South Univ, Xiangya Hosp, Dept Pharm, Changsha 410008, Peoples R China.;Yan, YL; Gong, ZC (corresponding author), Cent South Univ, Xiangya Hosp, Natl Clin Res Ctr Geriatr Disorders, Inst Rat &amp; Safe Medicat Practices, Changsha 410008, Peoples R China.</t>
  </si>
  <si>
    <t>yanyuanliang@csu.edu.cn; gongzhicheng@csu.edu.cn</t>
  </si>
  <si>
    <t>Xu, Zhijie/J-6479-2017; Yan, Yuanliang/K-7149-2019</t>
  </si>
  <si>
    <t>Xu, Zhijie/0000-0003-2047-883X; Yan, Yuanliang/0000-0001-6610-3617</t>
  </si>
  <si>
    <t>National Natural Science Foundation of China [81803035]; Natural Science Foun-dation of Hunan Province (China) [2020JJ5934, 2019JJ50932]; China Postdoctoral Science Foundation [2020M672521]; Fundamental Research Funds for the Central Universities of Central South University (China) [2019zzts345, 2019zzts800]</t>
  </si>
  <si>
    <t>National Natural Science Foundation of China(National Natural Science Foundation of China (NSFC)); Natural Science Foun-dation of Hunan Province (China)(Natural Science Foundation of Hunan Province); China Postdoctoral Science Foundation(China Postdoctoral Science Foundation); Fundamental Research Funds for the Central Universities of Central South University (China)</t>
  </si>
  <si>
    <t>The study was supported by the grants from National Natural Science Foundation of China (81803035) , Natural Science Foun-dation of Hunan Province (2020JJ5934 and 2019JJ50932, China) , China Postdoctoral Science Foundation (2020M672521) , and Fundamental Research Funds for the Central Universities of Central South University (2019zzts345 and 2019zzts800, China) .</t>
  </si>
  <si>
    <t>INST MATERIA MEDICA, CHINESE ACAD MEDICAL SCIENCES</t>
  </si>
  <si>
    <t>C/O EDITORIAL BOARD OF ACTA PHARMACEUTICA SINICA, 1 XIANNONGTAN ST, BEIJING, 100050, PEOPLES R CHINA</t>
  </si>
  <si>
    <t>2211-3835</t>
  </si>
  <si>
    <t>2211-3843</t>
  </si>
  <si>
    <t>ACTA PHARM SIN B</t>
  </si>
  <si>
    <t>Acta Pharm. Sin. B</t>
  </si>
  <si>
    <t>10.1016/j.apsb.2021.02.007</t>
  </si>
  <si>
    <t>XH2GY</t>
  </si>
  <si>
    <t>WOS:000725260200004</t>
  </si>
  <si>
    <t>Hoque, SMH; Pirrone, G; Matrone, F; Donofrio, A; Fanetti, G; Caroli, A; Rista, RS; Bortolus, R; Avanzo, M; Drigo, A; Chiovati, P</t>
  </si>
  <si>
    <t>Hoque, S. M. Hasibul; Pirrone, Giovanni; Matrone, Fabio; Donofrio, Alessandra; Fanetti, Giuseppe; Caroli, Angela; Rista, Rahnuma Shahrin; Bortolus, Roberto; Avanzo, Michele; Drigo, Annalisa; Chiovati, Paola</t>
  </si>
  <si>
    <t>Clinical Use of a Commercial Artificial Intelligence-Based Software for Autocontouring in Radiation Therapy: Geometric Performance and Dosimetric Impact</t>
  </si>
  <si>
    <t>autocontouring; radiotherapy; artificial intelligence; time savings; dosimetry</t>
  </si>
  <si>
    <t>TARGET VOLUME DELINEATION; CONSENSUS GUIDELINE; RADIOTHERAPY; ONCOLOGY; CANCER; CT</t>
  </si>
  <si>
    <t>Simple Summary Auto contouring driven by artificial intelligence can improve the workflow of radiotherapy by accelerating the contouring process. However, quality assurance of artificial intelligence-based tools is necessary for ensuring safety and efficacy in a clinical practice. In this study investigated the geometric accuracy of structural contours created by a commercial software for autocontouring based on artificial intelligence using well established metrics. In particular, the impact on the radiotherapy treatment plan quality from the adoption of artificial intelligence generated contours was investigated. Our results show that the combination of automatically generated contours and careful review by a clinical radiation oncologist results in time saving without affecting the quality of treatment plan. In conclusion, after quality checks that involve both geometric accuracy as well as dosimetric impact, contouring based on AI can be safely adopted in clinical practice.Abstract Purpose: When autocontouring based on artificial intelligence (AI) is used in the radiotherapy (RT) workflow, the contours are reviewed and eventually adjusted by a radiation oncologist before an RT treatment plan is generated, with the purpose of improving dosimetry and reducing both interobserver variability and time for contouring. The purpose of this study was to evaluate the results of application of a commercial AI-based autocontouring for RT, assessing both geometric accuracies and the influence on optimized dose from automatically generated contours after review by human operator. Materials and Methods: A commercial autocontouring system was applied to a retrospective database of 40 patients, of which 20 were treated with radiotherapy for prostate cancer (PCa) and 20 for head and neck cancer (HNC). Contours resulting from AI were compared against AI contours reviewed by human operator and human-only contours using Dice similarity coefficient (DSC), Hausdorff distance (HD), and relative volume difference (RVD). Dosimetric indices such as Dmean, D0.03cc, and normalized plan quality metrics were used to compare dose distributions from RT plans generated from structure sets contoured by humans assisted by AI against plans from manual contours. The reduction in contouring time obtained by using automated tools was also assessed. A Wilcoxon rank sum test was computed to assess the significance of differences. Interobserver variability of the comparison of manual vs. AI-assisted contours was also assessed among two radiation oncologists for PCa. Results: For PCa, AI-assisted segmentation showed good agreement with expert radiation oncologist structures with average DSC among patients &gt;= 0.7 for all structures, and minimal radiation oncology adjustment of structures (DSC of adjusted versus AI structures &gt;= 0.91). For HNC, results of comparison between manual and AI contouring varied considerably e.g., 0.77 for oral cavity and 0.11-0.13 for brachial plexus, but again, adjustment was generally minimal (DSC of adjusted against AI contours 0.97 for oral cavity, 0.92-0.93 for brachial plexus). The difference in dose for the target and organs at risk were not statistically significant between human and AI-assisted, with the only exceptions of D0.03cc to the anal canal and Dmean to the brachial plexus. The observed average differences in plan quality for PCa and HNC cases were 8% and 6.7%, respectively. The dose parameter changes due to interobserver variability in PCa were small, with the exception of the anal canal, where large dose variations were observed. The reduction in time required for contouring was 72% for PCa and 84% for HNC. Conclusions: When an autocontouring system is used in combination with human review, the time of the RT workflow is significantly reduced without affecting dose distribution and plan quality.</t>
  </si>
  <si>
    <t>[Hoque, S. M. Hasibul; Pirrone, Giovanni; Rista, Rahnuma Shahrin; Avanzo, Michele; Drigo, Annalisa; Chiovati, Paola] Ctr Riferimento Oncol Aviano CRO IRCCS, Med Phys Dept, I-33081 Aviano, Italy; [Matrone, Fabio; Donofrio, Alessandra; Fanetti, Giuseppe; Caroli, Angela; Bortolus, Roberto] Ctr Riferimento Oncol Aviano CRO IRCCS, Radiat Oncol Dept, I-33081 Aviano, Italy</t>
  </si>
  <si>
    <t>Chiovati, P (corresponding author), Ctr Riferimento Oncol Aviano CRO IRCCS, Med Phys Dept, I-33081 Aviano, Italy.</t>
  </si>
  <si>
    <t>smhasibul.hoque@cro.it; giovanni.pirrone@cro.it; fabio.matrone@cro.it; alessandra.donofrio@cro.it; giuseppe.fanetti@cro.it; angela.caroli@cro.it; rahnumashahrin.rista@cro.it; rbortolus@cro.it; mavanzo@cro.it; adrigo@cro.it; pchiovati@cro.it</t>
  </si>
  <si>
    <t>Caroli, Angela/ABH-5398-2020; MATRONE, FABIO/AAC-9323-2020; Pirrone, Giovanni/ABD-4287-2020; Fanetti, Giuseppe/AAG-4685-2020; Avanzo, Michele/C-8529-2009; Chiovati, Paola/ABE-5981-2020</t>
  </si>
  <si>
    <t>Caroli, Angela/0000-0002-9968-7679; MATRONE, FABIO/0000-0002-2292-0444; Pirrone, Giovanni/0000-0002-6113-6644; Fanetti, Giuseppe/0000-0002-9677-3176; Avanzo, Michele/0000-0003-1711-4242; Chiovati, Paola/0000-0003-1802-0627</t>
  </si>
  <si>
    <t>Italian Ministry of Health (Ricerca Corrente)</t>
  </si>
  <si>
    <t>Italian Ministry of Health (Ricerca Corrente)(Ministry of Health, Italy)</t>
  </si>
  <si>
    <t>We are grateful to Limbus AI Inc. and Dosimetrica for providing a research version of the Limbus AI software.</t>
  </si>
  <si>
    <t>10.3390/cancers15245735</t>
  </si>
  <si>
    <t>DF5E1</t>
  </si>
  <si>
    <t>WOS:001130619400001</t>
  </si>
  <si>
    <t>Aminbakhsh, S; Pahlaviani, AG; Tohidi, A</t>
  </si>
  <si>
    <t>Aminbakhsh, Sina; Pahlaviani, Ali Golsoorat; Tohidi, Amin</t>
  </si>
  <si>
    <t>Addressing environmental concerns in concrete design through artificial intelligence: A sustainable approach</t>
  </si>
  <si>
    <t>ADVANCES IN ENVIRONMENTAL RESEARCH-AN INTERNATIONAL JOURNAL</t>
  </si>
  <si>
    <t>artificial intelligence; concrete; construction management; environmental impact; sustainable structures</t>
  </si>
  <si>
    <t>MECHANICAL-PROPERTIES; COMPRESSIVE STRENGTH; CEMENT; PREDICTION</t>
  </si>
  <si>
    <t>This paper addresses the urgent need for sustainable infrastructure by examining the application of artificial intelligence in concrete design, with a specific emphasis on predicting uniaxial compressive strength (UCS) to mitigate environmental impacts. Concrete, a fundamental construction material, is a major contributor to environmental degradation due to its substantial carbon footprint. The study focuses on harnessing the potential of Artificial Neural Networks (ANN) to forecast UCS in conventional construction concrete, which is extensively utilized in global construction practices. This emphasis stems from the recognition of the significant environmental consequences associated with these concrete types, affecting both carbon footprints and ecosystems. The research methodology involved analyzing a dataset comprising 300 cubic concrete specimens with dimensions of 15 cm x 15 cm x 15 cm, split into training and testing sets at a ratio of 70:30. Various machine learning classifiers, including Support Vector Machine and Decision Tree, were employed for comparison alongside the ANN model. Results demonstrated that the ANN-based predictive model outperformed alternative classifiers, achieving high accuracy rates and minimal error values, thereby affirming its reliability in estimating UCS values. These findings highlight the potential of integrating AI technologies to enhance sustainability in construction practices and mitigate environmental impacts associated with concrete usage. By adopting innovative approaches such as ANN prediction models, the construction industry can contribute significantly to environmental preservation and sustainable development efforts.</t>
  </si>
  <si>
    <t>[Aminbakhsh, Sina; Pahlaviani, Ali Golsoorat] Islamic Azad Univ, Dept Civil Engn, Cent Tehran Branch, Tehran 1955847781, Iran; [Tohidi, Amin] Amirkabir Univ Technol, Dept Min Engn, Tehran, Iran</t>
  </si>
  <si>
    <t>Islamic Azad University; Amirkabir University of Technology</t>
  </si>
  <si>
    <t>Pahlaviani, AG (corresponding author), Islamic Azad Univ, Dept Civil Engn, Cent Tehran Branch, Tehran 1955847781, Iran.;Tohidi, A (corresponding author), Amirkabir Univ Technol, Dept Min Engn, Tehran, Iran.</t>
  </si>
  <si>
    <t>sina.aminbakhsh@gmail.com; a.golsouratpahlaviyani@iauctb.ac.ir; a.tohidi@aut.ac.ir</t>
  </si>
  <si>
    <t>TECHNO-PRESS</t>
  </si>
  <si>
    <t>DAEJEON</t>
  </si>
  <si>
    <t>PO BOX 33, YUSEONG, DAEJEON 305-600, SOUTH KOREA</t>
  </si>
  <si>
    <t>2234-1722</t>
  </si>
  <si>
    <t>2234-1730</t>
  </si>
  <si>
    <t>AD ENVIRON RES</t>
  </si>
  <si>
    <t>Ad. Environ. Res.</t>
  </si>
  <si>
    <t>10.12989/aer.2024.13.1.051</t>
  </si>
  <si>
    <t>Engineering, Environmental</t>
  </si>
  <si>
    <t>M9U1Y</t>
  </si>
  <si>
    <t>WOS:001360898400001</t>
  </si>
  <si>
    <t>Zheng, F; Zhao, CG; Usman, M; Poulova, P</t>
  </si>
  <si>
    <t>Zheng, Fei; Zhao, Chenguang; Usman, Muhammad; Poulova, Petra</t>
  </si>
  <si>
    <t>From Bias to Brilliance: The Impact of Artificial Intelligence Usage on Recruitment Biases in China</t>
  </si>
  <si>
    <t>Artificial intelligence; Recruitment; Companies; Data analysis; Task analysis; Reliability; Productivity; Artificial intelligence (AI); human resource management; recruitment biases</t>
  </si>
  <si>
    <t>In the rapidly evolving landscape of human resources and talent acquisition, the impact of the usage of artificial intelligence (hereafter, AI) on recruitment biases has emerged as a pivotal and transformative subject of study. Therefore, this study aims to critically evaluate the impact of AI usage on recruitment biases, particularly in the context of China. The data were gathered through a survey of 423 respondents working in the manufacturing sector. We use a cross-sectional dataset and various diagnostics (i.e., reliability and collinearity tests). The empirical findings using multivariate regression techniques suggested that Al usage is reshaping the recruitment process by offering innovative solutions to tackle biases that have pervaded the hiring process for years. However, human involvement is indispensable in the recruitment process, alongside the use of AI. Although the use of AI can efficiently handle tasks such as resume screening and data analysis, human judgment brings essential qualities to the hiring process. Human recruiters possess the ability to assess a candidate's soft skills, cultural fit, and emotional intelligence, as these qualities are challenging for AI to comprehend. The policy implications of the study recommend that by combining the strengths of AI efficiency with human insight, organizations can create a recruitment process that is not only objective and efficient but also considerate, ethical, and aligned with the values and goals of the company.</t>
  </si>
  <si>
    <t>[Zheng, Fei] Xijing Univ, Sch Accounting, Xian 710123, Peoples R China; [Zhao, Chenguang] Xi An Jiao Tong Univ, Sch Management, Xian 710048, Peoples R China; [Usman, Muhammad] Univ Educ, UE Business Sch, Div Management &amp; Adm Sci, Lahore 54000, Pakistan; [Poulova, Petra] Univ Hradec Kralove, Fac Informat &amp; Management, Dept Informat &amp; Quantitat Methods, Hradec Kralove 50003, Czech Republic</t>
  </si>
  <si>
    <t>Xijing University; Xi'an Jiaotong University; University of Hradec Kralove</t>
  </si>
  <si>
    <t>Zhao, CG (corresponding author), Xi An Jiao Tong Univ, Sch Management, Xian 710048, Peoples R China.</t>
  </si>
  <si>
    <t>20190122@xijing.edu.cn; zcgajd@stu.xjtu.edu.cn; m.usman@ue.edu.pk; petra.poulova@uhk.cz</t>
  </si>
  <si>
    <t>Usman, Muhammad/IWM-2408-2023; Poulova, Petra/T-8640-2017</t>
  </si>
  <si>
    <t>Poulova, Petra/0000-0001-5269-4065</t>
  </si>
  <si>
    <t>Excellence Project at the Faculty of Informatics and Management, University of Hradec Kralove, Czechia</t>
  </si>
  <si>
    <t>This work was supported by the Excellence Project at the Faculty of Informatics and Management, University of Hradec Kralove, Czechia.</t>
  </si>
  <si>
    <t>10.1109/TEM.2024.3442618</t>
  </si>
  <si>
    <t>E1W9W</t>
  </si>
  <si>
    <t>WOS:001300990700006</t>
  </si>
  <si>
    <t>Zhong, HX; Chang, JH; Lai, CF; Chen, PW; Ku, SH; Chen, SY</t>
  </si>
  <si>
    <t>Zhong, Hua-Xu; Chang, Jui-Hung; Lai, Chin-Feng; Chen, Pei-Wen; Ku, Shang-Hsuan; Chen, Shih-Yeh</t>
  </si>
  <si>
    <t>Information undergraduate and non-information undergraduate on an artificial intelligence learning platform: an artificial intelligence assessment model using PLS-SEM analysis</t>
  </si>
  <si>
    <t>Artificial intelligence learning platform; STEM education; Research model; Computational thinking; Partial least squares</t>
  </si>
  <si>
    <t>COMPUTATIONAL THINKING SKILLS; COGNITIVE-STYLE; MOTIVATION; ANXIETY; PERSPECTIVE; VALIDATION; VARIABLES; EDUCATION; SCALE</t>
  </si>
  <si>
    <t>Artificial intelligence (AI) education is becoming an advanced learning trend in programming education. However, AI subjects can be difficult to understand because they require high programming skills and complex knowledge. This makes it challenging to determine how different departments of students are affected by them. This study draws on research in programming education and STEM education to explore the different factors that affect students in AI learning. Therefore, the purpose of this study is to investigate the impact of AI learning platforms on information undergraduate and non-information undergraduate by using a research model. The course was implemented for 65 students in the information undergraduate group and 39 students in the non-information undergraduate group. The findings showed that the two groups had different learning effects under different variables. Students with different cognitive styles may use different skills to positively influence self-regulated learning. This study provides important evidence to understand the learning impact of artificial intelligence among university students from different disciplines.</t>
  </si>
  <si>
    <t>[Zhong, Hua-Xu; Lai, Chin-Feng] Natl Cheng Kung Univ 1, Dept Engn Sci, Univ Rd, Tainan 701, Taiwan; [Chang, Jui-Hung] Natl Cheng Kung Univ, Comp &amp; Network Ctr, Tainan, Taiwan; [Chang, Jui-Hung] Natl Cheng Kung Univ, Dept Comp Sci &amp; Informat Engn, Tainan, Taiwan; [Chen, Pei-Wen; Ku, Shang-Hsuan] Natl Cheng Kung Univ 1, Dept Comp Sci &amp; Informat Engn, Univ Rd, Tainan 701, Taiwan; [Chen, Shih-Yeh] Natl Taiwan Ocean Univ, Dept Comp Sci &amp; Engn, Keelung, Taiwan</t>
  </si>
  <si>
    <t>National Cheng Kung University; National Cheng Kung University; National Cheng Kung University; National Cheng Kung University; National Taiwan Ocean University</t>
  </si>
  <si>
    <t>Chen, SY (corresponding author), Natl Taiwan Ocean Univ, Dept Comp Sci &amp; Engn, Keelung, Taiwan.</t>
  </si>
  <si>
    <t>b43122003@gmail.com</t>
  </si>
  <si>
    <t>Lai, Chin-Feng/IAP-5353-2023; Chen, Peiwen/AAD-1787-2022</t>
  </si>
  <si>
    <t>Ministry of Science and Technology of Taiwan, ROC [NSTC 112-2221-E-006-164-, 110-2511-H-006 -011 -MY3, 112-2917-I-006-018]</t>
  </si>
  <si>
    <t>Ministry of Science and Technology of Taiwan, ROC</t>
  </si>
  <si>
    <t>We thank the anonymous reviewers for their constructive comments. This research work was supported in part by the Ministry of Science and Technology of Taiwan, ROC. (NSTC 112-2221-E-006-164-, 110-2511-H-006 -011 -MY3, and 112-2917-I-006-018)</t>
  </si>
  <si>
    <t>10.1007/s10639-023-11961-9</t>
  </si>
  <si>
    <t>KB2N4</t>
  </si>
  <si>
    <t>WOS:001022448200002</t>
  </si>
  <si>
    <t>von Gerich, H; Moen, H; Block, LJ; Chu, CH; DeForest, H; Hobensack, M; Michalowski, M; Mitchell, J; Nibber, R; Olalia, MA; Pruinelli, L; Ronquillo, CE; Topaz, M; Peltonen, LM</t>
  </si>
  <si>
    <t>von Gerich, Hanna; Moen, Hans; Block, Lorraine J.; Chu, Charlene H.; DeForest, Haley; Hobensack, Mollie; Michalowski, Martin; Mitchell, James; Nibber, Raji; Olalia, Mary Anne; Pruinelli, Lisiane; Ronquillo, Charlene E.; Topaz, Maxim; Peltonen, Laura-Maria</t>
  </si>
  <si>
    <t>Artificial Intelligence -based technologies in nursing: A scoping literature review of the evidence</t>
  </si>
  <si>
    <t>INTERNATIONAL JOURNAL OF NURSING STUDIES</t>
  </si>
  <si>
    <t>AI; Artificial intelligence; Nursing; Nursing informatics; Scoping review</t>
  </si>
  <si>
    <t>DECISION-SUPPORT; PRESSURE INJURY; VOICE RECOGNITION; SHIFT SUMMARIES; CLINICAL NOTES; FALL-RISK; SYSTEM; CARE; HEALTH; CLASSIFICATION</t>
  </si>
  <si>
    <t>Background: Research on technologies based on artificial intelligence in healthcare has increased during the last decade, with applications showing great potential in assisting and improving care. However, in-troducing these technologies into nursing can raise concerns related to data bias in the context of training algorithms and potential implications for certain populations. Little evidence exists in the extant litera-ture regarding the efficacious application of many artificial intelligence-based health technologies used in healthcare. Objectives: To synthesize currently available state-of the-art research in artificial intelligence-based tech-nologies applied in nursing practice.Design: Scoping reviewMethods: PubMed, CINAHL, Web of Science and IEEE Xplore were searched for relevant articles with queries that combine names and terms related to nursing, artificial intelligence and machine learning methods. Included studies focused on developing or validating artificial intelligence-based technologies with a clear description of their impacts on nursing. We excluded non-experimental studies and research targeted at robotics, nursing management and technologies used in nursing research and education.Results: A total of 7610 articles published between January 2010 and March 2021 were revealed, with 93 articles included in this review. Most studies explored the technology development ( n = 55, 59.1%) and formation (testing) ( n = 28, 30.1%) phases, followed by implementation ( n = 9, 9.7%) and operational ( n = 1, 1.1%) phases. The vast majority (73.1%) of studies provided evidence with a descriptive design (level VI) while only a small portion (4.3%) were randomised controlled trials (level II). The study aims, settings and methods were poorly described in the articles, and discussion of ethical considerations were lacking in 36.6% of studies. Additionally, one-third of papers (33.3%) were reported without the involve-ment of nurses. Conclusions: Contemporary research on applications of artificial intelligence-based technologies in nursing mainly cover the earlier stages of technology development, leaving scarce evidence of the impact of these technologies and implementation aspects into practice. The content of research reported is varied. Therefore, guidelines on research reporting and implementing artificial intelligence-based technologies in nursing are needed. Furthermore, integrating basic knowledge of artificial intelligence-related technologies and their applications in nursing education is imperative, and interventions to increase the inclusion of nurses throughout the technology research and development process is needed.(c) 2021 The Author. Published by Elsevier Ltd. This is an open access article under the CC BY license ( http://creativecommons.org/licenses/by/4.0/ )</t>
  </si>
  <si>
    <t>[von Gerich, Hanna; Peltonen, Laura-Maria] Univ Turku, Dept Nursing Sci, Turku, Finland; [Moen, Hans] Univ Turku, Dept Comp, Turku, Finland; [Block, Lorraine J.] Univ British Columbia, Sch Nursing, Vancouver, BC, Canada; [Chu, Charlene H.] Univ Toronto, Lawrence S Bloomberg Fac Nursing, Toronto, ON, Canada; [DeForest, Haley] Univ Hawaii Maui, Kahului, HI USA; [Hobensack, Mollie; Topaz, Maxim] Columbia Univ, Sch Nursing, New York, NY 10027 USA; [Michalowski, Martin; Pruinelli, Lisiane] Univ Minnesota, Sch Nursing, Minneapolis, MN 55455 USA; [Mitchell, James] Keele Univ, Sch Comp &amp; Math, Keele, Staffs, England; [Nibber, Raji] Fraser Hlth Author, Surrey, BC, Canada; [Olalia, Mary Anne] Ryerson Univ, Daphne Cockwell Sch Nursing, Toronto, ON, Canada; [Ronquillo, Charlene E.] Univ British Columbia Okanagan, Sch Nursing, Kelowna, BC, Canada</t>
  </si>
  <si>
    <t>University of Turku; University of Turku; University of British Columbia; University of Toronto; Columbia University; University of Minnesota System; University of Minnesota Twin Cities; Keele University; Toronto Metropolitan University; University of British Columbia; University of British Columbia Okanagan</t>
  </si>
  <si>
    <t>Peltonen, LM (corresponding author), Univ Turku, Dept Nursing Sci, Turku, Finland.</t>
  </si>
  <si>
    <t>hanna.m.vongerich@utu.fi; lori.block@ubc.ca; charlene.chu@utoronto.ca; mxh2000@cumc.columbia.edu; martinm@umn.edu; j.a.mitchell@keele.ac.uk; raji.nibber@alumni.ubc.ca; molalia@ryerson.ca; pruin001@umn.edu; charlene.ronquillo@ubc.ca; laura-maria.peltonen@utu.fi</t>
  </si>
  <si>
    <t>Michalowski, Martin/AAJ-7931-2020; Moen, Hans/KLZ-8559-2024; Pruinelli, Lisiane/AAU-3794-2020; Topaz, Maxim/AAQ-7121-2021; Ronquillo, Charlene/AIE-2432-2022; von Gerich, Hanna/GLV-1045-2022; Murtola, Laura-Maria/V-2665-2019; Ronquillo, Charlene/H-3053-2016</t>
  </si>
  <si>
    <t>Nibber, Raji/0000-0003-1305-3606; Ronquillo, Charlene/0000-0002-6520-1765; Olalia, Mary Anne/0000-0002-1678-2807; Mitchell, James/0000-0001-6051-2567; Moen, Hans/0000-0003-1418-7892; Peltonen, Laura-Maria/0000-0001-5740-6480; Michalowski, Martin/0000-0003-2060-5878; Block, Lorraine/0000-0002-9496-3208; von Gerich, Hanna/0000-0003-1036-2163; DeForest, Haley/0000-0002-4201-3323; Chu, Charlene/0000-0002-0333-7210</t>
  </si>
  <si>
    <t>Finnish Nursing Education Foundation; Academy of Finland [315376]; Brocher Fondation; National Institute for Nursing Research training grant Reducing Health Disparities through Informatics (RHeaDI) [T32NR007969]; Academy of Finland (AKA) [315376] Funding Source: Academy of Finland (AKA)</t>
  </si>
  <si>
    <t>Finnish Nursing Education Foundation; Academy of Finland(Research Council of Finland); Brocher Fondation; National Institute for Nursing Research training grant Reducing Health Disparities through Informatics (RHeaDI); Academy of Finland (AKA)(Research Council of Finland)</t>
  </si>
  <si>
    <t>This work was supported by The Finnish Nursing Education Foundation sr., the Academy of Finland (315376) , and the Brocher Fondation. The Brocher Foundation's mission is to encourage research on the ethical, legal and social implications of new medical technologies. Its main activities are to host visiting researchers and to organize symposia, workshops and summer or winter academies. More information on the Brocher Foundation program is available at www.brocher.ch Ms. Hobensack is supported by the National Institute for Nursing Research training grant Reducing Health Disparities through Informatics (RHeaDI) (T32NR007969) as a predoctoral trainee.</t>
  </si>
  <si>
    <t>0020-7489</t>
  </si>
  <si>
    <t>1873-491X</t>
  </si>
  <si>
    <t>INT J NURS STUD</t>
  </si>
  <si>
    <t>Int. J. Nurs. Stud.</t>
  </si>
  <si>
    <t>10.1016/j.ijnurstu.2021.104153</t>
  </si>
  <si>
    <t>1L2AZ</t>
  </si>
  <si>
    <t>WOS:000799095600009</t>
  </si>
  <si>
    <t>Hajirasouliha, I; Elemento, O</t>
  </si>
  <si>
    <t>Hajirasouliha, Iman; Elemento, Olivier</t>
  </si>
  <si>
    <t>Precision medicine and artificial intelligence: overview and relevance to reproductive medicine</t>
  </si>
  <si>
    <t>FERTILITY AND STERILITY</t>
  </si>
  <si>
    <t>Precision medicine; artificial intelligence; reproductive medicine</t>
  </si>
  <si>
    <t>CELL-FREE DNA; EMBRYO CULTURE; HEALTH; CLASSIFICATION; CANCER; MODEL</t>
  </si>
  <si>
    <t>Traditionally, new treatments have been developed for the population at large. Recently, large-scale genomic sequencing analyses have revealed tremendous genetic diversity between individuals. In diseases driven by genetic events such as cancer, genomic sequencing can unravel all the mutations that drive individual tumors. The ability to capture the genetic makeup of individual patients has led to the concept of precision medicine, a modern, technology-driven form of personalized medicine. Precision medicine matches each individual to the best treatment in a way that is tailored to his or her genetic uniqueness. To further personalize medicine, precision medicine increasingly incorporates and integrates data beyond genomics, such as epigenomics and metabolomics, as well as imaging. Increasingly, the robust use and integration of these modalities in precision medicine require the use of artificial intelligence and machine learning. This modern view of precision medicine, adopted early in certain areas of medicine such as cancer, has started to impact the field of reproductive medicine. Here we review the concepts and history of precision medicine and artificial intelligence, highlight their growing impact on reproductive medicine, and outline some of the challenges and limitations that these new fields have encountered in medicine. ((C)2020 by American Society for Reproductive Medicine.)</t>
  </si>
  <si>
    <t>[Hajirasouliha, Iman; Elemento, Olivier] Weill Cornell Med, Inst Computat Biomed, Caryl &amp; Israel Englander Inst Precis Med, New York, NY 10021 USA</t>
  </si>
  <si>
    <t>Cornell University; Weill Cornell Medicine</t>
  </si>
  <si>
    <t>Hajirasouliha, I (corresponding author), Weill Cornell Med, Inst Computat Biomed, Caryl &amp; Israel Englander Inst Precis Med, Weill Greenberg Ctr, 1305 York Ave, New York, NY 10021 USA.</t>
  </si>
  <si>
    <t>imh2003@med.cornell.edu</t>
  </si>
  <si>
    <t>Elemento, Olivier/ADL-3192-2022</t>
  </si>
  <si>
    <t>0015-0282</t>
  </si>
  <si>
    <t>1556-5653</t>
  </si>
  <si>
    <t>FERTIL STERIL</t>
  </si>
  <si>
    <t>Fertil. Steril.</t>
  </si>
  <si>
    <t>10.1016/j.fertnstert.2020.09.156</t>
  </si>
  <si>
    <t>Obstetrics &amp; Gynecology; Reproductive Biology</t>
  </si>
  <si>
    <t>OP7QY</t>
  </si>
  <si>
    <t>WOS:000588282900002</t>
  </si>
  <si>
    <t>Chen, C; Hu, YH; Karuppiah, M; Kumar, PM</t>
  </si>
  <si>
    <t>Chen, Cheng; Hu, Yuhan; Karuppiah, Marimuthu; Kumar, Priyan Malarvizhi</t>
  </si>
  <si>
    <t>Artificial intelligence on economic evaluation of energy efficiency and renewable energy technologies</t>
  </si>
  <si>
    <t>SUSTAINABLE ENERGY TECHNOLOGIES AND ASSESSMENTS</t>
  </si>
  <si>
    <t>Artificial intelligence; Economic evaluation; Energy efficiency; Renewable energy</t>
  </si>
  <si>
    <t>SECURE</t>
  </si>
  <si>
    <t>The energy sector currently faces growing challenges related to increasing demand, efficiency, a lack of analytics required for optimal management, and changing supply and demand patterns. Renewable energy technologies such as Energy forecasting, energy efficiency, and energy accessibility are the key factors that incorporate Artificial intelligence. In this paper, the Artificial Intelligence-based useful evaluation model (AIEM) has been proposed for forecasting renewable energy and energy efficiency impact on the economy. This study intended to analyze, compare and build a model utilizing artificial intelligence and specific economic indicators significant in economic prediction regarding renewable energy. AI approaches that can be employed to overcome different challenges, including selecting the best consumer to react for the attributes and desires, competitive pricing, scheduling, and managing facilities, incentivizing demand response participants, and compensating them equally and economically. The proposed model can help enhance energy efficiency to 97.32% and improve renewable energy resource utilization.</t>
  </si>
  <si>
    <t>[Chen, Cheng; Hu, Yuhan] Xinyang Vocat &amp; Tech Coll, Sch Business, Xinyang 464000, Peoples R China; [Karuppiah, Marimuthu] SRM Inst Sci &amp; Technol, Dept Comp Sci &amp; Engn, Delhi NCR Campus, Ghaziabad 201204, Uttar Pradesh, India; [Kumar, Priyan Malarvizhi] Kyung Hee Univ, Dept Comp Sci &amp; Engn, Seoul, South Korea</t>
  </si>
  <si>
    <t>SRM Institute of Science &amp; Technology Delhi NCR (Ghaziabad); Kyung Hee University</t>
  </si>
  <si>
    <t>Chen, C (corresponding author), Xinyang Vocat &amp; Tech Coll, Sch Business, Xinyang 464000, Peoples R China.</t>
  </si>
  <si>
    <t>xyzycc@126.com</t>
  </si>
  <si>
    <t>KUMAR, PRIYAN MALARVIZHI/GYV-1373-2022; Hu, Yuhan/F-1634-2016; Karuppiah, Marimuthu/B-2653-2018</t>
  </si>
  <si>
    <t>Karuppiah, Marimuthu/0000-0001-7379-2641</t>
  </si>
  <si>
    <t>2213-1388</t>
  </si>
  <si>
    <t>2213-1396</t>
  </si>
  <si>
    <t>SUSTAIN ENERGY TECHN</t>
  </si>
  <si>
    <t>Sustain. Energy Technol. Assess.</t>
  </si>
  <si>
    <t>10.1016/j.seta.2021.101358</t>
  </si>
  <si>
    <t>XE9NQ</t>
  </si>
  <si>
    <t>WOS:000723708800005</t>
  </si>
  <si>
    <t>Palos-Sánchez, PR; Baena-Luna, P; Badicu, A; Infante-Moro, JC</t>
  </si>
  <si>
    <t>Palos-Sanchez, P. R.; Baena-Luna, P.; Badicu, A.; Infante-Moro, J. C.</t>
  </si>
  <si>
    <t>Artificial Intelligence and Human Resources Management: A Bibliometric Analysis</t>
  </si>
  <si>
    <t>APPLIED ARTIFICIAL INTELLIGENCE</t>
  </si>
  <si>
    <t>Artificial intelligence; human resources management; Bibliometrix; personnel recruitment; emerging technologies</t>
  </si>
  <si>
    <t>BIG DATA; METHODOLOGY; CANDIDATES</t>
  </si>
  <si>
    <t>Artificial Intelligence (AI) is increasingly present in organizations. In the specific case of Human Resource Management (HRM), AI has become increasingly relevant in recent years. This article aims to perform a bibliometric analysis of the scientific literature that addresses in a connected way the application and impact of AI in the field of HRM. The scientific databases consulted were Web of Science and Scopus, yielding an initial number of 156 articles, of which 73 were selected for subsequent analysis. The information was processed using the Bibliometrix tool, which provided information on annual production, analysis of journals, authors, documents, keywords, etc. The results obtained show that AI applied to HRM is a developing field of study with constant growth and a positive future vision, although it should also be noted that it has a very specific character as a result of the fact that most of the research is focused on the application of AI in recruitment and selection actions, leaving aside other sub-areas with a great potential for application.</t>
  </si>
  <si>
    <t>[Palos-Sanchez, P. R.] Univ Seville, Financial Econ &amp; Operat Management, Seville, Spain; [Baena-Luna, P.] Univ Seville, Business Adm &amp; Mkt, Seville, Spain; [Badicu, A.] Open Univ Catalonia, Econ &amp; Business, Barcelona, Spain; [Infante-Moro, J. C.] Univ Huelva, Econ &amp; Operat Management, Huelva, Spain</t>
  </si>
  <si>
    <t>University of Sevilla; University of Sevilla; UOC Universitat Oberta de Catalunya; Universidad de Huelva</t>
  </si>
  <si>
    <t>Baena-Luna, P (corresponding author), Univ Seville, Ramon Y Cajal Av 1, Seville 41018, Spain.</t>
  </si>
  <si>
    <t>pbaenaluna@us.es</t>
  </si>
  <si>
    <t>Infante Moro, Juan Carlos/N-2327-2014; Baena-Luna, Pedro/S-9594-2017; Palos-Sanchez, Pedro R./A-8952-2017</t>
  </si>
  <si>
    <t>Infante Moro, Juan Carlos/0000-0003-0239-5053; Baena-Luna, Pedro/0000-0002-8509-0222; Palos-Sanchez, Pedro R./0000-0001-9966-0698</t>
  </si>
  <si>
    <t>0883-9514</t>
  </si>
  <si>
    <t>1087-6545</t>
  </si>
  <si>
    <t>APPL ARTIF INTELL</t>
  </si>
  <si>
    <t>Appl. Artif. Intell.</t>
  </si>
  <si>
    <t>10.1080/08839514.2022.2145631</t>
  </si>
  <si>
    <t>6N9SW</t>
  </si>
  <si>
    <t>WOS:000889889300001</t>
  </si>
  <si>
    <t>Ma, CH; Ye, J</t>
  </si>
  <si>
    <t>Ma, Chunhao; Ye, Jian</t>
  </si>
  <si>
    <t>Linking artificial intelligence to service sabotage</t>
  </si>
  <si>
    <t>Artificial intelligence; service sabotage; organization-based self-esteem; perceived organizational support; conservation of resource theory</t>
  </si>
  <si>
    <t>PERCEIVED ORGANIZATIONAL SUPPORT; SELF-ESTEEM; CONSERVATION; RESOURCES; EMPLOYEES; CONTEXT; WORK; REVOLUTION; ATTITUDES; IMPACT</t>
  </si>
  <si>
    <t>The widespread use of artificial intelligence (AI) technology in the service industry has made the conflict between service robots and frontline employees a hot topic. While research shows that the adoption of service robots may have a negative impact on employees' psychology and behavior, little is known about its effects on frontline employee' service sabotage. The current study explores the influencing mechanism of service sabotage in the context of AI introduction based on the STARA theory and conservation of resource theory. The results reveal that: (1) Frontline employee's AI awareness direclty affects service sabotage; (2) Organization-based self-esteem plays a partial mediating role between AI awareness and service sabotage; (3) Perceived organizational support weakens the effect of AI awareness on service sabotage.</t>
  </si>
  <si>
    <t>[Ma, Chunhao] China Railway Mat Co Ltd, Tianjin, Peoples R China; [Ye, Jian] Renmin Univ China, Dept Polit Econ, Zhongguancun St 59, Beijing 100872, Peoples R China</t>
  </si>
  <si>
    <t>Renmin University of China</t>
  </si>
  <si>
    <t>Ye, J (corresponding author), Renmin Univ China, Dept Polit Econ, Zhongguancun St 59, Beijing 100872, Peoples R China.</t>
  </si>
  <si>
    <t>yejianfinance@126.com</t>
  </si>
  <si>
    <t>Ma, Chunhao/JPL-5060-2023</t>
  </si>
  <si>
    <t>Ma, Chunhao/0000-0001-6846-3608</t>
  </si>
  <si>
    <t>13-14</t>
  </si>
  <si>
    <t>10.1080/02642069.2022.2092615</t>
  </si>
  <si>
    <t>4H1HQ</t>
  </si>
  <si>
    <t>WOS:000819759700001</t>
  </si>
  <si>
    <t>Guang, C</t>
  </si>
  <si>
    <t>Guang, Chen</t>
  </si>
  <si>
    <t>Development of migrant workers in construction based on machine learning and artificial intelligence technology</t>
  </si>
  <si>
    <t>Machine learning; artificial intelligence; construction engineering; migrant workers</t>
  </si>
  <si>
    <t>NEURAL-NETWORKS; PERFORMANCE</t>
  </si>
  <si>
    <t>Artificial intelligence technology has been widely used in all aspects of our life. Similarly, the application of artificial intelligence in the field of construction engineering is a necessary trend in the development of engineering industry, especially in the traditional construction engineering department. Under the background of the times, from the perspective of knowledge, artificial intelligence technology has appeared a huge development, which may have an impact on the employment of Chinese labor force, may create new jobs, or replace traditional jobs. This effect on employment is essential. From the perspective of machine learning and artificial intelligence, this paper reviews the transformation prospects of engineering industry and the development of agricultural industry in construction industry, and examines the intellectual transformation of individual human capital in Chinese labor force.</t>
  </si>
  <si>
    <t>[Guang, Chen] Jiangsu Vocat Inst Architectural Technol, Sch Architectural Management, Xuzhou, Jiangsu, Peoples R China</t>
  </si>
  <si>
    <t>Jiangsu Vocational Institute of Architectural Technology</t>
  </si>
  <si>
    <t>Guang, C (corresponding author), Jiangsu Vocat Inst Architectural Technol, Sch Architectural Management, Xuzhou, Jiangsu, Peoples R China.</t>
  </si>
  <si>
    <t>xzhchg666@126.com</t>
  </si>
  <si>
    <t>Ministry of Housing and Urban-Rural Development [2016-R2-055]</t>
  </si>
  <si>
    <t>Ministry of Housing and Urban-Rural Development</t>
  </si>
  <si>
    <t>This research has been financed by The Science and Technology Research Project in 2016 of the Ministry of Housing and Urban-Rural Development Research on the Cultivation of New Generation of SkilledWorkers in Construction Industry (2016-R2-055).</t>
  </si>
  <si>
    <t>10.3233/JIFS-189499</t>
  </si>
  <si>
    <t>RN7FL</t>
  </si>
  <si>
    <t>WOS:000640518000081</t>
  </si>
  <si>
    <t>Schmitz, B</t>
  </si>
  <si>
    <t>Schmitz, Boris</t>
  </si>
  <si>
    <t>Improving accessibility of scientific research by artificial intelligence-An example for lay abstract generation</t>
  </si>
  <si>
    <t>Artificial intelligence; digital; health communications; education; technology</t>
  </si>
  <si>
    <t>The role of scientific research in modern society is essential for driving innovation, informing policy decisions, and shaping public opinion. However, communicating scientific findings to the general public can be challenging due to the technical and complex nature of scientific research. Lay abstracts are written summaries of scientific research that are designed to be easily understandable and provide a concise and clear overview of key findings and implications. Artificial intelligence language models have the potential to generate lay abstracts that are consistent and accurate while reducing the potential for misinterpretation or bias. This study presents examples of artificial intelligence-generated lay abstracts of recently published articles, which were produced using different currently available artificial intelligence tools. The generated abstracts were of high linguistic quality and accurately represented the findings of the original articles. Adopting lay summaries can increase the visibility, impact, and transparency of scientific research, and enhance scientists' reputation among peers, while currently, available artificial intelligence models offer solutions to produce lay abstracts. However, the coherence and accuracy of artificial intelligence language models must be validated before they can be used for this purpose without restrictions.</t>
  </si>
  <si>
    <t>[Schmitz, Boris] Univ Witten Herdecke, Fac Hlth, Dept Rehabil Sci, Witten, Germany; [Schmitz, Boris] DRV Clin Konigsfeld, Ctr Med Rehabil, Ennepetal, Germany; [Schmitz, Boris] Univ Witten Herdecke, Fac Hlth, Dept Rehabil Sci, Holthauser Talstr 2, D-58256 Ennepetal, Germany</t>
  </si>
  <si>
    <t>Witten Herdecke University; Witten Herdecke University</t>
  </si>
  <si>
    <t>Schmitz, B (corresponding author), Univ Witten Herdecke, Fac Hlth, Dept Rehabil Sci, Holthauser Talstr 2, D-58256 Ennepetal, Germany.</t>
  </si>
  <si>
    <t>Boris.Schmitz@uni-wh.de</t>
  </si>
  <si>
    <t>Schmitz, Boris/M-3205-2019</t>
  </si>
  <si>
    <t>Schmitz, Dr. Dr. Boris/0000-0001-7041-7424</t>
  </si>
  <si>
    <t>10.1177/20552076231186245</t>
  </si>
  <si>
    <t>K4YK0</t>
  </si>
  <si>
    <t>WOS:001016509500001</t>
  </si>
  <si>
    <t>Murár, P; Kubovics, M; Jurisová, V</t>
  </si>
  <si>
    <t>Murar, Peter; Kubovics, Michal; Jurisova, Vladimira</t>
  </si>
  <si>
    <t>THE IMPACT OF BRAND-VOICE INTEGRATION AND ARTIFICIAL INTELLIGENCE ON SOCIAL MEDIA MARKETING</t>
  </si>
  <si>
    <t>COMMUNICATION TODAY</t>
  </si>
  <si>
    <t>artificial intelligence; brand communication; brand perception; brand-voice integration; social media marketing</t>
  </si>
  <si>
    <t>Corporate identity plays an important role in the success and competitiveness of businesses in today's dynamic business environment. It encompasses brand identity, organisational culture, values, and reputation, and is key in building relationships with stakeholders. An ethical corporate identity, in particular the perception of a company as ethical and socially responsible, positively influences employee behaviour and engagement. Artificial Intelligence (AI) has revolutionised business management and offers innovative solutions to improve decision-making, efficiency, and transparency. Integrating AI into corporate governance can improve risk management, compliance, and accountability. In the digital age, social media are key in building and maintaining the brand voice of businesses. With the advent of AI, new tools such as Chat GPT have emerged to simplify and accelerate content creation, including social media posts. However, achieving satisfactory brand-voice results using AI requires careful analysis and extensive, representative data that travels into the prompter. Although AI-generated content is fast, it should be vetted by experienced experts to ensure it aligns with brand values and brand image. Although Chat GPT promises to generate content and brand-voice, its successful use requires collaboration with experienced experts and thoughtful consideration of its use in building and maintaining an authentic and effective brand-voice.</t>
  </si>
  <si>
    <t>[Murar, Peter; Kubovics, Michal; Jurisova, Vladimira] Univ Ss Cyril &amp; Methodius, Fac Mass Media Commun, Dept Mkt Commun, Namestie J Herdu 2, Trnava 91701, Slovakia</t>
  </si>
  <si>
    <t>University of SS Cyril &amp; Methodius Trnava</t>
  </si>
  <si>
    <t>Murár, P (corresponding author), Univ Ss Cyril &amp; Methodius, Fac Mass Media Commun, Dept Mkt Commun, Namestie J Herdu 2, Trnava 91701, Slovakia.</t>
  </si>
  <si>
    <t>peter.murar@ucm.sk; michal.kubovics@ucm.sk; vladimira.jurisova@ucm.sk</t>
  </si>
  <si>
    <t>Scientific Grant Agency of the Ministry of Education, Science, Research and Sport of the Slovak Republic; Slovak Academy of Sciences (VEGA) under the project The Impact and Value of Digitization of Product Marketing Communication Innovations for Generations of Ecological Users [1/0304/24]</t>
  </si>
  <si>
    <t>Scientific Grant Agency of the Ministry of Education, Science, Research and Sport of the Slovak Republic; Slovak Academy of Sciences (VEGA) under the project The Impact and Value of Digitization of Product Marketing Communication Innovations for Generations of Ecological Users</t>
  </si>
  <si>
    <t>The research was supported by the Scientific Grant Agency of the Ministry of Education, Science, Research and Sport of the Slovak Republic and the Slovak Academy of Sciences (VEGA No. 1/0304/24) under the project titled The Impact and Value of Digitization of Product Marketing Communication Innovations for Generations of Ecological Users.</t>
  </si>
  <si>
    <t>UNIV SS CYRIL &amp; METHODIUS TRNAVA</t>
  </si>
  <si>
    <t>TRNAVA</t>
  </si>
  <si>
    <t>NAMESTIE JOZEFA HERDU 2, TRNAVA, 91701, SLOVAKIA</t>
  </si>
  <si>
    <t>1338-130X</t>
  </si>
  <si>
    <t>COMMUN TODAY</t>
  </si>
  <si>
    <t>Commun. Today</t>
  </si>
  <si>
    <t>QC0D1</t>
  </si>
  <si>
    <t>WOS:001218553900002</t>
  </si>
  <si>
    <t>Zhai, SX; Liu, ZP</t>
  </si>
  <si>
    <t>Zhai, Shaoxuan; Liu, Zhenpeng</t>
  </si>
  <si>
    <t>Artificial intelligence technology innovation and firm productivity: Evidence from China</t>
  </si>
  <si>
    <t>Artificial intelligence technology innovation; Firm productivity</t>
  </si>
  <si>
    <t>This study empirically examines the influence of artificial intelligence (AI) technology innovation on productivity using a sample of Chinese-listed companies. The results underscore that AI technology innovations can significantly enhance firms' total factor productivity. Moreover, while this positive impact is generalizable across firms, it is more pronounced in large-size enterprises, state-owned enterprises, and labor-intensive industries. Additionally, the mechanisms analysis reveals that cost reduction, increased utilization of highly skilled labor inputs, facilitation of digital transformation, and improvement in innovation efficiency are mechanisms through which AI technology innovation enhances productivity.</t>
  </si>
  <si>
    <t>[Zhai, Shaoxuan; Liu, Zhenpeng] Jinan Univ, Inst Ind Econ, Guangzhou, Peoples R China; [Liu, Zhenpeng] Jinan Univ, 601 West Huangpu Ave, Guangzhou 510632, Peoples R China</t>
  </si>
  <si>
    <t>Jinan University; Jinan University</t>
  </si>
  <si>
    <t>Liu, ZP (corresponding author), Jinan Univ, 601 West Huangpu Ave, Guangzhou 510632, Peoples R China.</t>
  </si>
  <si>
    <t>lzp2021@stu2021.jnu.edu.cn</t>
  </si>
  <si>
    <t>Zhai, Shaoxuan/MAI-5417-2025</t>
  </si>
  <si>
    <t>Zhai, Shaoxuan/0009-0001-5454-8894</t>
  </si>
  <si>
    <t>Major Project of National Social Science Foundation of China [20 ZD086]; Guangdong Natural Science Fund [2021A1515011729]</t>
  </si>
  <si>
    <t>Major Project of National Social Science Foundation of China(National Office of Philosophy and Social Sciences); Guangdong Natural Science Fund</t>
  </si>
  <si>
    <t>We acknowledge the financial support of the Major Project of National Social Science Foundation of China (grant No. 20 &amp; ZD086) and Guangdong Natural Science Fund (grant No. 2021A1515011729).</t>
  </si>
  <si>
    <t>10.1016/j.frl.2023.104437</t>
  </si>
  <si>
    <t>T0NP7</t>
  </si>
  <si>
    <t>WOS:001075043800001</t>
  </si>
  <si>
    <t>Lv, XY; Liu, Y; Luo, JJ; Liu, YQ; Li, CX</t>
  </si>
  <si>
    <t>Lv, Xingyang; Liu, Yue; Luo, Jingjing; Liu, Yuqing; Li, Chunxiao</t>
  </si>
  <si>
    <t>Does a cute artificial intelligence assistant soften the blow? The impact of cuteness on customer tolerance of assistant service failure</t>
  </si>
  <si>
    <t>Artificial intelligence assistant; Service failure; Experiments; Cuteness effect; Customer tolerance; Mediating mechanism</t>
  </si>
  <si>
    <t>TIME PRESSURE; GROUP-PERFORMANCE; CONSUMERS; TENDERNESS; FORGIVENESS; RESPONSES; CHOICE; FUTURE; HELP</t>
  </si>
  <si>
    <t>As artificial intelligent technologies have been increasingly applied in tourism and hospitality industry, the service failure caused by artificial intelligence assistant and how to recover them are worth empirical studying. Laboratory experiments were employed to test the impact of cuteness in service failure, with effective manipulation of cute appearance, cute voice and cute language style of artificial intelligence assistant. By utilizing three studies with seven experiments, this research demonstrated the positive effect of cuteness design of artificial intelligence assistant on customer tolerance of service failure and further revealed the two mediating paths (tenderness and performance expectancy) as well as the boundary (failure severity and time pressure) of the cuteness effect. These findings contribute to the knowledge on artificial intelligent assistant service and provide insight for cute design using in tourism and hospitality industry. (C) 2020 Elsevier Ltd. All rights reserved.</t>
  </si>
  <si>
    <t>[Lv, Xingyang; Luo, Jingjing] Southwestern Univ Finance &amp; Econ, Sch Business Adm, Chengdu 611130, Peoples R China; [Liu, Yue] Southwestern Univ Finance &amp; Econ, Sch Sports Sci &amp; Phys Educ, Chengdu 611130, Peoples R China; [Liu, Yuqing] Tianjin Univ Commerce, Sch Management, Tianjin 300134, Peoples R China; [Li, Chunxiao] Nankai Univ, Coll Tourism &amp; Serv Management, Tianjin 300350, Peoples R China</t>
  </si>
  <si>
    <t>Southwestern University of Finance &amp; Economics - China; Southwestern University of Finance &amp; Economics - China; Tianjin University of Commerce; Nankai University</t>
  </si>
  <si>
    <t>Li, CX (corresponding author), Nankai Univ, Coll Tourism &amp; Serv Management, Tianjin 300350, Peoples R China.</t>
  </si>
  <si>
    <t>xiaoxiao1985214@hotmail.com</t>
  </si>
  <si>
    <t>Li, Chunxiao/J-3858-2016</t>
  </si>
  <si>
    <t>Liu, yuqing/0000-0002-0510-0225</t>
  </si>
  <si>
    <t>National Natural Science Foundation of China [71702081,72074126, 71971124]</t>
  </si>
  <si>
    <t>This work was supported by National Natural Science Foundation of China [numbers 71702081,72074126, and 71971124].</t>
  </si>
  <si>
    <t>10.1016/j.annals.2020.103114</t>
  </si>
  <si>
    <t>RP8WL</t>
  </si>
  <si>
    <t>WOS:000642003400016</t>
  </si>
  <si>
    <t>Roff, HM</t>
  </si>
  <si>
    <t>Roff, Heather M.</t>
  </si>
  <si>
    <t>Artificial Intelligence: Power to the People</t>
  </si>
  <si>
    <t>artificial intelligence; machine learning; autonomy; automation; epistemology; ethics</t>
  </si>
  <si>
    <t>To adequately estimate the beneficial and harmful effects of artificial intelligence (AI), we must first have a clear understanding of what AI is and what it is not. We need to draw important conceptual and definitional boundaries to ensure we accurately estimate and measure the impacts of AI from both empirical and normative standpoints. This essay argues that we should not conflate AI with automation or autonomy but keep them conceptually separate. Moreover, it suggests that once we have a broad understanding of what constitutes AI, we will see that it can be applied to all sectors of the economy and in warfare. However, it cautions that we must be careful where we apply AI, for in some cases there are serious epistemological concerns about whether we have an appropriate level of knowledge to create such systems. Opening the aperture to include such questions allows us to further see that while AI systems will be deployed in a myriad of forms, with greater or lesser cognitive abilities, these systems ought never to be considered moral agents. They cannot possess rights, and they do not have any duties.</t>
  </si>
  <si>
    <t>[Roff, Heather M.] Brookings Inst, Johns Hopkins Appl Phys Lab, Washington, DC 20036 USA; [Roff, Heather M.] Brookings Inst, Foreign Policy, Washington, DC 20036 USA; [Roff, Heather M.] Univ Cambridge, Leverhulme Ctr Future Intelligence, Cambridge, England; [Roff, Heather M.] Univ Oxford, Dept Polit &amp; Int Relat, Oxford, England; [Roff, Heather M.] Arizona State Univ, Global Secur Initiat, Tempe, AZ 85287 USA; [Roff, Heather M.] Univ Denver, Denver, CO 80208 USA; [Roff, Heather M.] Univ Waterloo, Waterloo, ON, Canada</t>
  </si>
  <si>
    <t>Brookings Institution; Brookings Institution; University of Cambridge; University of Oxford; Arizona State University; Arizona State University-Tempe; University of Denver; University of Waterloo</t>
  </si>
  <si>
    <t>Roff, HM (corresponding author), Brookings Inst, Johns Hopkins Appl Phys Lab, Washington, DC 20036 USA.;Roff, HM (corresponding author), Brookings Inst, Foreign Policy, Washington, DC 20036 USA.;Roff, HM (corresponding author), Univ Cambridge, Leverhulme Ctr Future Intelligence, Cambridge, England.;Roff, HM (corresponding author), Univ Oxford, Dept Polit &amp; Int Relat, Oxford, England.;Roff, HM (corresponding author), Arizona State Univ, Global Secur Initiat, Tempe, AZ 85287 USA.;Roff, HM (corresponding author), Univ Denver, Denver, CO 80208 USA.;Roff, HM (corresponding author), Univ Waterloo, Waterloo, ON, Canada.</t>
  </si>
  <si>
    <t>heather.roff@jhuapl.edu</t>
  </si>
  <si>
    <t>10.1017/S0892679419000121</t>
  </si>
  <si>
    <t>WOS:000470740100002</t>
  </si>
  <si>
    <t>Meyer, J; Remisch, D</t>
  </si>
  <si>
    <t>Nah, FFH; Siau, K</t>
  </si>
  <si>
    <t>Meyer, Julien; Remisch, David</t>
  </si>
  <si>
    <t>An Experiment on the Impact of Information on the Trust in Artificial Intelligence</t>
  </si>
  <si>
    <t>HCI IN BUSINESS, GOVERNMENT AND ORGANIZATIONS, HCIBGO 2021</t>
  </si>
  <si>
    <t>8th International Conference on HCI in Business, Government and Organizations (HCIBGO)</t>
  </si>
  <si>
    <t>Artificial intelligence; Pathology; Trust; Reliance</t>
  </si>
  <si>
    <t>INTERNATIONAL-SOCIETY; AUTOMATION; PATHOLOGY; BIAS</t>
  </si>
  <si>
    <t>Artificial intelligence (AI) has made considerable progress in a variety of fields and is suggested to do as well or better than many experts, creating great expectations about its potential to improve decision-making. While much progress has been made in refining the accuracy of algorithms, much remains to determine on how these algorithms will influence decision-makers, especially in life or death decisions such as in medicine. In such fields, human experts will remain for the foreseeable future the ultimate decision-makers. Literature suggests that reliance on algorithms by decision-makers may be influenced by the accuracy of algorithm and by the information on how the algorithm reached its conclusions. The objective of this paper is to determine the propensity to influence pathologists' decision-making using algorithmic expertise and information on AI algorithm accuracy and model interpretability. To test our hypotheses, we will conduct an online, quasi-experimental survey study with 120 respondent pathologists. Each participant will provided with a series of prostate cancer samples and asked to assess the Gleason grade. Our hypothesis is that increasing the level of information will lead to increased reliance in automated systems. This research will provide insight into trust in AI: first, the extent to which pathologists trust AI advice; second, the extent to which each type of information contributes to trust.</t>
  </si>
  <si>
    <t>[Meyer, Julien; Remisch, David] Ryerson Univ, Toronto, ON, Canada</t>
  </si>
  <si>
    <t>Toronto Metropolitan University</t>
  </si>
  <si>
    <t>Meyer, J (corresponding author), Ryerson Univ, Toronto, ON, Canada.</t>
  </si>
  <si>
    <t>Julien.meyer@ryerson.ca</t>
  </si>
  <si>
    <t>978-3-030-77749-4; 978-3-030-77750-0</t>
  </si>
  <si>
    <t>10.1007/978-3-030-77750-0_39</t>
  </si>
  <si>
    <t>Business, Finance; Computer Science, Cybernetics; Communication; Computer Science, Interdisciplinary Applications</t>
  </si>
  <si>
    <t>Business &amp; Economics; Computer Science; Communication</t>
  </si>
  <si>
    <t>BX5AX</t>
  </si>
  <si>
    <t>WOS:001297300300039</t>
  </si>
  <si>
    <t>Lane, SH; Haley, T; Brackney, DE</t>
  </si>
  <si>
    <t>Lane, Susan Hayes; Haley, Tammy; Brackney, Dana E.</t>
  </si>
  <si>
    <t>Tool or Tyrant: Guiding and Guarding Generative Artificial Intelligence Use in Nursing Education</t>
  </si>
  <si>
    <t>CREATIVE NURSING</t>
  </si>
  <si>
    <t>nursing students; nursing education; artificial intelligence (AI); generative artificial intelligence (AI); artificial intelligence (AI) literacy; ethics</t>
  </si>
  <si>
    <t>As artificial intelligence (AI) continues to evolve rapidly, its integration into nursing education is inevitable. This article presents a narrative exploring the implementation of generative AI in nursing education and offers a guide for its strategic use. The exploration begins with an examination of the broader societal impact and uses of artificial intelligence, recognizing its pervasive presence and the potential it holds. Thematic analysis of strengths, weaknesses, opportunities, and threats collected from nurse educators across the southeastern United States in this case-based descriptive study used four codes: time, innovation, critical thinking, and routine tasks. Findings from the qualitative analysis revealed the overarching themes that AI can serve as both a tool and a tyrant, offering opportunities for efficiency and innovation while posing challenges of transparency, ethical use, and AI literacy. By establishing ethical guidelines, fostering AI literacy, and promoting responsible implementation in nursing education with a clear articulation of expectations, nurse educators can guide and guard the use of generative AI. Despite the concerns, the transformative potential of generative AI to enhance teaching methodologies and prepare students for the interprofessional health-care workforce provides a multitude of innovative opportunities for teaching and learning.</t>
  </si>
  <si>
    <t>[Lane, Susan Hayes; Haley, Tammy; Brackney, Dana E.] Appalachian State Univ, Beaver Coll Hlth Sci, Dept Nursing, 1179 State Farm Rd, Boone, NC 28607 USA</t>
  </si>
  <si>
    <t>University of North Carolina; Appalachian State University</t>
  </si>
  <si>
    <t>Lane, SH (corresponding author), Appalachian State Univ, Beaver Coll Hlth Sci, Dept Nursing, 1179 State Farm Rd, Boone, NC 28607 USA.</t>
  </si>
  <si>
    <t>Lanesh@appstate.edu</t>
  </si>
  <si>
    <t>1078-4535</t>
  </si>
  <si>
    <t>1946-1895</t>
  </si>
  <si>
    <t>CREAT NURS</t>
  </si>
  <si>
    <t>Creat. Nurs.</t>
  </si>
  <si>
    <t>10.1177/10784535241247094</t>
  </si>
  <si>
    <t>PZ4X0</t>
  </si>
  <si>
    <t>WOS:001206516700001</t>
  </si>
  <si>
    <t>Catanzariti, M</t>
  </si>
  <si>
    <t>Catanzariti, Mariavittoria</t>
  </si>
  <si>
    <t>Risk and vulnerability in the European model of artificial intelligence</t>
  </si>
  <si>
    <t>SOCIETAMUTAMENTOPOLITICA-RIVISTA ITALIANA DI SOCIOLOGIA</t>
  </si>
  <si>
    <t>Risk assessment and management; data governance; artificial intelligence; human oversight; interoperability</t>
  </si>
  <si>
    <t>The contribution explores how the European model on artificial intelligence addresses the relationship between risk analysis and management of automated systems and its impact on the vulnerability factors that the use of certain deceptive techniques determines or increases. The article draws some reflections on the European model that illustrates how risk assessment and management are logically related to data governance choices. Some data governance choices can lead to mitigation of the risk by combining market needs with an anthropocentric approach. As a result of general considerations on the European approach to artificial intelligence systems, the contribution offers the analysis of a case related to the interoperability of European information systems for purposes of security, migration and European border control, focusing on the impact that these systems have on the real life of third country nationals.</t>
  </si>
  <si>
    <t>FIRENZE UNIV PRESS</t>
  </si>
  <si>
    <t>FIRENZE</t>
  </si>
  <si>
    <t>JOURNALS DIVISION, BORGO ALBIZI, 28, FIRENZE, 50122, ITALY</t>
  </si>
  <si>
    <t>2038-3150</t>
  </si>
  <si>
    <t>SOCIETAMUTAMENTOPOLI</t>
  </si>
  <si>
    <t>SocietaMutamentoPolitica</t>
  </si>
  <si>
    <t>10.36253/smp-13804</t>
  </si>
  <si>
    <t>9B4QT</t>
  </si>
  <si>
    <t>WOS:000934723900007</t>
  </si>
  <si>
    <t>Kovacic, M; Mutavdzija, M; Buntak, K; Pus, I</t>
  </si>
  <si>
    <t>Kovacic, Matija; Mutavdzija, Maja; Buntak, Kresimir; Pus, Igor</t>
  </si>
  <si>
    <t>Using Artificial Intelligence for Creating and Managing Organizational Knowledge</t>
  </si>
  <si>
    <t>TEHNICKI VJESNIK-TECHNICAL GAZETTE</t>
  </si>
  <si>
    <t>artificial intelligence; data mining; digital transformation; knowledge management; organizational knowledge</t>
  </si>
  <si>
    <t>MANAGEMENT; AI; FUTURE</t>
  </si>
  <si>
    <t>With changes in organizational environment organizations must adopt their business model to the new conditions that are arising. By adapting to the new conditions, organization create knowledge. The main aim of the paper is to show the possibilities of using AI in managing and creating organizational knowledge within the organization and using once created knowledge for competitive advantage. This paper presents the results of the conducted secondary research on the application of artificial intelligence in knowledge creation, and based on the conducted research, a framework for knowledge creation was proposed. This framework starts with collecting data from different sensors on devices or machines and from employees. Gathering large amount of data then creates Big Data databases from which through data mining knowledge is created. In further research, the proposed framework will be used to conduct primary research on the impact of artificial intelligence on creating knowledge and managing it.</t>
  </si>
  <si>
    <t>[Kovacic, Matija; Mutavdzija, Maja; Buntak, Kresimir] Sveuciliste Sjever Univ North, Trg dr Zarka Dolinara 1, Koprivnica 48000, Croatia; [Pus, Igor] Univ Slavonski Brod, Mech Engn Fac Slavonski Brod, Trg Ivane Brlic Mazuranic 2, Slavonski 35000, Croatia</t>
  </si>
  <si>
    <t>Kovacic, M (corresponding author), Sveuciliste Sjever Univ North, Trg dr Zarka Dolinara 1, Koprivnica 48000, Croatia.</t>
  </si>
  <si>
    <t>matkovacic@unin.hr; mamutavdzija@unin.hr; krbuntak@unin.hr; ipus@unisb.hr</t>
  </si>
  <si>
    <t>Buntak, Krešimir/F-1353-2015; Mutavdžija, Maja/GQH-7980-2022</t>
  </si>
  <si>
    <t>Kovacic, Matija/0000-0002-5472-5192; Mutavdzija, Maja/0000-0002-0475-7241</t>
  </si>
  <si>
    <t>UNIV OSIJEK, TECH FAC</t>
  </si>
  <si>
    <t>SLAVONSKI BROD</t>
  </si>
  <si>
    <t>TRG IVANE BRLIC-MAZURANIC 2, SLAVONSKI BROD, HR-35000, CROATIA</t>
  </si>
  <si>
    <t>1330-3651</t>
  </si>
  <si>
    <t>1848-6339</t>
  </si>
  <si>
    <t>TEH VJESN</t>
  </si>
  <si>
    <t>Teh. Vjesn.</t>
  </si>
  <si>
    <t>10.17559/TV-20211222120653</t>
  </si>
  <si>
    <t>2O2DS</t>
  </si>
  <si>
    <t>WOS:000818875800022</t>
  </si>
  <si>
    <t>Zhang, HY; Ding, YB; Niu, J; Jung, SM</t>
  </si>
  <si>
    <t>Zhang, Hongyuan; Ding, Yibing; Niu, Jing; Jung, Samuel</t>
  </si>
  <si>
    <t>How artificial intelligence affects international industrial transfer - Evidence from industrial robot application</t>
  </si>
  <si>
    <t>Artificial intelligence; Industrial robot; International industrial transfer; Value added of trade; Global value chain</t>
  </si>
  <si>
    <t>ECONOMIC-GROWTH; INVESTMENT; INNOVATION; LOCATION; PATTERN; CHOICE; TRADE; FDI</t>
  </si>
  <si>
    <t>The development of high technology represented by artificial intelligence is an essential driver of international industrial transfer. Using country-industry-level industrial robot data and valueadded trade data from 2002 to 2018, this paper empirically examines the impact and mechanism of artificial intelligence on the international industrial transfer undertaken by a country (region). The study shows that the application of artificial intelligence can significantly enhance the international industrial transfer undertaken by a country (region). Further analysis shows that artificial intelligence positively affects international industry transfer through two channels: Improving the quality of labor force and promoting the level technological innovation. Further heterogeneity analysis shows that, first, from the economic development degree perspective, artificial intelligence's role in promoting developing economies is more substantial than that in developed economies. Second, the financial crisis has weakened the impact of artificial intelligence on international industrial transfer from the perspective of time division,especially in developing economies. Third, from the perspective of industry heterogeneity, artificial intelligence has significantly promoted the transfer of medium-low and medium-high technology industries. The research in this paper extends the analysis of the effect of artificial intelligence. It provides realistic insights for optimizing the strategic layout of the robotics industry, achieving industrial structure upgrading, optimizing resource allocation efficiency, and grasping the opportunities of global industrial chain restructuring.</t>
  </si>
  <si>
    <t>[Zhang, Hongyuan; Ding, Yibing; Niu, Jing] Jilin Univ, Sch Econ, Changchun 130012, Jilin, Peoples R China; [Jung, Samuel] SUNY Coll Cortland, Dept Econ, Cortland, NY USA</t>
  </si>
  <si>
    <t>Jilin University; State University of New York (SUNY) System; SUNY Cortland</t>
  </si>
  <si>
    <t>Niu, J (corresponding author), Jilin Univ, Sch Econ, Changchun 130012, Jilin, Peoples R China.</t>
  </si>
  <si>
    <t>zhanghy53@jlu.edu.cn; dingyb@jlu.edu.cn; 18435923933@163.com; Samuel.jung@cortland.edu</t>
  </si>
  <si>
    <t>Zhang, Hongyuan/AAH-8477-2020</t>
  </si>
  <si>
    <t>National Natural Science Foundation of China [71972063]; National Social Science Foundation of China [18ZDA095, 23AGJ005]; Ministry of Education [23JJD790006]; Jilin Province Social Science Fund [2023C040486]</t>
  </si>
  <si>
    <t>National Natural Science Foundation of China(National Natural Science Foundation of China (NSFC)); National Social Science Foundation of China(National Office of Philosophy and Social Sciences); Ministry of Education; Jilin Province Social Science Fund</t>
  </si>
  <si>
    <t>This work was supported by the National Natural Science Foundation of China [No. 71972063] ; the National Social Science Foundation of China [No. 18ZDA095] , [No. 23AGJ005] ; and the Ministry of Education [No. 23JJD790006] ; Jilin Province Social Science Fund [2023C040486].</t>
  </si>
  <si>
    <t>10.1016/j.asieco.2024.101815</t>
  </si>
  <si>
    <t>O1B4I</t>
  </si>
  <si>
    <t>WOS:001368562400001</t>
  </si>
  <si>
    <t>Ma, D; Zhu, YJ; Lee, CC</t>
  </si>
  <si>
    <t>Ma, Dan; Zhu, Yanjin; Lee, Chien-Chiang</t>
  </si>
  <si>
    <t>The impact of artificial intelligence on carbon emissions inequality: evidence from China cities</t>
  </si>
  <si>
    <t>Artificial intelligence; carbon emissions inequality; Theil index; mechanism test; spatial attenuation; moderating effect; O11; Q01; Q56</t>
  </si>
  <si>
    <t>PANEL-DATA EVIDENCE; TRADE</t>
  </si>
  <si>
    <t>We use carbon emission data of 263 cities in China from 2008 to 2019 to measure carbon emissions inequality (CEI) at the urban level, and examine how artificial intelligence (AI) technology influences CEI as well as the internal mechanism within the impact. According to the results, AI and CEI demonstrate an inverted U-shape relationship and the possible influence channels are industrial structure upgrading and income inequality. Further heterogeneity analysis illustrates that the effect differs with regions and whether the city is resource-based. Spatial analysis shows that spatial spillovers affect decays with distance. The moderating effect illustrates that green energy efficiency alleviates the impact of AI on CEI. These results highlight the problems posed by CEI and provide potential solutions. We propose policy recommendations for both government and business, including efforts to reduce the gap between the rich and the poor and to regulate industrial structure upgrades to achieve the goal of reducing carbon inequality.</t>
  </si>
  <si>
    <t>[Ma, Dan; Zhu, Yanjin] Southwestern Univ Finance &amp; Econ, Sch Stat, Chengdu, Peoples R China; [Lee, Chien-Chiang] Wuchang Univ Technol, Business Sch, Wuhan, Peoples R China</t>
  </si>
  <si>
    <t>Southwestern University of Finance &amp; Economics - China; Wuchang University of Technology</t>
  </si>
  <si>
    <t>Lee, CC (corresponding author), Wuchang Univ Technol, Business Sch, Wuhan, Peoples R China.</t>
  </si>
  <si>
    <t>Lee, Chien-Chiang/AAZ-9983-2020; Yanjin, Zhu/ABD-3956-2021</t>
  </si>
  <si>
    <t>ma, Dan/0000-0001-7454-4930; Lee, Chien-Chiang/0000-0003-0037-4347</t>
  </si>
  <si>
    <t>This work is supported by the National Social Science Foundation of China [grant number No.21&amp;ZD149].</t>
  </si>
  <si>
    <t>2025 JAN 11</t>
  </si>
  <si>
    <t>10.1080/00036846.2025.2449621</t>
  </si>
  <si>
    <t>R8W3V</t>
  </si>
  <si>
    <t>WOS:001394177500001</t>
  </si>
  <si>
    <t>Horváth, J; Bacík, R; Fedorko, I</t>
  </si>
  <si>
    <t>Stefko, R; Fedorko, R; Benkova, E</t>
  </si>
  <si>
    <t>Horvath, Jakub; Bacik, Radovan; Fedorko, Igor</t>
  </si>
  <si>
    <t>Research on the Issue of Positive Effects of Artificial Intelligence on the Activity of Companies and Online Consumers Behaviour</t>
  </si>
  <si>
    <t>ECONOMICS, MANAGEMENT &amp; BUSINESS 2023: CONTEMPORARY ISSUES, INSIGHTS AND NEW CHALLENGES</t>
  </si>
  <si>
    <t>8th INTERNATIONAL SCIENTIFIC CONFERENCE of the ECONOMICS, MANAGEMENT &amp; BUSINESS</t>
  </si>
  <si>
    <t>SEP 28-29, 2023</t>
  </si>
  <si>
    <t>Novy Smokovec, SLOVAKIA</t>
  </si>
  <si>
    <t>artificial intelligence; consumer behavior; company; digital marketing</t>
  </si>
  <si>
    <t>Research background: The timeline of artificial intelligence is relatively brief, spanning no more than half a century when we consider recent times. Artificial intelligence has evolved into a formal scientific and academic field, constituting a distinct area of study. Throughout the history of artificial intelligence, we have witnessed phases characterized by undue optimism, achievements, subsequent downturns in enthusiasm, and a resurgence in the significance of artificial intelligence. Purpose of the article: This paper's central aim is to investigate whether there is evidence of the positive influence of artificial intelligence within companies. In pursuit of this goal, a research question was framed to assess whether a statistically significant link can be identified between the constructive effects of artificial intelligence on society and the prospects of future opportunities in the field of e-commerce. Methods: A questionnaire was sat down for the quantitative part of the research. The established research hypothesis was verified using the correlation analysis. Since the variables entering the analysis were measured on an ordinal scale, Spearman's correlation coefficient was used to test the hypothesis. Findings &amp; Value added: Based on the analyzes carried out, it can be concluded that the respondents register a positive impact of AI in their company. Moreover, the respondents are of the opinion that AI will bring new opportunities to the field of e-commerce. The research carried out also confirmed that there is a statistically significant connection between the positive impact of artificial intelligence in society and the perception of future new opportunities that artificial intelligence would bring to the field of e-commerce.</t>
  </si>
  <si>
    <t>[Horvath, Jakub; Bacik, Radovan; Fedorko, Igor] Univ Presov, Dept Mkt &amp; Int Trade, Fac Management &amp; Business, Konstantinova 16, Presov 08001, Slovakia</t>
  </si>
  <si>
    <t>University of Presov</t>
  </si>
  <si>
    <t>Horváth, J (corresponding author), Univ Presov, Dept Mkt &amp; Int Trade, Fac Management &amp; Business, Konstantinova 16, Presov 08001, Slovakia.</t>
  </si>
  <si>
    <t>jakub.horvath@unipo.sk</t>
  </si>
  <si>
    <t>Bacik, Radovan/C-7920-2018</t>
  </si>
  <si>
    <t>[VEGA 1/0694/20]; [1/0488/22 -VEGA]</t>
  </si>
  <si>
    <t>This article is one of the partial outputs under the scientific research grant VEGA 1/0694/20 -Relational marketing research -perception of e-commerce aspects and its impact on purchasing behaviour and consumer preferences and 1/0488/22 -VEGA -Research on digital marketing in the area of tourism with an emphasis on sustainability principles in a post-pandemic market environment.</t>
  </si>
  <si>
    <t>UNIV PRESOV</t>
  </si>
  <si>
    <t>PRESOV</t>
  </si>
  <si>
    <t>17 NOVEMBRA 15, PRESOV, 080 01, SLOVAKIA</t>
  </si>
  <si>
    <t>978-80-555-3215-8</t>
  </si>
  <si>
    <t>Business; Business, Finance; Economics</t>
  </si>
  <si>
    <t>BX1PZ</t>
  </si>
  <si>
    <t>WOS:001250452400057</t>
  </si>
  <si>
    <t>Zhao, JQ; Lu, Y; Zhu, SJ; Li, KR; Jiang, Q; Yang, WH</t>
  </si>
  <si>
    <t>Zhao, Junqiang; Lu, Yi; Zhu, Shaojun; Li, Keran; Jiang, Qin; Yang, Weihua</t>
  </si>
  <si>
    <t>Systematic Bibliometric and Visualized Analysis of Research Hotspots and Trends on the Application of Artificial Intelligence in Ophthalmic Disease Diagnosis</t>
  </si>
  <si>
    <t>FRONTIERS IN PHARMACOLOGY</t>
  </si>
  <si>
    <t>ophthalmic disease; artificial intelligence; diagnosis; bibliometric; CiteSpace</t>
  </si>
  <si>
    <t>DIABETIC-RETINOPATHY; AUTOMATED DETECTION; BROWNIAN-MOTION; NEURAL-NETWORK; VALIDATION; GLAUCOMA; SEGMENTATION; IMAGES; CLASSIFICATION; RESOLUTION</t>
  </si>
  <si>
    <t>Background: Artificial intelligence (AI) has been used in the research of ophthalmic disease diagnosis, and it may have an impact on medical and ophthalmic practice in the future. This study explores the general application and research frontier of artificial intelligence in ophthalmic disease detection.Methods: Citation data were downloaded from the Web of Science Core Collection database to evaluate the extent of the application of Artificial intelligence in ophthalmic disease diagnosis in publications from 1 January 2012, to 31 December 2021. This information was analyzed using CiteSpace.5.8. R3 and Vosviewer.Results: A total of 1,498 publications from 95 areas were examined, of which the United States was determined to be the most influential country in this research field. The largest cluster labeled Brownian motion was used prior to the application of AI for ophthalmic diagnosis from 2007 to 2017, and was an active topic during this period. The burst keywords in the period from 2020 to 2021 were system, disease, and model.Conclusion: The focus of artificial intelligence research in ophthalmic disease diagnosis has transitioned from the development of AI algorithms and the analysis of abnormal eye physiological structure to the investigation of more mature ophthalmic disease diagnosis systems. However, there is a need for further studies in ophthalmology and computer engineering.</t>
  </si>
  <si>
    <t>[Zhao, Junqiang; Lu, Yi] Xinxiang Med Univ, Dept Nursing, Xinxiang, Peoples R China; Huzhou Univ, Sch Informat Engn, Huzhou, Peoples R China; [Li, Keran; Jiang, Qin; Yang, Weihua] Nanjing Med Univ, Lab Artificial Intelligence &amp; Bigdata Ophthalmol, Eye Hosp, Nanjing, Peoples R China</t>
  </si>
  <si>
    <t>Xinxiang Medical University; Huzhou University; Nanjing Medical University</t>
  </si>
  <si>
    <t>Li, KR; Jiang, Q; Yang, WH (corresponding author), Nanjing Med Univ, Lab Artificial Intelligence &amp; Bigdata Ophthalmol, Eye Hosp, Nanjing, Peoples R China.</t>
  </si>
  <si>
    <t>benben0606@139.com; jqin710@vip.sina.com; kathykeran860327@126.com</t>
  </si>
  <si>
    <t>; Yang, Weihua/I-1514-2015</t>
  </si>
  <si>
    <t>Zhu, Shaojun/0000-0001-7724-807X; Yang, Weihua/0000-0002-7629-0193</t>
  </si>
  <si>
    <t>Nanjing Enterprise Expert Team Project; Medical Science and Technology Development Project Fund of Nanjing [YKK21262]; Medical Big Data Clinical Research Project of Nanjing Medical University</t>
  </si>
  <si>
    <t>Nanjing Enterprise Expert Team Project; Medical Science and Technology Development Project Fund of Nanjing; Medical Big Data Clinical Research Project of Nanjing Medical University</t>
  </si>
  <si>
    <t>This research was funded by the Nanjing Enterprise Expert Team Project and, Medical Science and Technology Development Project Fund of Nanjing (Grant No. YKK21262) and Medical Big Data Clinical Research Project of Nanjing Medical University.</t>
  </si>
  <si>
    <t>1663-9812</t>
  </si>
  <si>
    <t>FRONT PHARMACOL</t>
  </si>
  <si>
    <t>Front. Pharmacol.</t>
  </si>
  <si>
    <t>JUN 8</t>
  </si>
  <si>
    <t>10.3389/fphar.2022.930520</t>
  </si>
  <si>
    <t>2H7VT</t>
  </si>
  <si>
    <t>WOS:000814498800001</t>
  </si>
  <si>
    <t>Holzmann, V; Zitter, D; Peshkess, S</t>
  </si>
  <si>
    <t>Holzmann, Vered; Zitter, Daniel; Peshkess, Sahar</t>
  </si>
  <si>
    <t>The Expectations of Project Managers from Artificial Intelligence: A Delphi Study</t>
  </si>
  <si>
    <t>PROJECT MANAGEMENT JOURNAL</t>
  </si>
  <si>
    <t>artificial intelligence; project management; Delphi study</t>
  </si>
  <si>
    <t>CASH FLOW PREDICTION; RISK; IMPACT; FUTURE; MODEL; COMPLEXITY; PROJECTIFICATION; TECHNOLOGY; AUTOMATION; SELECTION</t>
  </si>
  <si>
    <t>Artificial intelligence (AI) technologies are rapidly developing these days and are expected to impact the field of project management on multiple levels; however, there remains a high level of uncertainty regarding the effect that AI might have on project management practices. This article aims to address this topic based on a Delphi study with a panel of 52 project management experts who reflected on future potential AI applications for the project management Knowledge Areas. The article provides a visionary perspective that can be further translated into practical solutions in the near and far future to improve project management practices.</t>
  </si>
  <si>
    <t>[Holzmann, Vered; Peshkess, Sahar] Acad Coll Tel Aviv Yaffo, Tel Aviv, Israel; [Zitter, Daniel] PMZone, Midrakh Oz, Israel</t>
  </si>
  <si>
    <t>Holzmann, V (corresponding author), Acad Coll Tel Aviv Yaffo, Tel Aviv, Israel.</t>
  </si>
  <si>
    <t>veredhz@mta.ac.il; daniel@pmzone.co.il; saharpe@mta.ac.il</t>
  </si>
  <si>
    <t>Holzmann, Vered/AFJ-9487-2022</t>
  </si>
  <si>
    <t>Holzmann, Vered/0000-0001-7992-1782</t>
  </si>
  <si>
    <t>8756-9728</t>
  </si>
  <si>
    <t>1938-9507</t>
  </si>
  <si>
    <t>PROJ MANAG J</t>
  </si>
  <si>
    <t>Proj. Manag. J.</t>
  </si>
  <si>
    <t>10.1177/87569728211061779</t>
  </si>
  <si>
    <t>4J9KG</t>
  </si>
  <si>
    <t>WOS:000747688200001</t>
  </si>
  <si>
    <t>Boustani, NM</t>
  </si>
  <si>
    <t>Boustani, Nada Mallah</t>
  </si>
  <si>
    <t>Artificial intelligence impact on banks clients and employees in an Asian developing country</t>
  </si>
  <si>
    <t>JOURNAL OF ASIA BUSINESS STUDIES</t>
  </si>
  <si>
    <t>Consumer behavior; Employability; Artificial intelligence</t>
  </si>
  <si>
    <t>EMPLOYABILITY</t>
  </si>
  <si>
    <t>Purpose The purpose of this paper is to discuss the application of artificial intelligence (AI) in banking sector, its impact on banks employees and consumer behavior alike when buying financial services and the importance of (AI) for delivering social services in a western Asian developing country: Lebanon. The author tried to respond to the following problematics: Would AI be able to replace man power in customer service? and would AI change the job of the banker and render the bank more profitable? Design/methodology/approach The data collected and analyzed was used in a quantitative research-based models with the application of hypothesis regression models. The results obtained has helped despite the fact of its innovative framework, AI cannot replace the role of humans when it comes to client's interactions with banks employees. Findings AI elevates the quality of banking transactions to an upper edge. Some of the technical banking jobs might be in jeopardy with AI, as the technology can be easily replaced with human resources, but when emotional intelligence is required for banks clients/employee's relationship management, AI has been found with no ability to supersede. Research limitations/implications Researchers in the future can also compare large banks called alpha banks to smaller banks in the same developing country to further test the possibility of adopting innovation and change through AI in different sizes of banks with larger number of employees, financial resources and corporate clients. Practical implications Fears regarding impact on employment were detected, AI could render many banks' jobs obsolete in the coming years, asserting that AI and robotics reduce the need for staff in roles such as back office functions. Data suggests that the proliferation of AI could be accompanied by a rise in banking jobs. It may also be the case that only the most mundane jobs such as data entry will be sacrificed for machine superiority. While a rise in job numbers associated with higher AI-adoption rates seems ideal, some evidence suggests that most financial institutions are not yet fully confident in how to effectively apply the technology for the best results but at the same time seemed to be receptive to using AI and machine learning in their organization. Social implications This study was conducted and limited to one developing Asian country, it would be useful to stretch this study covering other countries in the region to dive into more diversified results that could trigger researchers to compare more the adoption of AI in Asian countries and evaluating its impact with respect to different countries size and/or level of development in addition to other demographics and criteria. Originality/value Financial institutions are increasingly using artificial neural network systems to detect fraud and charges that do not meet the standard. The AI is used to: organize transactions; keep accounts; invest in stocks; optimize portfolios, etc. Reducing the number of frauds and financial crimes in Lebanon by monitoring user behavior to detect abnormal changes or anomalies in addition to the possible rectification of human economic behavior in the Asian region, this could add a great value and high originality to the research.</t>
  </si>
  <si>
    <t>[Boustani, Nada Mallah] St Joseph Univ, Fac Business, Beirut, Lebanon</t>
  </si>
  <si>
    <t>Boustani, NM (corresponding author), St Joseph Univ, Fac Business, Beirut, Lebanon.</t>
  </si>
  <si>
    <t>nada.mallahboustany@usj.edu.lb</t>
  </si>
  <si>
    <t>Mallah Boustani, Nada/AAD-2165-2021</t>
  </si>
  <si>
    <t>Mallah Boustani, Nada/0000-0003-2252-0149</t>
  </si>
  <si>
    <t>1558-7894</t>
  </si>
  <si>
    <t>1559-2243</t>
  </si>
  <si>
    <t>J ASIA BUS STUD</t>
  </si>
  <si>
    <t>J Asia Bus. Stud.</t>
  </si>
  <si>
    <t>MAR 23</t>
  </si>
  <si>
    <t>10.1108/JABS-09-2020-0376</t>
  </si>
  <si>
    <t>ZZ6VP</t>
  </si>
  <si>
    <t>WOS:000664309500001</t>
  </si>
  <si>
    <t>Larrondo, ME; Grandi, NM</t>
  </si>
  <si>
    <t>Ernesto Larrondo, Manuel; Mario Grandi, Nicolas</t>
  </si>
  <si>
    <t>Artificial Intelligence, algorithms and freedom of expression</t>
  </si>
  <si>
    <t>Artificial Intelligence; automatic content moderation; fake news; freedom of expression; social networks</t>
  </si>
  <si>
    <t>Artificial Intelligence can be presented as an ally when moderating violent content or apparent news, but its use without human intervention that contextualizes and adequately translates the expression leaves open the risk of prior censorship. At present this is under debate within the international arena given that, since Artificial Intelligence lacks the ability to contextualize what it moderates, it is presented more as a tool for indiscriminate prior censorship, than as a moderation in order to protect the freedom of expression. Therefore, after analyzing international legislation, reports from international organizations and the terms and conditions of Twitter and Facebook, we suggest five proposals aimed at improving algorithmic content moderation. In the first place, we propose that the States reconcile their internal laws while respecting international standards of freedom of expression. We also urge that they develop public policies consistent with implementing legislation that protects the working conditions of human supervisors on automated content removal decisions. For its part, we understand that social networks must present clear and consistent terms and conditions, adopt internal policies of transparency and accountability about how AI operates in the dissemination and removal of online content and, finally, they must carry out prior evaluations impact of your AI on human rights.</t>
  </si>
  <si>
    <t>[Ernesto Larrondo, Manuel; Mario Grandi, Nicolas] Univ Nacl La Plata, La Plata, Buenos Aires, Argentina</t>
  </si>
  <si>
    <t>National University of La Plata</t>
  </si>
  <si>
    <t>Larrondo, ME (corresponding author), Univ Nacl La Plata, La Plata, Buenos Aires, Argentina.</t>
  </si>
  <si>
    <t>larrondomanuel@gmail.com; drgrandinicolas@hotmail.com</t>
  </si>
  <si>
    <t>MAR-AUG</t>
  </si>
  <si>
    <t>10.17163/uni.n34.2021.08</t>
  </si>
  <si>
    <t>QQ7NN</t>
  </si>
  <si>
    <t>WOS:000624708300008</t>
  </si>
  <si>
    <t>Cox, AM; Mazumdar, S</t>
  </si>
  <si>
    <t>Cox, Andrew M.; Mazumdar, Suvodeep</t>
  </si>
  <si>
    <t>Defining artificial intelligence for librarians</t>
  </si>
  <si>
    <t>JOURNAL OF LIBRARIANSHIP AND INFORMATION SCIENCE</t>
  </si>
  <si>
    <t>Artificial Intelligence; machine learning; diversity and inclusion; equality; future of the profession; robots</t>
  </si>
  <si>
    <t>PREDICTIVE ANALYTICS; AI</t>
  </si>
  <si>
    <t>The aim of the paper is to define Artificial Intelligence (AI) for librarians by examining general definitions of AI, analysing the umbrella of technologies that make up AI, defining types of use case by area of library operation, and then reflecting on the implications for the profession, including from an equality, diversity and inclusion perspective. The paper is a conceptual piece based on an exploratory literature review, targeting librarians interested in AI from a strategic rather than a technical perspective. Five distinct types of use cases of AI are identified for libraries, each with its own underlying drivers and barriers, and skills demands. They are applications in library back-end processes, in library services, through the creation of communities of data scientists, in data and AI literacy and in user management. Each of the different applications has its own drivers and barriers. It is hard to anticipate the impact on professional work but as information environment becomes more complex it is likely that librarians will continue to have a very important role, especially given AI's dependence on data. However, there could be some negative impacts on equality, diversity and inclusion if AI skills are not spread widely.</t>
  </si>
  <si>
    <t>[Cox, Andrew M.; Mazumdar, Suvodeep] Univ Sheffield, Informat Sch, Sheffield, England; [Cox, Andrew M.] Univ Sheffield, Informat Sch, Rm 222,Regent Court,Portobello, Sheffield S1 4DP, S Yorkshire, England</t>
  </si>
  <si>
    <t>University of Sheffield; University of Sheffield</t>
  </si>
  <si>
    <t>Cox, AM (corresponding author), Univ Sheffield, Informat Sch, Rm 222,Regent Court,Portobello, Sheffield S1 4DP, S Yorkshire, England.</t>
  </si>
  <si>
    <t>Cox, Andrew/J-9568-2016</t>
  </si>
  <si>
    <t>Cox, Andrew/0000-0002-2587-245X</t>
  </si>
  <si>
    <t>0961-0006</t>
  </si>
  <si>
    <t>1741-6477</t>
  </si>
  <si>
    <t>J LIBR INF SCI</t>
  </si>
  <si>
    <t>J. Libr. Inf. Sci.</t>
  </si>
  <si>
    <t>10.1177/09610006221142029</t>
  </si>
  <si>
    <t>RA2A0</t>
  </si>
  <si>
    <t>Green Accepted, hybrid</t>
  </si>
  <si>
    <t>WOS:000903072000001</t>
  </si>
  <si>
    <t>Mahmud, A</t>
  </si>
  <si>
    <t>Mahmud, Arif</t>
  </si>
  <si>
    <t>Application and criminalization of artificial intelligence in the digital society: security threats and the regulatory challenges</t>
  </si>
  <si>
    <t>JOURNAL OF APPLIED SECURITY RESEARCH</t>
  </si>
  <si>
    <t>Artificial intelligence; application of artificial intelligence; criminalization of artificial intelligence; artificial intelligence regulation</t>
  </si>
  <si>
    <t>We are living in a technology-based digital society where the application of autonomous machines and artificial intelligence (AI) is growing rapidly and is having an impact on our social life and the public sphere. Like many other technologies, AI will open new doors for criminals, and consequently, social security has been threatened by different modes of AI criminalization. It is imposing a complex challenge to frame an effective regulatory framework. This article provided a structured literature analysis of the application and criminalization of AI by recommending principles for countering the regulatory challenges and protect the right of individuals.</t>
  </si>
  <si>
    <t>[Mahmud, Arif] Daffodil Int Univ, Dept Law, Dhaka, Bangladesh</t>
  </si>
  <si>
    <t>Daffodil International University</t>
  </si>
  <si>
    <t>Mahmud, A (corresponding author), Daffodil Int Univ, Dhaka, Bangladesh.</t>
  </si>
  <si>
    <t>arifmahmud.law@diu.edu.bd</t>
  </si>
  <si>
    <t>Mahmud, Arif/0000-0003-0988-8221</t>
  </si>
  <si>
    <t>1936-1610</t>
  </si>
  <si>
    <t>1936-1629</t>
  </si>
  <si>
    <t>J APPL SEC RES</t>
  </si>
  <si>
    <t>J. Appl. Secur. Res.</t>
  </si>
  <si>
    <t>10.1080/19361610.2021.1947113</t>
  </si>
  <si>
    <t>Criminology &amp; Penology</t>
  </si>
  <si>
    <t>8J9MD</t>
  </si>
  <si>
    <t>WOS:000675428900001</t>
  </si>
  <si>
    <t>Malapane, TA</t>
  </si>
  <si>
    <t>Malapane, Tshepo Alex</t>
  </si>
  <si>
    <t>The Impact of Artificial Intelligence and Internet of Things in the Transformation of E-Business Sector</t>
  </si>
  <si>
    <t>2019 SYSTEMS AND INFORMATION ENGINEERING DESIGN SYMPOSIUM (SIEDS)</t>
  </si>
  <si>
    <t>IEEE Systems and Information Engineering Design Symposium</t>
  </si>
  <si>
    <t>Systems and Information Engineering Design Symposium (SIEDS)</t>
  </si>
  <si>
    <t>APR 26, 2019</t>
  </si>
  <si>
    <t>Univ Virginia, Charlottesville, VA</t>
  </si>
  <si>
    <t>Univ Virginia</t>
  </si>
  <si>
    <t>Artificial Intelligence; Internet of Things; E-Business; Fourth Industrial Revolution</t>
  </si>
  <si>
    <t>E-COMMERCE; AI</t>
  </si>
  <si>
    <t>This study explores the impact of Artificial Intelligence (AI) and Internet of Things (IoT) in the transformation of E-Business Sector in South Africa. AI and IoT are beginning to shape the future of many industries globally by generating an unprecedented amount of data. In the case of South Africa, we observe that in e-business new value can be created by the ways in which transactions are enabled. In this study we use the principles and applications of AI and IoT to determine the impacts in the transformation of E-Business sector in South Africa. The objective of this study is not to reproduce experiments, but to investigate and quantify the impact AI and IoT has in the transformative process of change in the E-Business sector. This study employed a qualitative research approach and data was collected through a systematic literature review using the snowballing search method. 18 peer reviewed papers were identified and analyzed in relation to their relevance to the study.</t>
  </si>
  <si>
    <t>[Malapane, Tshepo Alex] Tshwane Univ Technol, Pretoria, South Africa</t>
  </si>
  <si>
    <t>Tshwane University of Technology</t>
  </si>
  <si>
    <t>Malapane, TA (corresponding author), Tshwane Univ Technol, Pretoria, South Africa.</t>
  </si>
  <si>
    <t>malapaneta@gmail.com</t>
  </si>
  <si>
    <t>2639-7439</t>
  </si>
  <si>
    <t>978-1-7281-0998-5</t>
  </si>
  <si>
    <t>IEEE SYS INF ENGI DE</t>
  </si>
  <si>
    <t>10.1109/sieds.2019.8735644</t>
  </si>
  <si>
    <t>Computer Science, Interdisciplinary Applications; Engineering, Electrical &amp; Electronic</t>
  </si>
  <si>
    <t>BN4MZ</t>
  </si>
  <si>
    <t>WOS:000482408700017</t>
  </si>
  <si>
    <t>Fossen, FM; Mclemore, T; Sorgner, A</t>
  </si>
  <si>
    <t>Fossen, Frank M.; Mclemore, Trevor; Sorgner, Alina</t>
  </si>
  <si>
    <t>Artificial Intelligence and Entrepreneurship</t>
  </si>
  <si>
    <t>FOUNDATIONS AND TRENDS IN ENTREPRENEURSHIP</t>
  </si>
  <si>
    <t>Artificial intelligence; machine learning; entrepreneurship; AI startups; digital entrepreneurship; opportunity; innovation; entrepreneurship ecosystem; digital entrepreneurship ecosystem; AI regulation</t>
  </si>
  <si>
    <t>SELF-EMPLOYMENT; OPPORTUNITY ENTREPRENEURS; TECHNOLOGY; IMPACT; FUTURE; GROWTH; JOBS; DETERMINANTS; OCCUPATIONS; PERSPECTIVE</t>
  </si>
  <si>
    <t>Advances in artificial intelligence (AI) have brought the world to the threshold of significant new technological breakthroughs. These developments bring new opportunities and challenges to existing and potential entrepreneurs, raising pressing and promising research questions. We review emerging but fast-growing literature on impacts of AI on entrepreneurship, providing a resource for researchers in entrepreneurship and neighboring disciplines. We begin with a review of definitions of AI and show that ambiguity and broadness of definitions adopted in empirical studies may result in obscured evidence on impacts of AI on entrepreneurship. Against this background, we present and discuss existing theories and evidence on how AI technologies affect entrepreneurial opportunities and decision-making under uncertainty, the adoption of AI technologies by startups, entry barriers, and the performance of entrepreneurial businesses. We add an original empirical analysis of survey data from the German Socio-economic Panel revealing that en- trepreneurs, particularly those with employees, are aware of and use AI technologies significantly more frequently than paid employees. Next, we discuss how AI may affect entrepreneurship indirectly through impacting local and sec- toral labor markets. The reviewed evidence suggests that AI technologies that are designed to automate jobs are likely to result in a higher level of necessity entrepreneurship in a region, whereas AI technologies that transform jobs without necessarily displacing human workers increase the level of opportunity entrepreneurship. More generally, AI impacts regional entrepreneurship ecosystems (EE) in multiple ways by altering the importance of existing EE elements and processes, creating new ones, and potentially reducing the role of geography for entrepreneurship. Lastly, we address the question of how the regulation of AI may affect the entrepreneurship landscape by focusing on the case of the European Union and its data protection and AI legisla- tion. We conclude our survey by discussing implications for entrepreneurship research and policy.</t>
  </si>
  <si>
    <t>[Fossen, Frank M.; Mclemore, Trevor] Univ Nevada, Dept Econ, Reno, NV 89557 USA; [Fossen, Frank M.; Sorgner, Alina] IZA, Bonn, Germany; [Sorgner, Alina] John Cabot Univ, Rome, Italy; [Sorgner, Alina] Kiel Inst World Econ IfW Kiel, Kiel, Germany</t>
  </si>
  <si>
    <t>Nevada System of Higher Education (NSHE); University of Nevada Reno; IZA Institute Labor Economics; Leibniz Association; Institut fur Weltwirtschaft an der Universitat Kiel (IFW)</t>
  </si>
  <si>
    <t>Fossen, FM (corresponding author), Univ Nevada, Dept Econ, Reno, NV 89557 USA.;Fossen, FM (corresponding author), IZA, Bonn, Germany.</t>
  </si>
  <si>
    <t>ffossen@unr.edu; tmclemore@unr.edu; asorgner@johncabot.edu</t>
  </si>
  <si>
    <t>Institute for Humane Studies [IHS017545]</t>
  </si>
  <si>
    <t>Institute for Humane Studies</t>
  </si>
  <si>
    <t>Frank Fossen is grateful to the Institute for Humane Studies for their support (grant no. IHS017545) .</t>
  </si>
  <si>
    <t>NOW PUBLISHERS INC</t>
  </si>
  <si>
    <t>HANOVER</t>
  </si>
  <si>
    <t>PO BOX 1024, HANOVER, MA 02339, UNITED STATES</t>
  </si>
  <si>
    <t>1551-3114</t>
  </si>
  <si>
    <t>1551-3122</t>
  </si>
  <si>
    <t>FOUND TRENDS ENTREP</t>
  </si>
  <si>
    <t>Found. Trends Entrep.</t>
  </si>
  <si>
    <t>10.1561/0300000130</t>
  </si>
  <si>
    <t>P6I2H</t>
  </si>
  <si>
    <t>WOS:001378914200001</t>
  </si>
  <si>
    <t>Zhou, LY; Li, XM; Liu, Y; Zuo, WG</t>
  </si>
  <si>
    <t>Zheng, Q; Zheng, X; Zhao, X; Yan, W; Zhang, N; Wang, L</t>
  </si>
  <si>
    <t>Zhou, Liying; Li, Xiaomin; Liu, Yi; Zuo, Wenge</t>
  </si>
  <si>
    <t>Data Analytics for Artificial Intelligence Research from 2018 to 2020</t>
  </si>
  <si>
    <t>2020 13TH INTERNATIONAL CONGRESS ON IMAGE AND SIGNAL PROCESSING, BIOMEDICAL ENGINEERING AND INFORMATICS (CISP-BMEI 2020)</t>
  </si>
  <si>
    <t>13th International Congress on Image and Signal Processing, BioMedical Engineering and Informatics (CISP-BMEI)</t>
  </si>
  <si>
    <t>OCT 17-19, 2020</t>
  </si>
  <si>
    <t>IEEE,IEEE Engn Med &amp; Biol Soc</t>
  </si>
  <si>
    <t>artificial intelligence; highly cited papers; EI Thesaurus; research topics</t>
  </si>
  <si>
    <t>OPERATORS; SETS</t>
  </si>
  <si>
    <t>This paper is based on literature dataset about Artificial Intelligence from SCI and El. A series of indices, such as Documents, Times Cited, CNCI, Highly Cited Papers, Hot Papers and El Controlled Terms are used to analyze the research status and trends in the field of artificial intelligence in 2018-2020. Based on Documents, Times Cited and CNCI, high-yield countries, high-yield institutions, high-impact countries and high-impact institutions are identified. Based on Highly Cited Papers, Hot Papers and El Controlled Terms, the most productive topics and the most influential topics in AI subject are identified. The results show that: AI is the third most productive sub-field in the Computer Science, and it produces the most highly cited papers and hot papers; the three countries with most total paper output are China mainland, USA, and Japan, while the top three countries with highest average paper impact are USA, England and United Kingdom; China mainland has the most high-yield institutions, among which Tsinghua University ranks first; the most influential topics discussed in highly cited papers are Decision Making, Neural Networks, Convolution, Fuzzy Sets, Deep Learning, Learning Algorithms, etc.</t>
  </si>
  <si>
    <t>[Zhou, Liying; Li, Xiaomin; Liu, Yi; Zuo, Wenge] China Agricultrual Univ Lib, Beijing 100193, Peoples R China</t>
  </si>
  <si>
    <t>China Agricultural University</t>
  </si>
  <si>
    <t>Zhou, LY (corresponding author), China Agricultrual Univ Lib, Beijing 100193, Peoples R China.</t>
  </si>
  <si>
    <t>Fundamental Research Funds for the Central Universities(SCUT) of China [2019TC090]</t>
  </si>
  <si>
    <t>Fundamental Research Funds for the Central Universities(SCUT) of China</t>
  </si>
  <si>
    <t>This study is supported by the Fundamental Research Funds for the Central Universities(SCUT) of China under Grant 2019TC090.</t>
  </si>
  <si>
    <t>978-0-7381-0545-1</t>
  </si>
  <si>
    <t>Computer Science, Artificial Intelligence; Computer Science, Information Systems; Computer Science, Software Engineering; Engineering, Biomedical; Engineering, Electrical &amp; Electronic; Imaging Science &amp; Photographic Technology</t>
  </si>
  <si>
    <t>BR4FX</t>
  </si>
  <si>
    <t>WOS:000651203900180</t>
  </si>
  <si>
    <t>Bhagat, SV; Kanyal, D</t>
  </si>
  <si>
    <t>Bhagat, Shefali V.; Kanyal, Deepika</t>
  </si>
  <si>
    <t>Navigating the Future: The Transformative Impact of Artificial Intelligence on Hospital Management- A Comprehensive Review</t>
  </si>
  <si>
    <t>interoperability; ethical considerations; data privacy; healthcare innovation; hospital management; artificial intelligence</t>
  </si>
  <si>
    <t>This comprehensive review explores the transformative impact of artificial intelligence (AI) on hospital management, delving into its applications, challenges, and future trends. Integrating AI in administrative functions, clinical operations, and patient engagement holds significant promise for enhancing efficiency, optimizing resource allocation, and revolutionizing patient care. However, this evolution is accompanied by ethical, legal, and operational considerations that necessitate careful navigation. The review underscores key findings, emphasizing the implications for the future of hospital management. It calls for a proactive approach, urging stakeholders to invest in education, prioritize ethical guidelines, foster collaboration, advocate for thoughtful regulation, and embrace a culture of innovation. The healthcare industry can successfully navigate this transformative era through collective action, ensuring that AI contributes to more effective, accessible, and patient-centered healthcare delivery.</t>
  </si>
  <si>
    <t>[Bhagat, Shefali V.; Kanyal, Deepika] Datta Meghe Inst Higher Educ &amp; Res, Hosp Adm, Jawaharlal Nehru Med Coll, Wardha, India</t>
  </si>
  <si>
    <t>Datta Meghe Institute of Higher Education &amp; Research (Deemed to be University); Jawaharlal Nehru Medical College Wardha</t>
  </si>
  <si>
    <t>Bhagat, SV (corresponding author), Datta Meghe Inst Higher Educ &amp; Res, Hosp Adm, Jawaharlal Nehru Med Coll, Wardha, India.</t>
  </si>
  <si>
    <t>shefalibhagat77@gmail.com</t>
  </si>
  <si>
    <t>e54518</t>
  </si>
  <si>
    <t>10.7759/cureus.54518</t>
  </si>
  <si>
    <t>NI4I0</t>
  </si>
  <si>
    <t>WOS:001199806700014</t>
  </si>
  <si>
    <t>Li, YA</t>
  </si>
  <si>
    <t>LI, Yanan</t>
  </si>
  <si>
    <t>Relationship between perceived threat of artificial intelligence and turnover intention in luxury hotels</t>
  </si>
  <si>
    <t>Perceived organizational support; Turnover intention; Perceived threat; Perceived value; Artificial intelligence</t>
  </si>
  <si>
    <t>ORGANIZATIONAL SUPPORT</t>
  </si>
  <si>
    <t>When artificial intelligence technology erodes employees' professional knowledge, they tend to feel highly anxious, and turnover intention is created. This study aimed to test the impact of the perceived threat of artificial intelligence on turnover intention through perceived organizational support and the perceived value of artificial intelligence. The method and procedure were as follow: construct a theoretical framework and propose hypotheses - collect questionnaires through voluntary sampling - use a two-step approach to test the model. This study has some findings. Theoretically, this study proposes a conceptual model of artificial intelligence perception. The combination of technology threat avoidance, organizational support, and perceived value theories applies to the research background of this study. Methodologically, the relationship between the perceived threat of artificial intelligence, perceived organizational support, perceived value of artificial intelligence, and turnover intention variables was studied together for the first time, and the perceived value of artificial intelligence as a new significant mediator between perceived organizational support and turnover intention is discovered. Managementarily, when facing the threats of artificial intelligence to employees, hotel managers should emphasize organizational support, especially in finance, career, and adjustment. This study has important implications for luxury hotel management. First, hotel employees' perceptions of artificial intelligence are dual. Second, luxury hotel managers should consider perceived organizational support to be a key variable.</t>
  </si>
  <si>
    <t>[LI, Yanan] Suan Sunandha Rajabhat Univ, Coll Innovat &amp; Management, Bangkok 10300, Thailand</t>
  </si>
  <si>
    <t>Suan Sunandha Rajabhat University</t>
  </si>
  <si>
    <t>Li, YA (corresponding author), Suan Sunandha Rajabhat Univ, Coll Innovat &amp; Management, Bangkok 10300, Thailand.</t>
  </si>
  <si>
    <t>s64584945052@ssru.ac.th</t>
  </si>
  <si>
    <t>LI, Yanan/HTS-0665-2023</t>
  </si>
  <si>
    <t>LI, Yanan/0000-0001-7371-4045</t>
  </si>
  <si>
    <t>e18520</t>
  </si>
  <si>
    <t>10.1016/j.heliyon.2023.e18520</t>
  </si>
  <si>
    <t>P3CE0</t>
  </si>
  <si>
    <t>WOS:001049445500001</t>
  </si>
  <si>
    <t>Karnouskos, S</t>
  </si>
  <si>
    <t>Karnouskos, Stamatis</t>
  </si>
  <si>
    <t>Symbiosis with artificial intelligence via the prism of law, robots, and society</t>
  </si>
  <si>
    <t>ARTIFICIAL INTELLIGENCE AND LAW</t>
  </si>
  <si>
    <t>Robots; Artificial Intelligence; Law; Society; Ethics; Gender</t>
  </si>
  <si>
    <t>ETHICS; PERSONALITY; BEHAVIOR; IMPACT</t>
  </si>
  <si>
    <t>The rapid advances in Artificial Intelligence and Robotics will have a profound impact on society as they will interfere with the people and their interactions. Intelligent autonomous robots, independent if they are humanoid/anthropomorphic or not, will have a physical presence, make autonomous decisions, and interact with all stakeholders in the society, in yet unforeseen manners. The symbiosis with such sophisticated robots may lead to a fundamental civilizational shift, with far-reaching effects as philosophical, legal, and societal questions on consciousness, citizenship, rights, and legal entity of robots are raised. The aim of this work is to understand the broad scope of potential issues pertaining to law and society through the investigation of the interplay of law, robots, and society via different angles such as law, social, economic, gender, and ethical perspectives. The results make it evident that in an era of symbiosis with intelligent autonomous robots, the law systems, as well as society, are not prepared for their prevalence. Therefore, it is now the time to start a multi-disciplinary stakeholder discussion and derive the necessary policies, frameworks, and roadmaps for the most eminent issues.</t>
  </si>
  <si>
    <t>[Karnouskos, Stamatis] Umea Univ, Umea, Sweden; [Karnouskos, Stamatis] SAP, Walldorf, Germany</t>
  </si>
  <si>
    <t>Umea University; SAP</t>
  </si>
  <si>
    <t>Karnouskos, S (corresponding author), Umea Univ, Umea, Sweden.;Karnouskos, S (corresponding author), SAP, Walldorf, Germany.</t>
  </si>
  <si>
    <t>karnouskos@ieee.org</t>
  </si>
  <si>
    <t>Karnouskos, Stamatis/D-3191-2016</t>
  </si>
  <si>
    <t>Karnouskos, Stamatis/0000-0003-3519-8232</t>
  </si>
  <si>
    <t>Umea University</t>
  </si>
  <si>
    <t>Open access funding provided by Umea University.</t>
  </si>
  <si>
    <t>0924-8463</t>
  </si>
  <si>
    <t>1572-8382</t>
  </si>
  <si>
    <t>ARTIF INTELL LAW</t>
  </si>
  <si>
    <t>Artif. Intell. Law</t>
  </si>
  <si>
    <t>10.1007/s10506-021-09289-1</t>
  </si>
  <si>
    <t>Computer Science, Artificial Intelligence; Computer Science, Interdisciplinary Applications; Law</t>
  </si>
  <si>
    <t>Computer Science; Government &amp; Law</t>
  </si>
  <si>
    <t>ZA0HS</t>
  </si>
  <si>
    <t>WOS:000650111400001</t>
  </si>
  <si>
    <t>Schmidt, P; Biessmann, F; Teubner, T</t>
  </si>
  <si>
    <t>Schmidt, Philipp; Biessmann, Felix; Teubner, Timm</t>
  </si>
  <si>
    <t>Transparency and trust in artificial intelligence systems</t>
  </si>
  <si>
    <t>Artificial intelligence; trust; experiment; machine learning; XAI; transparency</t>
  </si>
  <si>
    <t>USER ACCEPTANCE; TECHNOLOGY; ALGORITHMS; MODEL</t>
  </si>
  <si>
    <t>Assistive technology featuring artificial intelligence (AI) to support human decision-making has become ubiquitous. Assistive AI achieves accuracy comparable to or even surpassing that of human experts. However, often the adoption of assistive AI systems is limited by a lack of trust of humans into an AI's prediction. This is why the AI research community has been focusing on rendering AI decisions more transparent by providing explanations of an AIs decision. To what extent these explanations really help to foster trust into an AI system remains an open question. In this paper, we report the results of a behavioural experiment in which subjects were able to draw on the support of an ML-based decision support tool for text classification. We experimentally varied the information subjects received and show that transparency can actually have a negative impact on trust. We discuss implications for decision makers employing assistive AI technology.</t>
  </si>
  <si>
    <t>[Schmidt, Philipp; Biessmann, Felix] Amazon Res, Berlin, Germany; [Biessmann, Felix] Beuth Univ Appl Sci, Informat &amp; Medien, Berlin, Germany; [Biessmann, Felix; Teubner, Timm] Einstein Ctr Digital Future ECDF, Berlin, Germany; [Teubner, Timm] TU Berlin, Inst Technol &amp; Management, Berlin, Germany</t>
  </si>
  <si>
    <t>Technical University of Berlin</t>
  </si>
  <si>
    <t>Biessmann, F (corresponding author), Amazon Res, Berlin, Germany.;Biessmann, F (corresponding author), Beuth Univ Appl Sci, Informat &amp; Medien, Berlin, Germany.;Biessmann, F (corresponding author), Einstein Ctr Digital Future ECDF, Berlin, Germany.</t>
  </si>
  <si>
    <t>felix.biessmann@beuth-hochschule.de</t>
  </si>
  <si>
    <t>Biessmann, Felix/0000-0002-3422-1026</t>
  </si>
  <si>
    <t>10.1080/12460125.2020.1819094</t>
  </si>
  <si>
    <t>PA5WR</t>
  </si>
  <si>
    <t>WOS:000570512400001</t>
  </si>
  <si>
    <t>Pham, KT; Nabizadeh, A; Selek, S</t>
  </si>
  <si>
    <t>Pham, Kay T.; Nabizadeh, Amir; Selek, Salih</t>
  </si>
  <si>
    <t>Artificial Intelligence and Chatbots in Psychiatry</t>
  </si>
  <si>
    <t>PSYCHIATRIC QUARTERLY</t>
  </si>
  <si>
    <t>Artificial intelligence; Chatbot; Therapy bots; Digital therapy; Digital psychiatry</t>
  </si>
  <si>
    <t>The utilization of artificial intelligence (AI) in psychiatry has risen over the past several years to meet the growing need for improved access to mental health solutions. Additionally, shortages of mental health providers during the COVID-19 pandemic have continued to exacerbate the burden of mental illness worldwide. AI applications already in existence include those enabled to assist with psychiatric diagnoses, symptom tracking, disease course prediction, and psychoeducation. Modalities of AI mental health care delivery include availability through the internet, smartphone applications, and digital gaming Here we review emerging AI-based interventions in the form of chat and therapy bots, specifically conversational applications that teach the user emotional coping mechanisms and provide support for people with communication difficulties, computer generated images of faces that form the basis of avatar therapy, and intelligent animal-like robots with new advances in digital psychiatry. We discuss the implications of incorporating AI chatbots into clinical practice and offer perspectives on how these AI-based interventions will further impact the field of psychiatry.</t>
  </si>
  <si>
    <t>[Pham, Kay T.; Nabizadeh, Amir; Selek, Salih] McGovern Med Sch UTHlth, Dept Psychiat &amp; Behav Sci, 6431 Fannin St, Houston, TX 77030 USA</t>
  </si>
  <si>
    <t>Baylor College of Medicine; Baylor College Medical Hospital</t>
  </si>
  <si>
    <t>Pham, KT (corresponding author), McGovern Med Sch UTHlth, Dept Psychiat &amp; Behav Sci, 6431 Fannin St, Houston, TX 77030 USA.</t>
  </si>
  <si>
    <t>Kay.T.Pham@uth.tmc.edu</t>
  </si>
  <si>
    <t>Pham, Kay/0000-0003-1758-0657; , Amir/0000-0002-1131-5716</t>
  </si>
  <si>
    <t>0033-2720</t>
  </si>
  <si>
    <t>1573-6709</t>
  </si>
  <si>
    <t>PSYCHIAT QUART</t>
  </si>
  <si>
    <t>Psychiatr. Q.</t>
  </si>
  <si>
    <t>10.1007/s11126-022-09973-8</t>
  </si>
  <si>
    <t>Psychiatry</t>
  </si>
  <si>
    <t>0I7NT</t>
  </si>
  <si>
    <t>WOS:000761834300001</t>
  </si>
  <si>
    <t>Shang, YF; Yang, Q; Pu, YJ; Taghizadeh-Hesary, F</t>
  </si>
  <si>
    <t>Shang, Yunfeng; Yang, Qin; Pu, Yuanjie; Taghizadeh-Hesary, Farhad</t>
  </si>
  <si>
    <t>Employing artificial intelligence and enhancing resource efficiency to achieve carbon neutrality</t>
  </si>
  <si>
    <t>Resource utilization; Resource efficiency; Carbon neutralization; Artificial intelligence; Sustainable robot</t>
  </si>
  <si>
    <t>This study collected annual data from 2000 to 2020 for ten polluting industries in China, investigating the impact of energy efficiency and artificial intelligence on carbon neutralization. The findings indicate that increased industrial robot installation facilitates short-term and long-term carbon neutralization. In addition, an increase in energy efficiency facilitates short-term and long-term carbon neutralization. Investing in artificial intelligence (AI) and robotic technologies to boost carbon neutralization is recommended. Key practical recommendations from this research include promoting sustainable AI, investing in green technologies, and hiring a green-minded, skilled workforce.</t>
  </si>
  <si>
    <t>[Shang, Yunfeng; Yang, Qin] Zhejiang Yuexiu Univ, Sch Hospitality Adm, Shaoxing, Peoples R China; [Pu, Yuanjie] Zhejiang Univ Sci &amp; Technol, Sch Econ &amp; Management, Hangzhou, Zhejiang, Peoples R China; [Taghizadeh-Hesary, Farhad] Tokai Univ, Sch Global Studies, Hiratsuka, Kanagawa, Japan; [Taghizadeh-Hesary, Farhad] TOKAI Res Inst Environm &amp; Sustainabil TRIES, Tokyo, Japan; [Taghizadeh-Hesary, Farhad] Lebanese Amer Univ, Adnan Kassar Sch Business, Beirut, Lebanon; [Taghizadeh-Hesary, Farhad] Tokai Univ, Sch Global Studies, Tokyo, Japan</t>
  </si>
  <si>
    <t>Zhejiang Yuexiu University; Zhejiang University of Science &amp; Technology; Tokai University; Lebanese American University; Tokai University</t>
  </si>
  <si>
    <t>Taghizadeh-Hesary, F (corresponding author), Tokai Univ, Sch Global Studies, Tokyo, Japan.</t>
  </si>
  <si>
    <t>20141075@zyufl.edu.cn; 20132018@zyufl.edu.cn; puyuanjie350@163.com; farhad@tsc.u-tokai.ac.jp</t>
  </si>
  <si>
    <t>shang, yunfeng/HGA-6782-2022; Pu, Yuanjie/IQU-6115-2023; Taghizadeh-Hesary, Farhad/R-5136-2018</t>
  </si>
  <si>
    <t>Taghizadeh-Hesary, Farhad/0000-0001-5446-7093</t>
  </si>
  <si>
    <t>Grants-in-Aid for Scientific Research [22K13432] Funding Source: KAKEN</t>
  </si>
  <si>
    <t>10.1016/j.resourpol.2023.104510</t>
  </si>
  <si>
    <t>DU0Q6</t>
  </si>
  <si>
    <t>WOS:001134478200001</t>
  </si>
  <si>
    <t>Ateeq, A; Alzoraiki, M; Milhem, M; Ateeq, RA</t>
  </si>
  <si>
    <t>Ateeq, Ali; Alzoraiki, Mohammed; Milhem, Marwan; Ateeq, Ranyia Ali</t>
  </si>
  <si>
    <t>Artificial intelligence in education: implications for academic integrity and the shift toward holistic assessment</t>
  </si>
  <si>
    <t>FRONTIERS IN EDUCATION</t>
  </si>
  <si>
    <t>Artificial Intelligence; academic integrity; Educational Impact; Policy and Ethics; Pedagogical Implications; Academic Outcomes</t>
  </si>
  <si>
    <t>This study examines the impact of Artificial Intelligence (AI) on the field of education, with particular focus on its implications for academic integrity and the adoption of comprehensive assessment approaches. This research fits within the specific setting of university students and faculty members in the Kingdom of Bahrain. Methods A cross-sectional survey was designed to examine the impact Artificial Intelligence (AI) in field of education, with particular focus on its implications for academic integrity and the adoption of comprehensive assessment approaches. A total of 218 participants were randomly selected from 250 employed in this survey study. Results Out of 250 invited participants, 203 responded to the survey. This study evaluated the influence of Educational Impact (EI), Policy and Ethics (PE), and Pedagogical Implications (PI) on Academic Outcomes (AO). Results revealed a significant association between EI -&gt; AO with a beta of 0.490, t-value of 4.504, and p &lt; 0.001. PI also showed a significant relationship (beta = 0.454, t = 2.330, p = 0.010) with more variability. PE's impact on AO was modest (beta = 0.243, t = 1.977, p = 0.024). Overall, EI was the strongest AO predictor. The R2 value was approximately 39%, indicating a good fit. Conclusion The research reveals a strong link between the Educational Impact (EI) of AI and academic success in Bahrain's universities, with EI being the primary predictor. Both Policy and Ethics (PE) and Pedagogical Implications (PI) play crucial roles in this relationship.</t>
  </si>
  <si>
    <t>[Ateeq, Ali; Alzoraiki, Mohammed; Milhem, Marwan] Gulf Univ, Coll Adm &amp; Financial Sci, Adm Sci Dept, Sanad, Bahrain; [Ateeq, Ranyia Ali] Univ Bahrain, Coll Informat Technol, Zallaq, Bahrain</t>
  </si>
  <si>
    <t>University of Bahrain</t>
  </si>
  <si>
    <t>Ateeq, A (corresponding author), Gulf Univ, Coll Adm &amp; Financial Sci, Adm Sci Dept, Sanad, Bahrain.</t>
  </si>
  <si>
    <t>dr.ali.ateeq@gulfuniversity.edu.bh</t>
  </si>
  <si>
    <t>Alzoraiki, Mohammed/KDP-1771-2024; Milhem, Marwan/IWE-4652-2023</t>
  </si>
  <si>
    <t>2504-284X</t>
  </si>
  <si>
    <t>FRONT EDUC</t>
  </si>
  <si>
    <t>Front. Educ.</t>
  </si>
  <si>
    <t>10.3389/feduc.2024.1470979</t>
  </si>
  <si>
    <t>J4H4X</t>
  </si>
  <si>
    <t>WOS:001336690100001</t>
  </si>
  <si>
    <t>Manresa-Yee, C; Ramis, S; Gayà-Morey, FX; Buades, JM</t>
  </si>
  <si>
    <t>Saltiveri, TGI; Veloso, MS; Navarro, JEG; Gonzalez, RG; Cairol, MT; Sole, MO; Iranzo, RMG; Almenara, AP; Barrantes, SS; Maritorena, KL; Llados, FJL; Goma, JV</t>
  </si>
  <si>
    <t>Manresa-Yee, Cristina; Ramis, Silvia; Gaya-Morey, F. Xavier; Buades, Jose M.</t>
  </si>
  <si>
    <t>Impact of Explanations for Trustworthy and Transparent Artificial Intelligence</t>
  </si>
  <si>
    <t>PROCEEDINGS OF THE XXIII INTERNATIONAL CONFERENCE ON HUMAN-COMPUTER INTERACTION, INTERACCION 2023</t>
  </si>
  <si>
    <t>23rd International Conference on Human-Computer Interaction (INTERACCION)</t>
  </si>
  <si>
    <t>SEP 04-06, 2023</t>
  </si>
  <si>
    <t>Univ Lleida, Cappont Campus, Lleida, SPAIN</t>
  </si>
  <si>
    <t>Univ Lleida, Igualada Campus,IFR,Tobii,AIPO,Diputacio Lleida,Escola Politecnica Super</t>
  </si>
  <si>
    <t>Univ Lleida, Cappont Campus</t>
  </si>
  <si>
    <t>explainability; explanations; transparency; trust; intelligent systems; XAI</t>
  </si>
  <si>
    <t>Trust is a fundamental aspect in the interaction between humans and artificial intelligence (AI). Building and maintaining trust requires designing AI systems that are transparent, explainable and trustworthy, and providing appropriate feedback to users to ensure that they can understand the systems behaviour. This work aims at evaluating the impact of different explanations ( local and global) on human's trust and understanding of a facial expression recognizer. Results show that explanations are appreciated when present, but when no explanations are given, users apply their own mental model on how does the system work and trust it if their experience using it is positive.</t>
  </si>
  <si>
    <t>[Manresa-Yee, Cristina; Ramis, Silvia; Gaya-Morey, F. Xavier; Buades, Jose M.] Univ Illes Balears, Grp Comp Graph Comp Vis &amp; IA, Maths &amp; Comp Sci Dept, Palma De Mallorca, Illes Balears, Spain</t>
  </si>
  <si>
    <t>Manresa-Yee, C (corresponding author), Univ Illes Balears, Grp Comp Graph Comp Vis &amp; IA, Maths &amp; Comp Sci Dept, Palma De Mallorca, Illes Balears, Spain.</t>
  </si>
  <si>
    <t>cristina.manresa@uib.es; silvia.ramis@uib.es; francesc-xavier.gaya@uib.cat; josemaria.buades@uib.es</t>
  </si>
  <si>
    <t>Gaya Morey, Francesc Xavier/GRY-6584-2022; Buades Rubio, Jose Maria/G-4232-2015; Manresa-Yee, Cristina/G-3049-2015</t>
  </si>
  <si>
    <t>Gaya Morey, Francesc Xavier/0000-0003-1231-7235; Buades Rubio, Jose Maria/0000-0002-6137-9558; Manresa-Yee, Cristina/0000-0002-8482-7552</t>
  </si>
  <si>
    <t>MCIN/AEI [PID2019-104829RA-I00]; Ministry of European Funds, University and Culture of the Government of the Balearic Islands</t>
  </si>
  <si>
    <t>MCIN/AEI; Ministry of European Funds, University and Culture of the Government of the Balearic Islands</t>
  </si>
  <si>
    <t>This work has been supported by Grant PID2019-104829RA-I00 funded by MCIN/AEI/10.13039/501100011033, EXPLainable Artificial INtelligence systems for health and well-beING (EXPLAINING). In addition, F.X. Gaya-Morey also acknowledges the importance of the FPU scholarship from the Ministry of European Funds, University and Culture of the Government of the Balearic Islands.</t>
  </si>
  <si>
    <t>979-8-4007-0790-2</t>
  </si>
  <si>
    <t>10.1145/3612783.3612798</t>
  </si>
  <si>
    <t>BW4XH</t>
  </si>
  <si>
    <t>WOS:001156726000014</t>
  </si>
  <si>
    <t>Yacoub, B; Varga-Szemes, A; Schoepf, UJ; Kabakus, IM; Baruah, D; Burt, JR; Aquino, GJ; Sullivan, AK; O'Doherty, J; Hoelzer, P; Sperl, J; Emrich, T</t>
  </si>
  <si>
    <t>Yacoub, Basel; Varga-Szemes, Akos; Schoepf, U. Joseph; Kabakus, Ismail M.; Baruah, Dhiraj; Burt, Jeremy R.; Aquino, Gilberto J.; Sullivan, Allison K.; O'Doherty, Jim; Hoelzer, Philipp; Sperl, Jonathan; Emrich, Tilman</t>
  </si>
  <si>
    <t>Impact of Artificial Intelligence Assistance on Chest CT Interpretation Times: A Prospective Randomized Study</t>
  </si>
  <si>
    <t>AMERICAN JOURNAL OF ROENTGENOLOGY</t>
  </si>
  <si>
    <t>artificial intelligence; CT; time efficiency</t>
  </si>
  <si>
    <t>COMPUTER-AIDED DETECTION; READING TIME; TASK-FORCE; CARDIOVASCULAR ANGIOGRAPHY; HEART-ASSOCIATION; AMERICAN-COLLEGE; PERFORMANCE; RADIOLOGY; CONCURRENT; INTERVENTIONS</t>
  </si>
  <si>
    <t>BACKGROUND. Deep learning-based convolutional neural networks have enabled major advances in development of artificial intelligence (AI) software applications. Modern AI applications offer comprehensive multiorgan evaluation. OBJECTIVE. The purpose of this article was to evaluate the impact of an automated AI platform integrated into clinical workflow for chest CT interpretation on radiologists' interpretation times when evaluated in a real-world clinical setting. METHODS. In this prospective single-center study, a commercial AI software solution was integrated into clinical workflow for chest CT interpretation. The software provided automated analysis of cardiac, pulmonary, and musculoskeletal findings, including labeling, segmenting, and measuring normal structures as well as detecting, labeling, and measuring abnormalities. AI-annotated images and autogenerated summary results were stored in the PACS and available to interpreting radiologists. A total of 390 patients (204 women, 186 men; mean age, 62.8 +/- 13.3 [SD] years) who underwent outpatient chest CT between January 19, 2021, and January 28, 2021, were included. Scans were randomized using 1:1 allocation between AI-assisted and non-AI-assisted arms and were clinically interpreted by one of three cardiothoracic radiologists (65 scans per arm per radiologist; total of 195 scans per arm) who recorded interpretation times using a stopwatch. Findings were categorized according to review of report impressions. Interpretation times were compared between arms. RESULTS. Mean interpretation times were significantly shorter in the AI-assisted than in the non-AI-assisted arm for all three readers (289 +/- 89 vs 344 +/- 129 seconds, p &lt; .001; 449 +/- 110 vs 649 +/- 82 seconds, p &lt; .001; 281 +/- 114 vs 348 +/- 93 seconds, p = .01) and for readers combined (328 +/- 122 vs 421 +/- 175 seconds, p &lt; .001). For readers combined, the mean difference was 93 seconds (95% CI, 63-123 seconds), corresponding with a 22.1% reduction in the AI-assisted arm. Mean interpretation time was also shorter in the AI-assisted arm compared with the non-AI-assisted arm for contrast- enhanced scans (83 seconds), noncontrast scans (104 seconds), negative scans (84 seconds), positive scans without significant new findings (117 seconds), and positive scans with significant new findings (92 seconds). CONCLUSION. Cardiothoracic radiologists exhibited a 22.1% reduction in chest CT interpretations times when they had access to results from an automated AI support platform during real-world clinical practice. CLINICAL IMPACT. Integration of the AI support platform into clinical workflow improved radiologist efficiency.</t>
  </si>
  <si>
    <t>[Yacoub, Basel; Varga-Szemes, Akos; Schoepf, U. Joseph; Kabakus, Ismail M.; Baruah, Dhiraj; Burt, Jeremy R.; Aquino, Gilberto J.; Sullivan, Allison K.; Emrich, Tilman] Med Univ South Carolina, Div Cardiovasc Imaging, Dept Radiol &amp; Radiol Sci, 25 Courtenay Dr, Charleston, SC 29425 USA; [Yacoub, Basel] Texas Tech Univ, Hlth Sci Ctr El Paso, Dept Radiol, El Paso, TX USA; [Aquino, Gilberto J.] SUNY Upstate Med Univ, Dept Radiol, Syracuse, NY USA; [O'Doherty, Jim] Siemens Healthcare USA, Malvern, PA USA; [Hoelzer, Philipp] Siemens Healthineers, Princeton, NJ USA; [Sperl, Jonathan] Siemens Healthineers, Erlangen, Germany; [Emrich, Tilman] Univ Med Ctr Mainz, Dept Diagnost &amp; Intervent Radiol, Mainz, Germany; [Emrich, Tilman] German Ctr Cardiovasc Res DZHK, Partner Site Rhine Main, Mainz, Germany</t>
  </si>
  <si>
    <t>Medical University of South Carolina; Texas Tech University System; Texas Tech University; State University of New York (SUNY) System; State University of New York (SUNY) Upstate Medical Center; Siemens AG; Siemens USA; Siemens AG; Siemens USA; Siemens AG; Johannes Gutenberg University of Mainz; German Centre for Cardiovascular Research</t>
  </si>
  <si>
    <t>Schoepf, UJ (corresponding author), Med Univ South Carolina, Div Cardiovasc Imaging, Dept Radiol &amp; Radiol Sci, 25 Courtenay Dr, Charleston, SC 29425 USA.</t>
  </si>
  <si>
    <t>schoepf@musc.edu</t>
  </si>
  <si>
    <t>Varga-Szemes, Akos/AAI-9849-2020; Aquino, Gilberto/JFS-7780-2023</t>
  </si>
  <si>
    <t>Aquino, Gilberto/0000-0002-3707-8114</t>
  </si>
  <si>
    <t>Siemens Healthineers; Bayer Healthcare; Bracco; Elucid Bioimaging; General Electric; Guerbet AG; HeartFlow Inc.; Keya Medical; Blue Eye Soft Corp.</t>
  </si>
  <si>
    <t>Siemens Healthineers; Bayer Healthcare(Bayer AGBayer Healthcare Pharmaceuticals); Bracco; Elucid Bioimaging; General Electric(General Electric); Guerbet AG; HeartFlow Inc.; Keya Medical; Blue Eye Soft Corp.</t>
  </si>
  <si>
    <t>A. Varga-Szemes has received research support from Siemens Healthineers and is a consultant for Bayer Healthcare and Elucid Bioimaging. U. J. Schoepf has received research support, consulting fees, and/or speaker honoraria from Bayer Healthcare, Bracco, Elucid Bioimaging, General Electric, Guerbet AG, HeartFlow Inc., Keya Medical, and Siemens Healthineers. D. Baruah has received research support from Blue Eye Soft Corp. J. R. Burt is the owner of YellowDot Innovations. T. Emrich has received a speaker fee and travel support from Siemens Healthineers. The remaining authors declare that there are no other disclosures relevant to the subject matter of this article.</t>
  </si>
  <si>
    <t>AMER ROENTGEN RAY SOC</t>
  </si>
  <si>
    <t>LEESBURG</t>
  </si>
  <si>
    <t>44211 SLATESTONE CT, LEESBURG, VA USA</t>
  </si>
  <si>
    <t>0361-803X</t>
  </si>
  <si>
    <t>1546-3141</t>
  </si>
  <si>
    <t>AM J ROENTGENOL</t>
  </si>
  <si>
    <t>Am. J. Roentgenol.</t>
  </si>
  <si>
    <t>10.2214/AJR.22.27598</t>
  </si>
  <si>
    <t>6M7KT</t>
  </si>
  <si>
    <t>WOS:000889042100013</t>
  </si>
  <si>
    <t>Koman, G; Borsos, P; Kubina, M</t>
  </si>
  <si>
    <t>Koman, Gabriel; Borsos, Patrik; Kubina, Milan</t>
  </si>
  <si>
    <t>The Possibilities of Using Artificial Intelligence as a Key Technology in the Current Employee Recruitment Process</t>
  </si>
  <si>
    <t>ADMINISTRATIVE SCIENCES</t>
  </si>
  <si>
    <t>artificial intelligence; management; HR; recruitment</t>
  </si>
  <si>
    <t>HRM; ORGANIZATIONS</t>
  </si>
  <si>
    <t>The current business environment faces numerous new challenges closely linked to the rapid development of information and communication technologies, which influence the corporate landscape. This article focuses on exploring the possibilities of integrating artificial intelligence, as one of the key technologies of today, into the recruitment process. Its aim is to examine the potential applications of artificial intelligence across various stages of employee recruitment. To achieve this goal, the authors employed various methods and techniques, including the PICOS framework, scientific mapping, and case study analysis. The outcome of this study identifies opportunities for leveraging artificial intelligence in the employee recruitment process within corporate settings. The results reflect the current research gaps concerning the analysis of the personnel processes and conceptualizing the implementation possibilities of artificial intelligence in these processes. The contribution of this article to the academic community lies in its conceptualization, providing a foundation for further research focused on analyzing the impacts of integrating AI into recruitment processes.</t>
  </si>
  <si>
    <t>[Koman, Gabriel; Borsos, Patrik; Kubina, Milan] Univ Zilina, Fac Management Sci &amp; Informat, Dept Managerial Theories, Zilina 01026, Slovakia</t>
  </si>
  <si>
    <t>University of Zilina</t>
  </si>
  <si>
    <t>Koman, G; Borsos, P (corresponding author), Univ Zilina, Fac Management Sci &amp; Informat, Dept Managerial Theories, Zilina 01026, Slovakia.</t>
  </si>
  <si>
    <t>gabriel.koman@fri.uniza.sk; patrik.borsos@fri.uniza.sk; milan.kubina@fri.uniza.sk</t>
  </si>
  <si>
    <t>Kubina, Milan/AEM-6583-2022; Borsos, Patrik/JVN-6109-2024; Kubina, Milan/AAF-5955-2021; Koman, Gabriel/AAE-6629-2021</t>
  </si>
  <si>
    <t>Kubina, Milan/0000-0002-0214-3836; Koman, Gabriel/0000-0001-7562-5476; Borsos, Patrik/0009-0009-6024-5337</t>
  </si>
  <si>
    <t>2076-3387</t>
  </si>
  <si>
    <t>ADM SCI</t>
  </si>
  <si>
    <t>Adm. Sci.</t>
  </si>
  <si>
    <t>10.3390/admsci14070157</t>
  </si>
  <si>
    <t>ZP4T2</t>
  </si>
  <si>
    <t>WOS:001276493800001</t>
  </si>
  <si>
    <t>Dong, YY; Wei, ZP; Liu, TS; Xing, XP</t>
  </si>
  <si>
    <t>Dong, Yuanyuan; Wei, Zepeng; Liu, Tiansen; Xing, Xinpeng</t>
  </si>
  <si>
    <t>The Impact of R&amp;D Intensity on the Innovation Performance of Artificial Intelligence Enterprises-Based on the Moderating Effect of Patent Portfolio</t>
  </si>
  <si>
    <t>R&amp;D intensity; patent portfolio; innovation performance; regression analysis; artificial intelligence enterprise</t>
  </si>
  <si>
    <t>The patent portfolio affects the research and development (R&amp;D) decisions of artificial intelligence enterprises, and provides rights protection for the enterprise's product market, which is of great practical significance for the realization of innovation performance. The aim of this paper is to discover how the patent portfolio of artificial intelligence enterprises affects the relationship between R&amp;D intensity and innovation performance. Based on the panel data of 164 listed enterprises in the A-share artificial intelligence concept sector of China, using the panel fixed effect regression method, the impact of R&amp;D intensity on innovation performance was analyzed, and the moderating effect of the three dimensions of the patent portfolio on the two was examined. Studies have shown that the impact of R&amp;D intensity on innovation performance is in an inverted U-shaped relationship. In addition, the diversity characteristics of the patent portfolio have a moderating effect on the relationship between R&amp;D intensity and innovation performance, and when the enterprise is at a high level of diversity, the two have a U-shaped flip relationship. The size of the patent portfolio has a positive impact on innovation performance. The research results have theoretical and practical significance for the implementation of effective R&amp;D management in artificial intelligence enterprise organizations.</t>
  </si>
  <si>
    <t>[Dong, Yuanyuan; Wei, Zepeng] Harbin Univ Sci &amp; Technol, Sch Econ &amp; Management, Harbin 150001, Peoples R China; [Liu, Tiansen] Harbin Engn Univ, Sch Econ &amp; Management, Harbin 150001, Peoples R China; [Liu, Tiansen] Nanjing Univ, Sch Social &amp; Behav Sci, Nanjing 210023, Peoples R China; [Liu, Tiansen] Nanjing Univ, State Key Lab Pollut Control &amp; Resource Reuse, Nanjing 210023, Peoples R China; [Xing, Xinpeng] Jiangnan Univ, Sch Business, Wuxi 214122, Jiangsu, Peoples R China</t>
  </si>
  <si>
    <t>Harbin University of Science &amp; Technology; Harbin Engineering University; Nanjing University; Nanjing University; Jiangnan University</t>
  </si>
  <si>
    <t>Liu, TS (corresponding author), Harbin Engn Univ, Sch Econ &amp; Management, Harbin 150001, Peoples R China.;Liu, TS (corresponding author), Nanjing Univ, Sch Social &amp; Behav Sci, Nanjing 210023, Peoples R China.;Liu, TS (corresponding author), Nanjing Univ, State Key Lab Pollut Control &amp; Resource Reuse, Nanjing 210023, Peoples R China.;Xing, XP (corresponding author), Jiangnan Univ, Sch Business, Wuxi 214122, Jiangsu, Peoples R China.</t>
  </si>
  <si>
    <t>dongyuanyuan@hrbust.edu.cn; weizepeng@hrbust.edu.cn; tiansen0328@hrbeu.edu.cn; xinpeng@jiangnan.edu.cn</t>
  </si>
  <si>
    <t>xing, xin peng/0000-0003-2428-0900</t>
  </si>
  <si>
    <t>Key Projects of the National Natural Science Foundation of China [71503061]; National Social Science Foundation of China [16CGL010]; Fundamental Research Funds for Heilongjiang Philosophy and social Science [19GLB083]; MOE Project of Humanities and Social Sciences [14YJC630025]</t>
  </si>
  <si>
    <t>Key Projects of the National Natural Science Foundation of China(National Natural Science Foundation of China (NSFC)); National Social Science Foundation of China(National Office of Philosophy and Social Sciences); Fundamental Research Funds for Heilongjiang Philosophy and social Science; MOE Project of Humanities and Social Sciences</t>
  </si>
  <si>
    <t>The authors appreciate the support form the Key Projects of the National Natural Science Foundation of China (Project No. 71503061); the National Social Science Foundation of China (Project No. 16CGL010); the Fundamental Research Funds for Heilongjiang Philosophy and social Science (Project No. 19GLB083); MOE Project of Humanities and Social Sciences (Project No. 14YJC630025).</t>
  </si>
  <si>
    <t>10.3390/su13010328</t>
  </si>
  <si>
    <t>PQ2NZ</t>
  </si>
  <si>
    <t>WOS:000606387600001</t>
  </si>
  <si>
    <t>Blanchet, LA; Trento, M</t>
  </si>
  <si>
    <t>Blanchet, Luiz Alberto; Trento, Melissa</t>
  </si>
  <si>
    <t>Artificial Intelligence as a propulsive guideline for development and administrative efficiency</t>
  </si>
  <si>
    <t>A&amp;C-REVISTA DE DIREITO ADMINISTRATIVO &amp; CONSTITUCIONAL</t>
  </si>
  <si>
    <t>Public Administration; Artificial Intelligence; Technology; Administrative; Efficiency; Development</t>
  </si>
  <si>
    <t>The article aims to explain the connection between Artificial Intelligence, its possible uses in Public Administration, the increase in efficiency, and the right to development. The importance of this study arises from the exponential speed of technological advances, the inseparability of technology to contemporary society and the systemic impacts it provokes. From these premises, we intend to help build an investigation agenda about the aspects and effects about which the encounter between Artificial Intelligence and the Public Administration should arouse care, in relation to the risks and human biases that may cause undesired or discriminatory results. The text adopts a deductive-descriptive methodology, guided by the following question: in what way can the application of Artificial Intelligence instrumentalize the Public Administration to foster efficiency and the right to sustainable development? Consigns that the implementation of technologies is an imperative derived from the principles of efficiency and actuality, both of which are corollaries of the Republic's fundamental objective of national development. Concludes considering that the association of machine learning and deep learning modeling, plus human contribution, ensures the benefits of distinct natural and artificial abilities and has the potential to produce advantageous socioeconomic results.</t>
  </si>
  <si>
    <t>[Blanchet, Luiz Alberto] Pontificia Univ Catolica Parana, Programa Posgrad Stricto Sensu, Direito Adm, Curitiba, PR, Brazil; [Trento, Melissa] Pontificia Univ Catolica Parana, Direito Econ &amp; Desenvolvimento, Curitiba, PR, Brazil</t>
  </si>
  <si>
    <t>Pontificia Universidade Catolica do Parana; Pontificia Universidade Catolica do Parana</t>
  </si>
  <si>
    <t>Blanchet, LA (corresponding author), Pontificia Univ Catolica Parana, Programa Posgrad Stricto Sensu, Direito Adm, Curitiba, PR, Brazil.</t>
  </si>
  <si>
    <t>blanchet@blanchet.adv.br; melissatrento@gmail.com</t>
  </si>
  <si>
    <t>BLANCHET, LUIZ/ABD-3225-2020</t>
  </si>
  <si>
    <t>EDITORA FORUM</t>
  </si>
  <si>
    <t>AV AFONSO PENA 2770, 15-16 ANDAR, BAIRRO FUNCIONARIOS, BELO HORIZONTE, MINAS GERAIS, BRAZIL</t>
  </si>
  <si>
    <t>1516-3210</t>
  </si>
  <si>
    <t>1984-4182</t>
  </si>
  <si>
    <t>A C-REV DIREITO ADM</t>
  </si>
  <si>
    <t>A C-Rev. Direito Adm. Const.</t>
  </si>
  <si>
    <t>JUL-SEP</t>
  </si>
  <si>
    <t>10.21056/aec.v23i93.1733</t>
  </si>
  <si>
    <t>Z3JF7</t>
  </si>
  <si>
    <t>WOS:001111061900005</t>
  </si>
  <si>
    <t>Huang, CK; Lin, JS</t>
  </si>
  <si>
    <t>Huang, Cheng-Kui; Lin, Jheng-Siang</t>
  </si>
  <si>
    <t>Firm Performance on Artificial Intelligence Implementation</t>
  </si>
  <si>
    <t>MANAGERIAL AND DECISION ECONOMICS</t>
  </si>
  <si>
    <t>artificial intelligence; business value of information technology; firm performance; first mover; market value</t>
  </si>
  <si>
    <t>INFORMATION-TECHNOLOGY; BUSINESS VALUE; IMPACT; PRODUCTIVITY; EVENT; INVESTMENT</t>
  </si>
  <si>
    <t>In recent years, artificial intelligence (AI) has become a focal point in academic and business research. With breakthroughs in learning algorithms, AI applications in business operations are increasingly practical and impactful. AI offers tools for market analysis, decision-making support, and innovations in business models and processes, presenting a significant turning point for firms. Despite this, questions remain about whether AI implementation yields measurable business value or is merely a trend, challenging enterprises and managers. This study provides a significant contribution by empirically examining AI impact on firm-level performance through three key indicators: financial performance, productivity, and market value. Drawing on internal financial perspectives, this research reveals that while AI adoption enhances financial performance and market value, the advantages for AI first movers and better performers are not uniformly positive across all indicators. This nuanced analysis offers managers and stakeholders a deeper understanding of the tangible value of AI, guiding more informed implementation strategies.</t>
  </si>
  <si>
    <t>[Huang, Cheng-Kui; Lin, Jheng-Siang] Natl Chung Cheng Univ, Dept Business Adm, Chiayi, Taiwan</t>
  </si>
  <si>
    <t>National Chung Cheng University</t>
  </si>
  <si>
    <t>Huang, CK (corresponding author), Natl Chung Cheng Univ, Dept Business Adm, Chiayi, Taiwan.</t>
  </si>
  <si>
    <t>bmahck@ccu.edu.tw</t>
  </si>
  <si>
    <t>Huang, Cheng-Kui/0000-0001-8994-3598</t>
  </si>
  <si>
    <t>National Science and Technology Council of the Republic of China; [NSTC 112-2410-H-194-032-MY2]</t>
  </si>
  <si>
    <t>National Science and Technology Council of the Republic of China;</t>
  </si>
  <si>
    <t>The authors would like to thank the Editor-in-Chief, Professor Antony Dnes, and the anonymous referees for their help and valuable comments to improve this paper. This research was supported by the National Science and Technology Council of the Republic of China under contract NSTC 112-2410-H-194-032-MY2.</t>
  </si>
  <si>
    <t>JOHN WILEY &amp; SONS LTD</t>
  </si>
  <si>
    <t>CHICHESTER</t>
  </si>
  <si>
    <t>THE ATRIUM, SOUTHERN GATE, CHICHESTER PO19 8SQ, W SUSSEX, ENGLAND</t>
  </si>
  <si>
    <t>0143-6570</t>
  </si>
  <si>
    <t>1099-1468</t>
  </si>
  <si>
    <t>MANAG DECIS ECON</t>
  </si>
  <si>
    <t>Manag. Decis. Econ.</t>
  </si>
  <si>
    <t>2025 JAN 14</t>
  </si>
  <si>
    <t>10.1002/mde.4486</t>
  </si>
  <si>
    <t>Economics; Management</t>
  </si>
  <si>
    <t>S1G8E</t>
  </si>
  <si>
    <t>WOS:001395804300001</t>
  </si>
  <si>
    <t>Qin, M; Wan, Y; Dou, JY; Su, CW</t>
  </si>
  <si>
    <t>Qin, Meng; Wan, Yue; Dou, Junyi; Su, Chi Wei</t>
  </si>
  <si>
    <t>Artificial Intelligence: Intensifying or mitigating unemployment?</t>
  </si>
  <si>
    <t>Artificial Intelligence; Unemployment; Wavelet analysis; Quantile on quantile regression</t>
  </si>
  <si>
    <t>REGRESSION</t>
  </si>
  <si>
    <t>The rapid development of Artificial Intelligence (AI) is simultaneously fostering a proliferation of novel job opportunities while rendering some traditional roles obsolete and specific skills outdated. Previous research has failed to consider the short-, medium-, and long-term variations in AI's impact on unemployment, which may lead to an incomplete understanding of the AI-employment relationship. This paper examines daily data from January 4, 2013, to August 12, 2024, utilising advanced wavelet-based Quantile on Quantile Regression (QQR) methodology to assess AI's impact on the Unemployment Index (UI) across quantiles and time scales, with a sample size of 2820 drawn from a larger dataset totalling 4241 observations. The conclusions reveal that AI generally positively impacts UI in the short term, especially with AI at 0.6-0.7 quantiles, as automation replaces workers faster than new job roles emerge and skills transform. However, in the medium term, positive and negative effects balance as new jobs and skills emerge through continuous industrial restructuring. In the long run, AI predominantly mitigates UI by further enhancing economic development, fostering skill upgrading, and facilitating market adjustments, but this result does not hold during AI at 0.7 quantiles and UI at the highest quantiles, such as Coronavirus Disease 2019 (COVID-19). Under new technological revolution and industrial transformation, we formulate China-specific suggestions to avert potential AI-induced unemployment crisis from short-term, medium-term, long-term, and sector-specific perspectives.</t>
  </si>
  <si>
    <t>[Qin, Meng] Qingdao Univ, Sch Marxism, Qingdao, Peoples R China; [Wan, Yue] Jiangxi Inst Fashion Technol, Business Coll, Nanchang, Peoples R China; [Dou, Junyi] Johns Hopkins Univ, Carey Business Sch, Washington, DC USA; [Su, Chi Wei] Yunnan Univ Finance &amp; Econ, Sch Finance, Kunming 650221, Peoples R China; [Su, Chi Wei] Qingdao Univ, Sch Econ, Qingdao, Peoples R China</t>
  </si>
  <si>
    <t>Qingdao University; Johns Hopkins University; Yunnan University of Finance &amp; Economics; Qingdao University</t>
  </si>
  <si>
    <t>Su, CW (corresponding author), Yunnan Univ Finance &amp; Econ, Sch Finance, Kunming 650221, Peoples R China.;Su, CW (corresponding author), Qingdao Univ, Sch Econ, Qingdao, Peoples R China.</t>
  </si>
  <si>
    <t>meng575316928@126.com; 397753697@qq.com; Junyi.dou0915@gmail.com; cwsu7137@gmail.com</t>
  </si>
  <si>
    <t>Su, Chi/ABE-4976-2021; Qin, Meng/LXA-1730-2024</t>
  </si>
  <si>
    <t>Su, Chi Wei/0000-0001-9722-8105</t>
  </si>
  <si>
    <t>10.1016/j.techsoc.2024.102755</t>
  </si>
  <si>
    <t>M0J7E</t>
  </si>
  <si>
    <t>WOS:001354500100001</t>
  </si>
  <si>
    <t>Moran, RCD; Corzo, EDCA</t>
  </si>
  <si>
    <t>Davila Moran, Roberto Carlos; Aguero Corzo, Eucaris del Carmen</t>
  </si>
  <si>
    <t>ETHICAL CHALLENGES OF ARTIFICIAL INTELLIGENCE: IMPLICATIONS FOR SOCIETY AND THE ECONOMY</t>
  </si>
  <si>
    <t>REVISTA CONRADO</t>
  </si>
  <si>
    <t>Artificial intelligence; ethics; responsibility; bias; automation</t>
  </si>
  <si>
    <t>The general objective was to evaluate the ethical challenges of artificial intelligence (AI), considering its implications for society and the economy. The study had a qualitative approach, of a documentary type and bibliographic design. An exhaustive search of the bibliography related to the subject was carried out through different databases, including Google Scholar and Scopus. The keywords artificial intelligence, challenges and ethics, as well as associated terms were used to identify the most relevant studies. The bibliography was chosen based on the relevance of the title and the analysis of the article abstract. Then their analysis was carried out, where it was found that the most relevant ethical challenges of AI are: responsibility, decision-making and accountability; biases and equity; privacy and data protection; employment and automation; transparency and explainability and impact on human autonomy On the other hand, the implications on society and the economy boil down to socioeconomic inequality, changes in the workforce, technological dependency, changes in professional ethics, legal and regulatory challenges, loss of human control.</t>
  </si>
  <si>
    <t>[Davila Moran, Roberto Carlos] Univ Continental, Huancayo, Peru; [Aguero Corzo, Eucaris del Carmen] Univ Pedagog Expt Libertador, Maturin, Venezuela</t>
  </si>
  <si>
    <t>Universidad Continental</t>
  </si>
  <si>
    <t>Moran, RCD (corresponding author), Univ Continental, Huancayo, Peru.</t>
  </si>
  <si>
    <t>rdavilam@continental.edu.pe; caricorzo@gmail.com</t>
  </si>
  <si>
    <t>Agüero, Eucaris/KQU-8413-2024</t>
  </si>
  <si>
    <t>1990-8644</t>
  </si>
  <si>
    <t>REV CONRADO</t>
  </si>
  <si>
    <t>REV. CONRADO</t>
  </si>
  <si>
    <t>EX2Q9</t>
  </si>
  <si>
    <t>WOS:001142170600017</t>
  </si>
  <si>
    <t>Chamunyonga, C; Edwards, C; Caldwell, P; Rutledge, P</t>
  </si>
  <si>
    <t>Chamunyonga, Crispen; Edwards, Christopher; Caldwell, Peter; Rutledge, Peta</t>
  </si>
  <si>
    <t>The Impact of Artificial Intelligence and Machine Learning in Radiation Therapy: Considerations for Future Curriculum Enhancement</t>
  </si>
  <si>
    <t>JOURNAL OF MEDICAL IMAGING AND RADIATION SCIENCES</t>
  </si>
  <si>
    <t>Radiation therapist; artificial intelligence; machine learning; education</t>
  </si>
  <si>
    <t>CLINICAL DECISION-SUPPORT; CARE</t>
  </si>
  <si>
    <t>Artificial intelligence (AI) and machine learning (ML) approaches have caught the attention of many in health care. Current literature suggests there are many potential benefits that could transform future clinical workflows and decision making. Embedding AI and ML concepts in radiation therapy education could be a funda- mental step in equipping radiation therapists (RTs) to engage in competent and safe practice as they utilise clinical technologies. In this discussion paper, the authors provide a brief review of some applications of AI and ML in radiation therapy and discuss pertinent considerations for radiation therapy curriculum enhancement. As the current literature suggests, AI and ML ap- proaches will impose changes to routine clinical radiation therapy tasks. The emphasis in RT education could be on critical evaluation of AI and ML application in routine clinical workflows and gaining an understanding of the impact on quality assurance, provision of quality of care and safety in radiation therapy as well as research. It is also imperative RTs have a broader understanding of AI/ML impact on health care, including ethical and legal considerations. The paper concludes with recommendations and suggestions to deliberately embed AI and ML aspects in RT education to empower future RT practitioners.</t>
  </si>
  <si>
    <t>[Chamunyonga, Crispen; Edwards, Christopher; Caldwell, Peter; Rutledge, Peta] Queensland Univ Technol, Sch Clin Sci, Brisbane, Qld, Australia</t>
  </si>
  <si>
    <t>Chamunyonga, C (corresponding author), Queensland Univ Technol QUT, Med Radiat Sci, Sch Clin Sci, GPO Box 2434, Brisbane, Qld 4001, Australia.</t>
  </si>
  <si>
    <t>crispen.chamunyonga@qut.edu.au</t>
  </si>
  <si>
    <t>Caldwell, Peter/AAJ-8777-2020; Edwards, Christopher/D-9390-2018; Chamunyonga, Crispen/T-4027-2019</t>
  </si>
  <si>
    <t>Edwards, Christopher/0000-0001-7466-9530; Caldwell, Peter J/0000-0002-6276-815X; Chamunyonga, Crispen/0000-0002-6714-4362</t>
  </si>
  <si>
    <t>1939-8654</t>
  </si>
  <si>
    <t>J MED IMAGING RADIAT</t>
  </si>
  <si>
    <t>J. Med. Imaging Radiat. Sci.</t>
  </si>
  <si>
    <t>10.1016/j.jmir.2020.01.008</t>
  </si>
  <si>
    <t>MM2HU</t>
  </si>
  <si>
    <t>WOS:000549978900007</t>
  </si>
  <si>
    <t>Wong, JJ; Tan, G; Zhong, XL; Ho, KW; Sim, VWJ; Yeo, SY; Koh, AS</t>
  </si>
  <si>
    <t>Wong, Jie Jun; Tan, Glades; Zhong, Xinliu; Ho, Kay Woon; Sim, Vincent Wei Jun; Yeo, Si Yong; Koh, Angela S.</t>
  </si>
  <si>
    <t>Artificial Intelligence for Modeling Complex Treatment Decisions in Aortic Valve Intervention</t>
  </si>
  <si>
    <t>artificial intelligence; aortic stenosis; clinical decision-making; deep learning; neural networks</t>
  </si>
  <si>
    <t>When making treatment decisions for invasive cardiovascular procedures in older persons, physicians often face a myriad of complex scenarios, such as frailty, cognitive impairment, and multimorbidity. Accounting for these characteristics in real-world practice is challenging in aortic valve replacement for aortic stenosis (AS) as they impact individualized decisions in achieving meaningful postprocedural outcomes without excessive risk. Based on these characteristics, 864 unique scenarios were created that formed the original dataset, which was further split into 70% training and 30% testing datasets. More controversial clinical scenarios were further tuned based on responses from ten cardiologists and processed using multilayered neural network sequential features analysis and deep learning methods. Contrary to guidelines, symptoms and left ventricular function ranked low in physician importance. In contrast, aging-related functional features, including cognition, ambulation, and frailty scores, ranked high with good overall model accuracy (Shapley 0.811, TabNet 0.938). Feature optimization using the top three features showed good model accuracy (Shapley 0.811, TabNet 0.881). Here, AS illustrates a use case scenario in artificial intelligence (Al) that could he applied to complex clinical decision-making and has excellent potential for handling diverse clinical problems and augmenting physician treatment decision making.</t>
  </si>
  <si>
    <t>[Wong, Jie Jun; Tan, Glades; Ho, Kay Woon; Sim, Vincent Wei Jun; Koh, Angela S.] Natl Heart Ctr Singapore, Cardiol, Singapore, Singapore; [Zhong, Xinliu] Natl Univ Singapore, Biomed Engn, Singapore, Singapore; [Yeo, Si Yong] Lee Kong Chian Sch Med, Digital Hlth, Singapore, Singapore</t>
  </si>
  <si>
    <t>National Heart Centre Singapore; National University of Singapore; Nanyang Technological University</t>
  </si>
  <si>
    <t>Wong, JJ (corresponding author), Natl Heart Ctr Singapore, Cardiol, Singapore, Singapore.</t>
  </si>
  <si>
    <t>jiejun.wong@mohh.com.sg; gladeshmm@gmail.com; xinliuzhong@u.nus.edu; ho.kay.woon@singhealth.com.sg; weijunsim@ymail.com; siyong.yeo@ntu.edu.sg; angela.koh.s.m@singhealth.com.sg</t>
  </si>
  <si>
    <t>Wong, Jie Jun/HPC-0414-2023</t>
  </si>
  <si>
    <t>10.1109/CAI59869.2024.00049</t>
  </si>
  <si>
    <t>WOS:001289387700041</t>
  </si>
  <si>
    <t>Peine, A; Lutge, C; Poszler, F; Celi, L; Schöffski, O; Marx, G; Martin, L</t>
  </si>
  <si>
    <t>Peine, A.; Lutge, C.; Poszler, F.; Celi, L.; Schoffski, O.; Marx, G.; Martin, L.</t>
  </si>
  <si>
    <t>Artificial intelligence and machine learning in intensive care research and clinical application</t>
  </si>
  <si>
    <t>ANASTHESIOLOGIE &amp; INTENSIVMEDIZIN</t>
  </si>
  <si>
    <t>Artificial Intelligence; Machine Learning; Algorithms; Big Data</t>
  </si>
  <si>
    <t>ANESTHESIOLOGY; ALGORITHM</t>
  </si>
  <si>
    <t>Hardly any other development is predicted to have a greater impact on our daily working life than artificial intelligence (AI). A popular field of application of artificial intelligence is the so-called machine learning, the discipline that deals with the generation of computerised knowledge from experience through self-adaptive algoriths. Especially the high practical relevance, for example, in the field of pattern re-cognition and prediction, makes machine learning a preferred field of application in the medical domain. Especially in intensive care medicine, characterised by an exceptionally high data density and widespread computer-based data acquisition routines, machine learning has recently gained relevant influence in a scientific context as well. The data density of intensive care medicine, resulting from the steadily increasing number of connected devices and data streams, makes the application of AI a preferred field of application in research and development. This opens up new horizons for practice. Thus, after validation, AI-based algorithms in future will not only be able to influence the behaviour of the professions involved, but also directly influence the treatment of patients. This practical guide is intended to provide a hands-on introduction to machine learning for use in intensive care medicine, based on practical examples from everyday scientific life. Furthermore, ethical and regulatory aspects of the new technologies are addressed.</t>
  </si>
  <si>
    <t>[Peine, A.; Marx, G.; Martin, L.] Univ Klinikum RWTH Aachen, Klin Operat Intens Med &amp; Intermediate Care, Aachen, Germany; [Lutge, C.; Poszler, F.] Tech Univ Munich, Inst Eth Artificial Intelligence, Munich, Germany; [Celi, L.] Harvard Med Sch MIT Div Hlth Sci &amp; Technol, Lab Computat Physiol, Cambridge, MA USA; [Celi, L.] Beth Israel Deaconess Med Ctr, Boston, MA 02215 USA; [Schoffski, O.] Univ Erlangen Nurnberg, Lehrstuhl Gesundheitsmanagement, Erlangen, Germany</t>
  </si>
  <si>
    <t>RWTH Aachen University; RWTH Aachen University Hospital; Technical University of Munich; Harvard University; Harvard University Medical Affiliates; Beth Israel Deaconess Medical Center; University of Erlangen Nuremberg</t>
  </si>
  <si>
    <t>Peine, A; Martin, L (corresponding author), Univ Klinikum Aachen, Klin Operat Intens Med &amp; Intermediate Care, Pauwelsstr 30, D-52074 Aachen, Germany.</t>
  </si>
  <si>
    <t>apeine@ukaachen.de; lmartin@ukaachen.de</t>
  </si>
  <si>
    <t>Poszler, Franziska/AEH-9749-2022</t>
  </si>
  <si>
    <t>Lutge, Christoph/0000-0002-3870-4789</t>
  </si>
  <si>
    <t>AKTIV DRUCK &amp; VERLAG GMBH</t>
  </si>
  <si>
    <t>EBELSBACH</t>
  </si>
  <si>
    <t>AN DER LOHWIESE 36, EBELSBACH, 97500, GERMANY</t>
  </si>
  <si>
    <t>0170-5334</t>
  </si>
  <si>
    <t>1439-0256</t>
  </si>
  <si>
    <t>ANASTH INTENSIVMED</t>
  </si>
  <si>
    <t>Anasthesiol. Intensivmed.</t>
  </si>
  <si>
    <t>10.19224/ai2020.372</t>
  </si>
  <si>
    <t>Anesthesiology; Critical Care Medicine</t>
  </si>
  <si>
    <t>Anesthesiology; General &amp; Internal Medicine</t>
  </si>
  <si>
    <t>QK9YR</t>
  </si>
  <si>
    <t>WOS:000620736700010</t>
  </si>
  <si>
    <t>Reed, C</t>
  </si>
  <si>
    <t>Reed, Chris</t>
  </si>
  <si>
    <t>How should we regulate artificial intelligence?</t>
  </si>
  <si>
    <t>PHILOSOPHICAL TRANSACTIONS OF THE ROYAL SOCIETY A-MATHEMATICAL PHYSICAL AND ENGINEERING SCIENCES</t>
  </si>
  <si>
    <t>artificial intelligence; machine learning; law; regulation; transparency</t>
  </si>
  <si>
    <t>Using artificial intelligence (AI) technology to replace human decision-making will inevitably create new risks whose consequences are unforeseeable. This naturally leads to calls for regulation, but I argue that it is too early to attempt a general system of AI regulation. Instead, we should work incrementally within the existing legal and regulatory schemes which allocate responsibility, and therefore liability, to persons. Where AI clearly creates risks which current law and regulation cannot deal with adequately, then new regulation will be needed. But in most cases, the current system can work effectively if the producers of AI technology can provide sufficient transparency in explaining how AI decisions are made. Transparency ex post can often be achieved through retrospective analysis of the technology's operations, and will be sufficient if the main goal is to compensate victims of incorrect decisions. Ex ante transparency is more challenging, and can limit the use of some AI technologies such as neural networks. It should only be demanded by regulation where the AI presents risks to fundamental rights, or where society needs reassuring that the technology can safely be used. Masterly inactivity in regulation is likely to achieve a better long-term solution than a rush to regulate in ignorance. This article is part of a discussion meeting issue 'The growing ubiquity of algorithms in society: implications, impacts and innovations'.</t>
  </si>
  <si>
    <t>[Reed, Chris] Queen Mary Univ London, Ctr Commercial Law Studies, Sch Law, London, England</t>
  </si>
  <si>
    <t>University of London; Queen Mary University London</t>
  </si>
  <si>
    <t>Reed, C (corresponding author), Queen Mary Univ London, Ctr Commercial Law Studies, Sch Law, London, England.</t>
  </si>
  <si>
    <t>chris.reed@qmul.ac.uk</t>
  </si>
  <si>
    <t>Microsoft research</t>
  </si>
  <si>
    <t>Microsoft research(Microsoft)</t>
  </si>
  <si>
    <t>This work emanates from the Microsoft Cloud Computing Research Centre, a collaboration between the Cloud Legal Project, Centre for Commercial Law Studies, Queen Mary University of London and the Department of Computer Science and Technology, University of Cambridge, which is generously supported by a Microsoft research donation.</t>
  </si>
  <si>
    <t>ROYAL SOC</t>
  </si>
  <si>
    <t>6-9 CARLTON HOUSE TERRACE, LONDON SW1Y 5AG, ENGLAND</t>
  </si>
  <si>
    <t>1364-503X</t>
  </si>
  <si>
    <t>1471-2962</t>
  </si>
  <si>
    <t>PHILOS T R SOC A</t>
  </si>
  <si>
    <t>Philos. Trans. R. Soc. A-Math. Phys. Eng. Sci.</t>
  </si>
  <si>
    <t>SEP 13</t>
  </si>
  <si>
    <t>10.1098/rsta.2017.0360</t>
  </si>
  <si>
    <t>GP4VL</t>
  </si>
  <si>
    <t>WOS:000440870000009</t>
  </si>
  <si>
    <t>Sogani, J; Allen, B; Dreyer, K; McGinty, G</t>
  </si>
  <si>
    <t>Sogani, Julie; Allen, Bibb, Jr.; Dreyer, Keith; McGinty, Geraldine</t>
  </si>
  <si>
    <t>Artificial intelligence in radiology: the ecosystem essential to improving patient care</t>
  </si>
  <si>
    <t>Radiology artificial intelligence machine learning</t>
  </si>
  <si>
    <t>HEALTH; TRIPLE; AIM</t>
  </si>
  <si>
    <t>The rapid development of artificial intelligence (AI) has led to its widespread use in multiple industries, including healthcare. AI has the potential to be a transformative technology that will significantly impact patient care. Particularly, AI has a promising role in radiology, in which computers are indispensable and new technological advances are often sought out and adopted early in clinical practice. We present an overview of the basic definitions of common terms, the development of an AI ecosystem in imaging and its value in mitigating the challenges of implementation in clinical practice.</t>
  </si>
  <si>
    <t>[Sogani, Julie; McGinty, Geraldine] Weill Cornell Med, Dept Radiol, 1300 York Ave, New York, NY 10021 USA; [Allen, Bibb, Jr.] Grandview Med Ctr, Dept Radiol, Birmingham, AL USA; [Dreyer, Keith] Massachusetts Gen Hosp, Dept Radiol, Fruit St, Boston, MA 02114 USA; [McGinty, Geraldine] Weill Cornell Med, Dept Healthcare Policy &amp; Res, 1300 York Ave, New York, NY 10021 USA</t>
  </si>
  <si>
    <t>Cornell University; Weill Cornell Medicine; Harvard University; Harvard University Medical Affiliates; Massachusetts General Hospital; Cornell University; Weill Cornell Medicine</t>
  </si>
  <si>
    <t>McGinty, G (corresponding author), Weill Cornell Med, Dept Radiol, 1300 York Ave, New York, NY 10021 USA.;McGinty, G (corresponding author), Weill Cornell Med, Dept Healthcare Policy &amp; Res, 1300 York Ave, New York, NY 10021 USA.</t>
  </si>
  <si>
    <t>jus9101@nyp.org; gbm9002@med.cornell.edu</t>
  </si>
  <si>
    <t>A3</t>
  </si>
  <si>
    <t>A6</t>
  </si>
  <si>
    <t>10.1016/j.clinimag.2019.08.001</t>
  </si>
  <si>
    <t>JZ0NG</t>
  </si>
  <si>
    <t>WOS:000504800600002</t>
  </si>
  <si>
    <t>Stewart, J; Freeman, S; Eroglu, E; Dumitrascu, N; Lu, J; Goudie, A; Sprivulis, P; Akhlaghi, H; Tran, V; Sanfilippo, F; Celenza, A; Than, M; Fatovich, D; Walker, K; Dwivedi, G</t>
  </si>
  <si>
    <t>Stewart, Jonathon; Freeman, Samuel; Eroglu, Ege; Dumitrascu, Nicole; Lu, Juan; Goudie, Adrian; Sprivulis, Peter; Akhlaghi, Hamed; Tran, Viet; Sanfilippo, Frank; Celenza, Antonio; Than, Martin; Fatovich, Daniel; Walker, Katie; Dwivedi, Girish</t>
  </si>
  <si>
    <t>Attitudes towards artificial intelligence in emergency medicine</t>
  </si>
  <si>
    <t>EMERGENCY MEDICINE AUSTRALASIA</t>
  </si>
  <si>
    <t>artificial intelligence; emergency medicine; emergency department; attitude; interview; qualitative</t>
  </si>
  <si>
    <t>ObjectiveTo assess Australian and New Zealand emergency clinicians' attitudes towards the use of artificial intelligence (AI) in emergency medicine.MethodsWe undertook a qualitative interview-based study based on grounded theory. Participants were recruited through ED internal mailing lists, the Australasian College for Emergency Medicine Bulletin, and the research teams' personal networks. Interviews were transcribed, coded and themes presented.ResultsTwenty-five interviews were conducted between July 2021 and May 2022. Thematic saturation was achieved after 22 interviews. Most participants were from either Western Australia (52%) or Victoria (16%) and were consultants (96%). More participants reported feeling optimistic (10/25) than neutral (6/25), pessimistic (2/25) or mixed (7/25) towards the use of AI in the ED. A minority expressed scepticism regarding the feasibility or value of implementing AI into the ED. Multiple potential risks and ethical issues were discussed by participants including skill loss from overreliance on AI, algorithmic bias, patient privacy and concerns over liability. Participants also discussed perceived inadequacies in existing information technology systems. Participants felt that AI technologies would be used as decision support tools and not replace the roles of emergency clinicians. Participants were not concerned about the impact of AI on their job security. Most (17/25) participants thought that AI would impact emergency medicine within the next 10 years.ConclusionsEmergency clinicians interviewed were generally optimistic about the use of AI in emergency medicine, so long as it is used as a decision support tool and they maintain the ability to override its recommendations. This qualitative study found that emergency clinicians in Australia and New Zealand were generally optimistic about the use of artificial intelligence (AI)-enabled decision support tools in EDs. A number of issues were raised that require attention before full acceptance. AI-enabled tools must operate as decision support only, be locally validated, be effectively integrated into existing workflows and take ethical concerns into consideration.</t>
  </si>
  <si>
    <t>[Stewart, Jonathon; Celenza, Antonio; Dwivedi, Girish] Univ Western Australia, Sch Med, 35 Stirling Highway, Perth, WA 6009, Australia; [Stewart, Jonathon; Lu, Juan; Dwivedi, Girish] Harry Perkins Inst Med Res, Dept Adv Clin &amp; Translat Cardiovasc Imaging, Perth, WA, Australia; [Freeman, Samuel] Monash Univ, SensiLab, Melbourne, Vic, Australia; [Freeman, Samuel; Akhlaghi, Hamed] St Vincents Hosp Melbourne, Dept Emergency Med, Melbourne, Vic, Australia; [Eroglu, Ege; Dumitrascu, Nicole] Univ Notre Dame Australia, Sch Med, Fremantle, WA, Australia; [Lu, Juan] Univ Western Australia, Dept Comp Sci &amp; Software Engn, Perth, WA, Australia; [Goudie, Adrian] Fiona Stanley Hosp, Dept Emergency Med, Perth, WA, Australia; [Sprivulis, Peter] Western Australia Dept Hlth, Strategy &amp; Governance Div, Perth, WA, Australia; [Tran, Viet] Univ Tasmania, Sch Med, Hobart, Tas, Australia; [Tran, Viet] Royal Hobart Hosp, Dept Emergency Med, Hobart, Tas, Australia; [Sanfilippo, Frank] Univ Western Australia, Sch Populat &amp; Global Hlth, Perth, WA, Australia; [Celenza, Antonio] Sir Charles Gairdner Hosp, Dept Emergency Med, Perth, WA, Australia; [Than, Martin] Christchurch Hosp, Dept Emergency Med, Christchurch, New Zealand; [Fatovich, Daniel] Univ Western Australia, Royal Perth Hosp, Emergency Med, Perth, WA, Australia; [Fatovich, Daniel] Harry Perkins Inst Med Res, Ctr Clin Res Emergency Med, Perth, WA, Australia; [Walker, Katie] Monash Univ, Sch Clin Sci Monash Hlth, Melbourne, Vic, Australia; [Dwivedi, Girish] Fiona Stanley Hosp, Dept Cardiol, Perth, WA, Australia</t>
  </si>
  <si>
    <t>University of Western Australia; Harry Perkins Institute of Medical Research; Monash University; St Vincent's Health; St Vincent's Hospital Melbourne; The University of Notre Dame Australia; University of Western Australia; South Metropolitan Health Service; Fiona Stanley Fremantle Hospitals Group; Fiona Stanley Hospital; University of Tasmania; Royal Hobart Hospital; University of Western Australia; University of Western Australia; Sir Charles Gairdner Hospital; Christchurch Hospital New Zealand; East Metropolitan Health Service; Royal Perth Hospital; University of Western Australia; Harry Perkins Institute of Medical Research; Monash University; South Metropolitan Health Service; Fiona Stanley Fremantle Hospitals Group; Fiona Stanley Hospital</t>
  </si>
  <si>
    <t>Stewart, J (corresponding author), Univ Western Australia, Sch Med, 35 Stirling Highway, Perth, WA 6009, Australia.</t>
  </si>
  <si>
    <t>Jonathon.Stewart@research.uwa.edu.au</t>
  </si>
  <si>
    <t>Akhlaghi, Hamed/JXL-6777-2024; Than, Martin/JUU-2652-2023; Fatovich, Daniel/A-4658-2010; Fatovich, Daniel/J-5510-2013; Tran, Viet/F-8500-2019; Sanfilippo, Frank/H-9334-2013</t>
  </si>
  <si>
    <t>Fatovich, Daniel/0000-0001-9414-6905; Than, Martin/0000-0001-9399-5227; Goudie, Adrian/0000-0003-0176-1533; Tran, Viet/0000-0002-8890-1457; Stewart, Jonathon/0000-0002-7322-0106; Celenza, Antonio/0000-0001-9792-9526; Sanfilippo, Frank/0000-0003-3639-0787; Akhlaghi, Hamed/0000-0002-3929-7265; Freeman, Sam/0000-0002-8193-6454</t>
  </si>
  <si>
    <t>Australian Government's Medical Research Future Fund (MRFF); Western Australian Health Translation Network; Australian Government's Medical Research Future Fund; Council of Australian University Librarians</t>
  </si>
  <si>
    <t>Australian Government's Medical Research Future Fund (MRFF)(Medical Research Future Fund (MRFF)); Western Australian Health Translation Network; Australian Government's Medical Research Future Fund(Medical Research Future Fund (MRFF)); Council of Australian University Librarians</t>
  </si>
  <si>
    <t>This project was supported by the Western Australian Health Translation Network and the Australian Government's Medical Research Future Fund (MRFF) as part of the Rapid Applied Research Translation programme. Authors who received grant: GD. Funder Website: . The funders had no role in study design, data collection and analysis, decision to publish, or preparation of the manuscript. We thank the emergency medicine trainees and consultants who provided feedback on our initial interview guide, who participated in the pilot interviews, and who participated in the study. Open access publishing facilitated by The University of Western Australia, as part of the Wiley - The University of Western Australia agreement via the Council of Australian University Librarians.</t>
  </si>
  <si>
    <t>1742-6731</t>
  </si>
  <si>
    <t>1742-6723</t>
  </si>
  <si>
    <t>EMERG MED AUSTRALAS</t>
  </si>
  <si>
    <t>Emerg. Med. Australas.</t>
  </si>
  <si>
    <t>10.1111/1742-6723.14345</t>
  </si>
  <si>
    <t>Emergency Medicine</t>
  </si>
  <si>
    <t>WC1U0</t>
  </si>
  <si>
    <t>WOS:001120922100001</t>
  </si>
  <si>
    <t>Chassignol, M; Khoroshavin, A; Klimova, A; Bilyatdinova, A</t>
  </si>
  <si>
    <t>Klimova, A; Bilyatdinova, A; Harmandaris, V; Bilas, A; Boukhanovsky, A</t>
  </si>
  <si>
    <t>Chassignol, Maud; Khoroshavin, Aleksandr; Klimova, Alexandra; Bilyatdinova, Anna</t>
  </si>
  <si>
    <t>Artificial Intelligence trends in education: a narrative overview</t>
  </si>
  <si>
    <t>7TH INTERNATIONAL YOUNG SCIENTISTS CONFERENCE ON COMPUTATIONAL SCIENCE, YSC2018</t>
  </si>
  <si>
    <t>7th Annual International Young Scientists Conference on Computational Science (YSC)</t>
  </si>
  <si>
    <t>JUL 02-06, 2018</t>
  </si>
  <si>
    <t>Heraklion, GREECE</t>
  </si>
  <si>
    <t>Univ Amsterdam,ITMO Univ</t>
  </si>
  <si>
    <t>Artificial Intelligence; Education; Machine learning; Technology Enhanced Learning</t>
  </si>
  <si>
    <t>Digital technologies have already become an internal part of our life. They change the way we are looking for information, how we communicate with each other, even how we behave. This transformation applies to many areas, including education. The main objective of this article is to identify prospective impact of artificial technologies to the study process and to predict possible changes in educational landscape. In presented literature review we considered four categories: customized educational content, innovative teaching methods, technology enhanced assessment, communication between student and lecturer. Having reviewed publications on the subject we present here a possible picture of how the Artificial Intelligence (AI) will reshape education landscape. (C) 2018 The Authors. Published by Elsevier B.V.</t>
  </si>
  <si>
    <t>[Chassignol, Maud] ISEN Toulon, Pl George Pompidou, F-83000 Toulon, France; [Khoroshavin, Aleksandr] Herzen State Pedag Univ Russia, 48 Embankment River Moyka, St Petersburg 191186, Russia; [Klimova, Alexandra; Bilyatdinova, Anna] ITMO Univ, Kronverksky 49, St Petersburg 197101, Russia</t>
  </si>
  <si>
    <t>Herzen State Pedagogical University of Russia; ITMO University</t>
  </si>
  <si>
    <t>Klimova, A (corresponding author), ITMO Univ, Kronverksky 49, St Petersburg 197101, Russia.</t>
  </si>
  <si>
    <t>alexandra.klimova@corp.ifmo.ru</t>
  </si>
  <si>
    <t>Bilyatdinova, Anna/B-6473-2014; Klimova, Alexandra/L-2295-2017</t>
  </si>
  <si>
    <t>Klimova, Alexandra/0000-0002-1142-5069</t>
  </si>
  <si>
    <t>10.1016/j.procs.2018.08.233</t>
  </si>
  <si>
    <t>BP3KG</t>
  </si>
  <si>
    <t>WOS:000547808300003</t>
  </si>
  <si>
    <t>Alhazimi, A; Almarek, F</t>
  </si>
  <si>
    <t>Alhazimi, Amro; Almarek, Faisal</t>
  </si>
  <si>
    <t>Impact of artificial intelligence on diagnosing eye diseases - A meta-analysis</t>
  </si>
  <si>
    <t>ADVANCES IN HUMAN BIOLOGY</t>
  </si>
  <si>
    <t>Artificial intelligence; diagnosis; diagnostic accuracy; eye diseases; mean difference; meta-analysis; ophthalmology; standardised mean difference; systematic review</t>
  </si>
  <si>
    <t>OPTICAL COHERENCE TOMOGRAPHY; PROGRESSION; PREDICTION</t>
  </si>
  <si>
    <t>The application of artificial intelligence (AI) in the field of ophthalmology has garnered significant attention for its potential to enhance the accuracy of eye disease diagnosis. This systematic review and meta-analysis aimed to comprehensively assess the impact of AI on diagnosing eye diseases through the synthesis of existing research. A systematic search of electronic databases was conducted to identify relevant studies in accordance with the Preferred Reporting Items for Systematic Reviews and Meta-Analyses protocol. Eligible studies were those that reported the diagnostic accuracy of AI in ophthalmic image diagnosis. The standardized mean difference (SMD) and mean difference (MD) were utilised as the effect size measures to evaluate AI performance. A total of 18 studies meeting the inclusion criteria were selected for the quantitative synthesis. Further, the meta-analysis revealed that AI exhibited a substantial positive impact on the accuracy of diagnosing eye diseases. The overall SMD across various diagnostic parameters indicated a statistically significant improvement (SMD = 0.88, 95% confidence interval [CI]: 0.71-1.05). Moreover, the MD of diagnostic values demonstrated significant enhancements, with an overall MD of -10.2 (95% CI: -12.1 to -8.3). The selected studies consistently demonstrated that AI achieved high accuracy levels, reinforcing its potential as a valuable tool in ophthalmic diagnosis. This study provides significant evidence supporting the significant positive impact of AI on diagnosing eye diseases. The synthesis of the selected studies underscores the high accuracy achieved by AI in ophthalmic image diagnosis, as indicated by the substantial SMD and MD improvements. These findings highlight the promising role of AI in ophthalmology, offering the potential to revolutionise the field and improve patient care through enhanced diagnostic precision.</t>
  </si>
  <si>
    <t>[Alhazimi, Amro; Almarek, Faisal] Imam Mohammad Ibn Saud Islamic Univ IMSIU, Coll Med, Dept Ophthalmol, Riyadh, Saudi Arabia; [Alhazimi, Amro] Imam Mohammad Ibn Saud Islamic Univ, Coll Med, Dept Ophthalmol, Riyadh, Saudi Arabia</t>
  </si>
  <si>
    <t>Imam Mohammad Ibn Saud Islamic University (IMSIU); Imam Mohammad Ibn Saud Islamic University (IMSIU)</t>
  </si>
  <si>
    <t>Alhazimi, A (corresponding author), Imam Mohammad Ibn Saud Islamic Univ, Coll Med, Dept Ophthalmol, Riyadh, Saudi Arabia.</t>
  </si>
  <si>
    <t>ayalhazimi@imamu.edu.sa</t>
  </si>
  <si>
    <t>2321-8568</t>
  </si>
  <si>
    <t>2348-4691</t>
  </si>
  <si>
    <t>ADV HUM BIOL</t>
  </si>
  <si>
    <t>Adv. Hum. Biol.</t>
  </si>
  <si>
    <t>10.4103/aihb.aihb_124_23</t>
  </si>
  <si>
    <t>JJ6B8</t>
  </si>
  <si>
    <t>WOS:001172827600006</t>
  </si>
  <si>
    <t>Sánchez, EC; Sánchez-Medina, AJ; Pellejero, M</t>
  </si>
  <si>
    <t>Sanchez, Eleazar C.; Sanchez-Medina, Agustin J.; Pellejero, Monica</t>
  </si>
  <si>
    <t>Identifying critical hotel cancellations using artificial intelligence</t>
  </si>
  <si>
    <t>TOURISM MANAGEMENT PERSPECTIVES</t>
  </si>
  <si>
    <t>Forecasting models; Hotel; Artificial intelligence; Cancellations; Revenue management</t>
  </si>
  <si>
    <t>TOURISM DEMAND; REVENUE MANAGEMENT; FORECASTING ACCURACY; NO-SHOW; BOOKING; RATES; BEHAVIOR; MODELS</t>
  </si>
  <si>
    <t>Cancellations have a significant impact on the hotel and lodging industry because they directly affect income and are thus considered critical in revenue management. Specifically, cancellations made close to the time of service are the most damaging for hotels because they leave management with no time to react. The use of Personal Name Records (PNR) has led to new approaches in this field, however despite this novel research area there are no investigations focusing on forecasting for individual hotel cancellations made close to the time of service. With the aim of filling this gap, this research is intended to identify those individuals likely to make cancellations in a short-horizon of time using Artificial Intelligence (AI) techniques through PNR data. Promising results have been achieved with 80% accuracy for cancellations made 7 days in advance. By taking this approach, booking management systems, as well as cancellation policies may be optimised.</t>
  </si>
  <si>
    <t>[Sanchez, Eleazar C.; Sanchez-Medina, Agustin J.] Univ Las Palmas Gran Canaria, Inst Univ Ciencias &amp; Tecnol Cibernet IUCTC, Despacho C-2-21,Ed Econ &amp; Empresariales, Las Palmas Gran Canaria 35017, Spain; [Pellejero, Monica] Mid Atlantic Univ, Carretera Quilmes 37, Las Palmas Gran Canaria 35017, Spain</t>
  </si>
  <si>
    <t>Universidad de Las Palmas de Gran Canaria</t>
  </si>
  <si>
    <t>Sánchez-Medina, AJ (corresponding author), Univ Las Palmas Gran Canaria, Inst Univ Ciencias &amp; Tecnol Cibernet IUCTC, Despacho C-2-21,Ed Econ &amp; Empresariales, Las Palmas Gran Canaria 35017, Spain.</t>
  </si>
  <si>
    <t>agustin.sanchez@ulpgc.es</t>
  </si>
  <si>
    <t>Pellejero, Mónica/ISB-5083-2023; Sánchez-Medina, Agustín/ABE-8733-2020</t>
  </si>
  <si>
    <t>C-Sanchez, Eleazar/0000-0002-2471-3457; Sanchez-Medina, Agustin J./0000-0002-7569-3556</t>
  </si>
  <si>
    <t>2211-9736</t>
  </si>
  <si>
    <t>2211-9744</t>
  </si>
  <si>
    <t>TOUR MANAG PERSPECT</t>
  </si>
  <si>
    <t>Tour. Manag. Perspect.</t>
  </si>
  <si>
    <t>10.1016/j.tmp.2020.100718</t>
  </si>
  <si>
    <t>Hospitality, Leisure, Sport &amp; Tourism; Management</t>
  </si>
  <si>
    <t>Social Sciences - Other Topics; Business &amp; Economics</t>
  </si>
  <si>
    <t>MR1OL</t>
  </si>
  <si>
    <t>WOS:000553360600009</t>
  </si>
  <si>
    <t>Martincevic, I; Sesar, V; Zunac, AG</t>
  </si>
  <si>
    <t>Martincevic, Ivana; Sesar, Vesna; Zunac, Ana Globocnik</t>
  </si>
  <si>
    <t>ARTIFICIAL INTELLIGENCE AND BLOCKCHAIN - NEW CHALLENGES FOR DIGITAL SUPPLY CHAIN MANAGEMENT</t>
  </si>
  <si>
    <t>management; supply chain management; digital supply chain; artificial intelligence; blockchain</t>
  </si>
  <si>
    <t>TRANSFORMATION; TECHNOLOGIES; INNOVATION; BITCOIN</t>
  </si>
  <si>
    <t>Digital transformation of business is inevitable today, that is, companies include and incorporate new technologies into their business processes, all with the aim of creating added value, securing and achieving competitive advantage. For the purposes of writing this article, new Croatian and world literature has been used and analyzed and authors can be considered as representative authors in the field of interest of this topic. A systematic literature review was undertaken to provide an overview of application and use of new technologies such as blokchain and artificial intelligence in filed of digital supply chain. The papers were selected by searching databases Web of Science and Scopus using the search phrase (artificial intelligence OR blockchain technology) AND (digital supply chain). The intention and goal of this research was to make aware logistics organizations about importance of the artificial intelligence and blockchain technology as key factors that can affect and improve logistic process. There are not many studies that explore the application of artificial intelligence and blockchain technology in a field of digital supply chain and its importance and contribution to strengthening supply chain management, so this research contributes to strengthening the awareness of organization about its application. Implementation of artificial intelligence and blockchain technology is relatively new in a field of logistic and specially in field of supply chain so it needs to be strongly and systematically developed further especially with the development of digital supply chain. By analyzing the relevant scientific sources it can be concluded that a strategic approach to the adoption and implementation of artificial intelligence and blockchain technology can provide a numerous of advantages and benefits. The aim of this paper was (1) to analyze and investigate the importance of digitalization and digital transformation and the impact on digital supply chain (2) to analyze and explore innovation and new technologies in the logistic sector (artificial intelligence and blockchain technology) (3) to provide an overview of the research literature in these areas.</t>
  </si>
  <si>
    <t>[Martincevic, Ivana; Sesar, Vesna; Zunac, Ana Globocnik] Univ North, Koprivnica, Croatia</t>
  </si>
  <si>
    <t>Martincevic, I (corresponding author), Univ North, Koprivnica, Croatia.</t>
  </si>
  <si>
    <t>ivana.martincevic@unin.hr; vesna.sesar@unin.hr; ana.globocnik.zunac@unin.hr</t>
  </si>
  <si>
    <t>Sesar, Vesna/AAK-9306-2021</t>
  </si>
  <si>
    <t>WOS:001226759400025</t>
  </si>
  <si>
    <t>Hou, JJ; Wan, JP</t>
  </si>
  <si>
    <t>Tu, YP; Chi, M</t>
  </si>
  <si>
    <t>Hou, Jiajun; Wan, Jiangping</t>
  </si>
  <si>
    <t>Theme Mining and Evolutionary Analysis of Artificial Intelligence Integration in Higher Education Research</t>
  </si>
  <si>
    <t>E-BUSINESS: NEW CHALLENGES AND OPPORTUNITIES FOR DIGITAL-ENABLED INTELLIGENT FUTURE, PT II, WHICEB 2024</t>
  </si>
  <si>
    <t>23rd Wuhan International Conference on E-business (WHICEB)</t>
  </si>
  <si>
    <t>MAY 24-26, 2024</t>
  </si>
  <si>
    <t>China Univ Geosciences, Wuhan, PEOPLES R CHINA</t>
  </si>
  <si>
    <t>Assoc Informat Systems,China Assoc Informat Systems,China Informat Economics Soc,Wuhan Univ Communicat</t>
  </si>
  <si>
    <t>China Univ Geosciences</t>
  </si>
  <si>
    <t>Artificial Intelligence; Higher Education; Topic Mining; Topic Evolution; LDA+Word2Vec</t>
  </si>
  <si>
    <t>This study conducted thematic mining and evolutionary analysis of research outcomes on the integration of artificial intelligence into higher education. A total of 418 core journal articles published between 2018 and 2023 from the CNKI and Web of Science databases were selected. The LDA+Word2vec topic model was used for thematic mining, and cosine similarity was calculated to explore the similarity between topics. Finally, a Sankey diagram was created to illustrate the evolutionary relationships between different themes. The results indicate that research on the integration of artificial intelligence into higher education can be divided into three time periods with six themes. These themes include intelligent medical education talent cultivation, research on intelligent online education platforms/systems, intelligent disciplinary major construction, transformation of personalized teaching modes through human-machine collaboration, digitized higher education talent cultivation, the application and impact of generative artificial intelligence, as well as two thematic evolutionary paths: intelligent medical education talent cultivation and research on intelligent online education platforms-intelligent disciplinary major construction-digitized higher education talent cultivation, research on intelligent online education platformstrans-formation of personalized teaching modes through human-machine collaboration-application and impact of generative artificial intelligence. The purpose is to provide insights into research on the integration of artificial intelligence into higher education.</t>
  </si>
  <si>
    <t>[Hou, Jiajun] Guangzhou City Univ Technol, Guangzhou 510800, Peoples R China; [Wan, Jiangping] South China Univ Technol, Guangzhou 510640, Peoples R China</t>
  </si>
  <si>
    <t>South China University of Technology</t>
  </si>
  <si>
    <t>Wan, JP (corresponding author), South China Univ Technol, Guangzhou 510640, Peoples R China.</t>
  </si>
  <si>
    <t>13763342117@163.com</t>
  </si>
  <si>
    <t>yong, jiang/AAX-8682-2021</t>
  </si>
  <si>
    <t>978-3-031-60259-7; 978-3-031-60260-3</t>
  </si>
  <si>
    <t>10.1007/978-3-031-60260-3_10</t>
  </si>
  <si>
    <t>Business; Computer Science, Interdisciplinary Applications</t>
  </si>
  <si>
    <t>BX8DU</t>
  </si>
  <si>
    <t>WOS:001329868800010</t>
  </si>
  <si>
    <t>Vodicar, J</t>
  </si>
  <si>
    <t>Vodicar, Janet</t>
  </si>
  <si>
    <t>Catechesis as an Aid for Artificial Intelligence</t>
  </si>
  <si>
    <t>BOGOSLOVNI VESTNIK-THEOLOGICAL QUARTERLY-EPHEMERIDES THEOLOGICAE</t>
  </si>
  <si>
    <t>Slovenian</t>
  </si>
  <si>
    <t>artificial intelligence; education; catechesis; educability; intelligence; proclamation</t>
  </si>
  <si>
    <t>Artificial intelligence is already present in almost every aspect of modern life. In the field of education, its negative impact on students is often emphasized. In this article, however, we also show the positive aspects of integrating AI into educational work. It is even more difficult to show the positive aspects of AI in the catechetical field, even though this area is included in the new Directory for Catechesis. As we show in this article, catechesis can also contribute to a safer and more humane use of AI in the field of general education. We show this by presenting the latest movements advocating the pedagogical use of AI and comparing them with the general aims of catechesis. The results of these comparisons are also compared with the latest manuals for Slovenian catechesis in the fourth and fifth grades of elementary school. The results show that the contribution of catechesis in the field of education for openness and educability can be the basis for a successful positive application of AI in the wider pedagogical space.</t>
  </si>
  <si>
    <t>UNIV LJUBLJANI, TEOLOSKA FAKULTET</t>
  </si>
  <si>
    <t>LJUBLJANA</t>
  </si>
  <si>
    <t>POLJANSKA 4, P P 2007, LJUBLJANA, 1000, SLOVENIA</t>
  </si>
  <si>
    <t>0006-5722</t>
  </si>
  <si>
    <t>1581-2987</t>
  </si>
  <si>
    <t>BOGOSL VESTN</t>
  </si>
  <si>
    <t>Bogosl. Vestn.</t>
  </si>
  <si>
    <t>10.34291/BV2024/04/Vodicar</t>
  </si>
  <si>
    <t>Q6Q7P</t>
  </si>
  <si>
    <t>WOS:001385905600012</t>
  </si>
  <si>
    <t>Ueda, D; Kakinuma, T; Fujita, S; Kamagata, K; Fushimi, Y; Ito, R; Matsui, Y; Nozaki, T; Nakaura, T; Fujima, N; Tatsugami, F; Yanagawa, M; Hirata, K; Yamada, A; Tsuboyama, T; Kawamura, M; Fujioka, T; Naganawa, S</t>
  </si>
  <si>
    <t>Ueda, Daiju; Kakinuma, Taichi; Fujita, Shohei; Kamagata, Koji; Fushimi, Yasutaka; Ito, Rintaro; Matsui, Yusuke; Nozaki, Taiki; Nakaura, Takeshi; Fujima, Noriyuki; Tatsugami, Fuminari; Yanagawa, Masahiro; Hirata, Kenji; Yamada, Akira; Tsuboyama, Takahiro; Kawamura, Mariko; Fujioka, Tomoyuki; Naganawa, Shinji</t>
  </si>
  <si>
    <t>Fairness of artificial intelligence in healthcare: review and recommendations</t>
  </si>
  <si>
    <t>Fairness; Bias; Artificial intelligence; Healthcare; Medicine; Review</t>
  </si>
  <si>
    <t>BIG DATA; CHEST RADIOGRAPHS; LEARNING-MODELS; VALIDATION; BIAS; PERFORMANCE; DISEASE; PRIVACY; ETHICS; ISSUES</t>
  </si>
  <si>
    <t>In this review, we address the issue of fairness in the clinical integration of artificial intelligence (AI) in the medical field. As the clinical adoption of deep learning algorithms, a subfield of AI, progresses, concerns have arisen regarding the impact of AI biases and discrimination on patient health. This review aims to provide a comprehensive overview of concerns associated with AI fairness; discuss strategies to mitigate AI biases; and emphasize the need for cooperation among physicians, AI researchers, AI developers, policymakers, and patients to ensure equitable AI integration. First, we define and introduce the concept of fairness in AI applications in healthcare and radiology, emphasizing the benefits and challenges of incorporating AI into clinical practice. Next, we delve into concerns regarding fairness in healthcare, addressing the various causes of biases in AI and potential concerns such as misdiagnosis, unequal access to treatment, and ethical considerations. We then outline strategies for addressing fairness, such as the importance of diverse and representative data and algorithm audits. Additionally, we discuss ethical and legal considerations such as data privacy, responsibility, accountability, transparency, and explainability in AI. Finally, we present the Fairness of Artificial Intelligence Recommendations in healthcare (FAIR) statement to offer best practices. Through these efforts, we aim to provide a foundation for discussing the responsible and equitable implementation and deployment of AI in healthcare.</t>
  </si>
  <si>
    <t>[Ueda, Daiju] Osaka Metropolitan Univ, Grad Sch Med, Dept Diagnost &amp; Intervent Radiol, 1-4-3 Asahi Machi,Abeno Ku, Osaka 5458585, Japan; [Kakinuma, Taichi] STORIA Law Off, Chuo Ku, Kobe, Hyogo, Japan; [Fujita, Shohei] Univ Tokyo, Dept Radiol, Bunkyo Ku, Tokyo, Japan; [Kamagata, Koji] Juntendo Univ, Dept Radiol, Grad Sch Med, Bunkyo Ku, Tokyo, Japan; [Fushimi, Yasutaka] Kyoto Univ, Dept Diagnost Imaging &amp; Nucl Med, Grad Sch Med, Sakyo Ku, Kyoto, Japan; [Ito, Rintaro; Kawamura, Mariko; Naganawa, Shinji] Nagoya Univ, Dept Radiol, Grad Sch Med, Nagoya, Aichi, Japan; [Matsui, Yusuke] Okayama Univ, Fac Med Dent &amp; Pharmaceut Sci, Dept Radiol, Kita Ku, Okayama, Japan; [Nozaki, Taiki] Keio Univ, Dept Radiol, Sch Med, Shinjuku Ku, Tokyo, Japan; [Nakaura, Takeshi] Kumamoto Univ, Dept Diagnost Radiol, Grad Sch Med, Chuo Ku, Kumamoto, Japan; [Fujima, Noriyuki] Hokkaido Univ Hosp, Dept Diagnost &amp; Intervent Radiol, Sapporo, Japan; [Tatsugami, Fuminari] Hiroshima Univ, Dept Diagnost Radiol, Minami Ku, Hiroshima, Japan; [Yanagawa, Masahiro; Tsuboyama, Takahiro] Osaka Univ, Dept Radiol, Grad Sch Med, Suita, Osaka, Japan; [Hirata, Kenji] Hokkaido Univ, Grad Sch Med, Dept Diagnost Imaging, Kita Ku, Sapporo, Hokkaido, Japan; [Yamada, Akira] Shinshu Univ, Dept Radiol, Sch Med, Matsumoto, Nagano, Japan; [Fujioka, Tomoyuki] Tokyo Med &amp; Dent Univ, Dept Diagnost Radiol, Bunkyo Ku, Tokyo, Japan</t>
  </si>
  <si>
    <t>University of Tokyo; Juntendo University; Kyoto University; Nagoya University; Okayama University; Keio University; Kumamoto University; Hokkaido University; Hiroshima University; Osaka University; Hokkaido University; Shinshu University; Institute of Science Tokyo; Tokyo Medical &amp; Dental University (TMDU)</t>
  </si>
  <si>
    <t>Ueda, D (corresponding author), Osaka Metropolitan Univ, Grad Sch Med, Dept Diagnost &amp; Intervent Radiol, 1-4-3 Asahi Machi,Abeno Ku, Osaka 5458585, Japan.</t>
  </si>
  <si>
    <t>ai.labo.ocu@gmail.com</t>
  </si>
  <si>
    <t>倫太郎, 伊藤/AFH-9268-2022; 鎌形, 康司/AFL-9072-2022; Naganawa, Shinji/I-1572-2012; Ueda, Daiju/AAG-2167-2021; Yamada, Akira/AAD-1536-2019; Fujima, Noriyuki/AAF-7270-2020; Fushimi, Yasutaka/L-8922-2017; Yanagawa, Masahiro/AAD-2306-2022</t>
  </si>
  <si>
    <t>Yanagawa, Masahiro/0000-0002-0911-6769; Ueda, Daiju/0000-0002-3878-3616</t>
  </si>
  <si>
    <t>10.1007/s11604-023-01474-3</t>
  </si>
  <si>
    <t>DR3V4</t>
  </si>
  <si>
    <t>WOS:001043049800002</t>
  </si>
  <si>
    <t>Vasquez-Quispesivana, W; Inga, M; Betalleluz-Pallardel, I</t>
  </si>
  <si>
    <t>Vasquez-Quispesivana, Wilfredo; Inga, Marianela; Betalleluz-Pallardel, Indira</t>
  </si>
  <si>
    <t>Artificial intelligence in aquaculture: basis, applications, and future perspectives</t>
  </si>
  <si>
    <t>SCIENTIA AGROPECUARIA</t>
  </si>
  <si>
    <t>Aquaculture; artificial intelligence; neural networks; machine learning; deep learning; optimization</t>
  </si>
  <si>
    <t>DISSOLVED-OXYGEN PREDICTION; DECISION-SUPPORT-SYSTEM; NEURAL-NETWORK; WATER-QUALITY; COMPUTER VISION; FISH; MODELS; POLLUTION; ACCURACY; TRENDS</t>
  </si>
  <si>
    <t>Advances in data management technologies are being adapted to resolve difficulties and impacts that aquaculture manifests, some aspects that over the years have not been fully managed, are now more feasible to solve, such as the optimization of variables that intervene in the growth and increase of biomass, the prediction of water quality parameters to manage and make decisions during farming fish, the evaluation of the aquaculture environment and the impact generated by aquaculture, the diagnosis of diseases in aquaculture fish to determine more specific treatments, handling, management and closure of aquaculture farms. The objective of this article was to review within the last 20 years the various techniques, methodologies, models, algorithms, software, and devices that are used within artificial intelligence, machine learning and deep learning systems, to solve in a simpler way, quickly and precisely the difficulties and impacts that aquaculture manifests. In addition, the fundamentals of artificial intelligence, automatic learning and deep learning are explained, as well as the recommendations for future study on areas of interest in aquaculture, such as the reduction of production costs through the optimization of feeding based on good aquaculture practices and parameters of water quality, the identification of sex in fish that do not present sexual dimorphism, the determination of quality attributes such as the degree of pigmentation in salmon and trout.</t>
  </si>
  <si>
    <t>[Vasquez-Quispesivana, Wilfredo] Univ Nacl Agr La Molina, Fac Pesqueria, Av La Molina S-N, Lima, Peru; [Inga, Marianela; Betalleluz-Pallardel, Indira] Univ Nacl Agr La Molina, Fac Ind Alimentarias, Av La Molina S-N, Lima, Peru</t>
  </si>
  <si>
    <t>Universidad Nacional Agraria La Molina; Universidad Nacional Agraria La Molina</t>
  </si>
  <si>
    <t>Vasquez-Quispesivana, W (corresponding author), Univ Nacl Agr La Molina, Fac Pesqueria, Av La Molina S-N, Lima, Peru.</t>
  </si>
  <si>
    <t>wvasquez@lamolina.edu.pe</t>
  </si>
  <si>
    <t>Inga Guevara, Marianela/0000-0002-9677-5446; Betalleluz Pallardel, Indira Milagros/0000-0002-9286-7191</t>
  </si>
  <si>
    <t>UNIV NACL TRUJILLO, FAC CIENCIAS AGROPECUARIAS</t>
  </si>
  <si>
    <t>TRUJILLO</t>
  </si>
  <si>
    <t>AV JUAN PABLO II S-N, TRUJILLO, 00000, PERU</t>
  </si>
  <si>
    <t>2077-9917</t>
  </si>
  <si>
    <t>2306-6741</t>
  </si>
  <si>
    <t>SCI AGROPEC</t>
  </si>
  <si>
    <t>Sci. Agropecu.</t>
  </si>
  <si>
    <t>10.17268/sci.agropecu.2022.008</t>
  </si>
  <si>
    <t>Agriculture, Dairy &amp; Animal Science</t>
  </si>
  <si>
    <t>0V2UZ</t>
  </si>
  <si>
    <t>WOS:000788200600008</t>
  </si>
  <si>
    <t>Wünn, T; Sent, D; Peute, LWP; Leijnen, S</t>
  </si>
  <si>
    <t>Biecek, P; Nowaczyk, S; Chung, NC; Vallati, M; Skruch, P; Jaworek-Korjakowska, J; Parkinson, S; Nikitas, A; Atzmuller, M; Kliegr, T; Schmid, U; Bobek, S; Lavrac, N; Peeters, M; VanDierendonck, R; Robben, S; Mercier-Laurent, E; Kayakutlu, G; Owoc, ML; Mason, K; Wahid, A; Bruno, P; Calimeri, F; Cauteruccio, F; Terracina, G; Wolter, D; Leidner, JL; Kohlhase, M; Dimitrova, V</t>
  </si>
  <si>
    <t>Wunn, Tina; Sent, Danielle; Peute, Linda W. P.; Leijnen, Stefan</t>
  </si>
  <si>
    <t>Trust in Artificial Intelligence: Exploring the Influence of Model Presentation and Model Interaction on Trust in a Medical Setting</t>
  </si>
  <si>
    <t>ARTIFICIAL INTELLIGENCE-ECAI 2023 INTERNATIONAL WORKSHOPS, PT 2, XAI3, TACTIFUL, XI-ML, SEDAMI, RAAIT, AI4S, HYDRA, AI4AI, 2023</t>
  </si>
  <si>
    <t>26th European Conference on Artificial Intelligence (ECAI)</t>
  </si>
  <si>
    <t>SEP 30-OCT 04, 2023</t>
  </si>
  <si>
    <t>Krakow, POLAND</t>
  </si>
  <si>
    <t>trust; explainability; artificial intelligence; healthcare; dashboard</t>
  </si>
  <si>
    <t>TECHNOLOGY; CARE</t>
  </si>
  <si>
    <t>The healthcare sector has been confronted with rapidly rising healthcare costs and a shortage of medical staff. At the same time, the field of Artificial Intelligence (AI) has emerged as a promising area of research, offering potential benefits for healthcare. Despite the potential of AI to support healthcare, its widespread implementation, especially in healthcare, remains limited. One possible factor contributing to that is the lack of trust in AI algorithms among healthcare professionals. Previous studies have indicated that explainability plays a crucial role in establishing trust in AI systems. This study aims to explore trust in AI and its connection to explainability in a medical setting. A rapid review was conducted to provide an overview of the existing knowledge and research on trust and explainability. Building upon these insights, a dashboard interface was developed to present the output of an AI-based decision-support tool along with explanatory information, with the aim of enhancing explainability of the AI for healthcare professionals. To investigate the impact of the dashboard and its explanations on healthcare professionals, an exploratory case study was conducted. The study encompassed an assessment of participants' trust in the AI system, their perception of its explainability, as well as their evaluations of perceived ease of use and perceived usefulness. The initial findings from the case study indicate a positive correlation between perceived explainability and trust in the AI system. Our preliminary findings suggest that enhancing the explainability of AI systems could increase trust among healthcare professionals. This may contribute to an increased acceptance and adoption of AI in healthcare. However, a more elaborate experiment with the dashboard is essential.</t>
  </si>
  <si>
    <t>[Wunn, Tina; Sent, Danielle; Leijnen, Stefan] HU Univ Appl Sci, Res Grp Artificial Intelligence, Utrecht, Netherlands; [Wunn, Tina; Peute, Linda W. P.] Amsterdam UMC Locat Univ Amsterdam, Dept Med Informat, Amsterdam, Netherlands</t>
  </si>
  <si>
    <t>Sent, D (corresponding author), HU Univ Appl Sci, Res Grp Artificial Intelligence, Utrecht, Netherlands.</t>
  </si>
  <si>
    <t>danielle.sent@hu.nl</t>
  </si>
  <si>
    <t>Peute, Linda/JWO-4886-2024</t>
  </si>
  <si>
    <t>978-3-031-50484-6; 978-3-031-50485-3</t>
  </si>
  <si>
    <t>10.1007/978-3-031-50485-3_6</t>
  </si>
  <si>
    <t>BX2FG</t>
  </si>
  <si>
    <t>WOS:001259355800006</t>
  </si>
  <si>
    <t>Filipova, IA</t>
  </si>
  <si>
    <t>Filipova, I. A.</t>
  </si>
  <si>
    <t>Artificial Intelligence Strategy and consequences of its implementation for labour law</t>
  </si>
  <si>
    <t>VESTNIK OF SAINT PETERSBURG UNIVERSITY-LAW-VESTNIK SANKT-PETERBURGSKOGO UNIVERSITETA-PRAVO</t>
  </si>
  <si>
    <t>artificial intelligence; legal regulation; wage labour; worker; employer; profession; robot; workforce; data mining</t>
  </si>
  <si>
    <t>The rapid development of artificial intelligence in recent years has necessitated the legal regulation of new phenomena related to the introduction of artificial intelligence in practice. Scientists and politicians raised questions about the development of artificial intelligence, and about the formulation of principles and basic conditions for minimizing risks of developing artificial intelligence in the future. This discussion led to the adoption of Artificial Intelligence Strategies in countries that are leaders in economic development and countries seeking leadership, including in Russia. The Russian Artificial Intelligence Strategy for the period up to 2030 indicates development goals and the need to carry out a set of coordinated actions, including in the field of legal regulations. This Strategy involves major changes that will affect the production and services sectors, which will inevitably affect the organization of wage labor. This article presents an analysis of the provisions of this Strategy and similar foreign acts, which allows identification of key factors that can affect the transformation of the world of work and compel changes in legal regulation. This study was carried out using the following methods: formal-logical, comparative-legal methods of analysis and synthesis, methods of legal modelling and legal forecasting. The results of the study provide insights into the increasing impact of artificial intelligence technologies on the work environment, on the content of labor relations, and about the need to revise some norms of labor law to adapt it to changing reality.</t>
  </si>
  <si>
    <t>[Filipova, I. A.] Natl Res Lobachevsky State Univ Nizhny Novgorod, 23 Pr Gagarina, Nizhnii Novgorod 603022, Russia</t>
  </si>
  <si>
    <t>Lobachevsky State University of Nizhni Novgorod</t>
  </si>
  <si>
    <t>Filipova, IA (corresponding author), Natl Res Lobachevsky State Univ Nizhny Novgorod, 23 Pr Gagarina, Nizhnii Novgorod 603022, Russia.</t>
  </si>
  <si>
    <t>irinafilipova@yandex.ru</t>
  </si>
  <si>
    <t>Russian Foundation for Basic Research [19-011-00320]</t>
  </si>
  <si>
    <t>The reported study was funded by the Russian Foundation for Basic Research according to the research project No. 19-011-00320.</t>
  </si>
  <si>
    <t>ST PETERSBURG UNIV PRESS</t>
  </si>
  <si>
    <t>ST PETERSBURG</t>
  </si>
  <si>
    <t>6TH LINE VO, 11, ST PETERSBURG, 199004, RUSSIA</t>
  </si>
  <si>
    <t>2074-1243</t>
  </si>
  <si>
    <t>2587-5833</t>
  </si>
  <si>
    <t>VESTN ST PETER U-LAW</t>
  </si>
  <si>
    <t>Vestn. St. Petersb. Univ.-Law</t>
  </si>
  <si>
    <t>10.21638/spbu14.2022.101</t>
  </si>
  <si>
    <t>1V6PY</t>
  </si>
  <si>
    <t>WOS:000806210500001</t>
  </si>
  <si>
    <t>Bagherpour, R; Bagherpour, G; Mohammadi, P</t>
  </si>
  <si>
    <t>Bagherpour, Reza; Bagherpour, Ghasem; Mohammadi, Parvin</t>
  </si>
  <si>
    <t>Application of Artificial Intelligence in Tissue Engineering</t>
  </si>
  <si>
    <t>TISSUE ENGINEERING PART B-REVIEWS</t>
  </si>
  <si>
    <t>artificial intelligence; tissue engineering; machine learning; deep learning</t>
  </si>
  <si>
    <t>BONE REGENERATION; IMAGES</t>
  </si>
  <si>
    <t>Tissue engineering, a crucial approach in medical research and clinical applications, aims to regenerate damaged organs. By combining stem cells, biochemical factors, and biomaterials, it encounters challenges in designing complex 3D structures. Artificial intelligence (AI) enhances tissue engineering through computational modeling, biomaterial design, cell culture optimization, and personalized medicine. This review explores AI applications in organ tissue engineering (bone, heart, nerve, skin, cartilage), employing various machine learning (ML) algorithms for data analysis, prediction, and optimization. Each section discusses common ML algorithms and specific applications, emphasizing the potential and challenges in advancing regenerative therapies. Impact Statement This comprehensive review underscores the synergy between tissue engineering and AI, highlighting the transformative impact on regenerative therapies. By elucidating AI applications in organ-specific tissue engineering, the review emphasizes advancements in predicting scaffold performance, assessing cellular responses, and optimizing biomaterials. The integration of ML algorithms showcases promising outcomes, but challenges such as data quality, model interpretability, and standardization must be addressed for widespread implementation. The convergence of tissue engineering and AI holds immense potential for personalized and effective regenerative treatments, paving the way for future breakthroughs in medical science.</t>
  </si>
  <si>
    <t>[Bagherpour, Reza] Iran Univ Sci &amp; Technol, Dept Comp Engn, Tehran, Iran; [Bagherpour, Ghasem] Zanjan Univ Med Sci, Zanjan Pharmaceut Biotechnol Res Ctr, Zanjan, Iran; [Bagherpour, Ghasem; Mohammadi, Parvin] Zanjan Univ Med Sci, Fac Med, Dept Med Biotechnol, Zanjan, Iran; [Mohammadi, Parvin] Kermanshah Univ Med Sci, Regenerat Med Res Ctr, Kermanshah, Iran; [Bagherpour, Ghasem] Zanjan Univ Med Sci, Dept Med Biotechnol, Dr Sobouti Blvd, Zanjan 4513956184, Iran</t>
  </si>
  <si>
    <t>Iran University Science &amp; Technology; Kermanshah University of Medical Sciences</t>
  </si>
  <si>
    <t>Bagherpour, G (corresponding author), Zanjan Univ Med Sci, Dept Med Biotechnol, Dr Sobouti Blvd, Zanjan 4513956184, Iran.</t>
  </si>
  <si>
    <t>bagherpour.4631@gmail.com</t>
  </si>
  <si>
    <t>Bagherpour, Ghasem/ABC-1202-2020</t>
  </si>
  <si>
    <t>Bagherpour, Reza/0000-0003-1374-3439</t>
  </si>
  <si>
    <t>Medical Biotechnology Department of Zanjan University of Medical Sciences</t>
  </si>
  <si>
    <t>The authors appreciate the assistance of the faculty members of the Medical Biotechnology Department of Zanjan University of Medical Sciences.</t>
  </si>
  <si>
    <t>1937-3368</t>
  </si>
  <si>
    <t>1937-3376</t>
  </si>
  <si>
    <t>TISSUE ENG PART B-RE</t>
  </si>
  <si>
    <t>Tissue Eng. Part B-Rev.</t>
  </si>
  <si>
    <t>2024 APR 22</t>
  </si>
  <si>
    <t>10.1089/ten.teb.2024.0022</t>
  </si>
  <si>
    <t>Cell &amp; Tissue Engineering; Biotechnology &amp; Applied Microbiology; Cell Biology; Engineering, Biomedical; Materials Science, Biomaterials</t>
  </si>
  <si>
    <t>Cell Biology; Biotechnology &amp; Applied Microbiology; Engineering; Materials Science</t>
  </si>
  <si>
    <t>OH8K9</t>
  </si>
  <si>
    <t>WOS:001206471700001</t>
  </si>
  <si>
    <t>Abadir, AP; Ali, MF; Karnes, W; Samarasena, JB</t>
  </si>
  <si>
    <t>Abadir, Alexander P.; Ali, Mohammed Fahad; Karnes, William; Samarasena, Jason B.</t>
  </si>
  <si>
    <t>Artificial Intelligence in Gastrointestinal Endoscopy</t>
  </si>
  <si>
    <t>CLINICAL ENDOSCOPY</t>
  </si>
  <si>
    <t>Artificial intelligence; Colonoscopy; Computer assisted diagnosis; Early detection of cancer; Endoscopy</t>
  </si>
  <si>
    <t>COMPUTER-AIDED DIAGNOSIS; HELICOBACTER-PYLORI INFECTION; CONVOLUTIONAL NEURAL-NETWORKS; COLORECTAL LESIONS; CAPSULE ENDOSCOPY; ADENOMA DETECTION; DEEP; CLASSIFICATION; POLYPS; SYSTEM</t>
  </si>
  <si>
    <t>Artificial intelligence (AI) is rapidly integrating into modern technology and clinical practice. Although in its nascency, AI has become a hot topic of investigation for applications in clinical practice. Multiple fields of medicine have embraced the possibility of a future with AI assisting in diagnosis and pathology applications. In the field of gastroenterology, AI has been studied as a tool to assist in risk stratification, diagnosis, and pathologic identification. Specifically, AI has become of great interest in endoscopy as a technology with substantial potential to revolutionize the practice of a modern gastroenterologist. From cancer screening to automated report generation, AI has touched upon all aspects of modern endoscopy. Here, we review landmark AI developments in endoscopy. Starting with broad definitions to develop understanding, we will summarize the current state of AI research and its potential applications. With innovation developing rapidly, this article touches upon the remarkable advances in AI-assisted endoscopy since its initial evaluation at the turn of the millennium, and the potential impact these AI models may have on the modern clinical practice. As with any discussion of new technology, its limitations must also be understood to apply clinical AI tools successfully.</t>
  </si>
  <si>
    <t>[Abadir, Alexander P.; Ali, Mohammed Fahad] Univ Calif Irvine, Dept Med, Orange, CA 92668 USA; [Karnes, William; Samarasena, Jason B.] Univ Calif Irvine, Div Gastroenterol &amp; Hepatol, Dept Med, HH Chao Comprehens Digest Dis Ctr, 333 City Blvd West,Suite 400, Orange, CA 92668 USA</t>
  </si>
  <si>
    <t>University of California System; University of California Irvine; University of California System; University of California Irvine</t>
  </si>
  <si>
    <t>Samarasena, JB (corresponding author), Univ Calif Irvine, Div Gastroenterol &amp; Hepatol, Dept Med, HH Chao Comprehens Digest Dis Ctr, 333 City Blvd West,Suite 400, Orange, CA 92668 USA.</t>
  </si>
  <si>
    <t>jsamaras@uci.edu</t>
  </si>
  <si>
    <t>Karnes, William/0000-0002-6225-9080</t>
  </si>
  <si>
    <t>KOREAN SOC GASTROINTESTINAL ENDOSCOPY</t>
  </si>
  <si>
    <t>2003 LG PALACE, 165-8 DONGGYO-DONG, MAPO-GU, SEOUL, 121-754, SOUTH KOREA</t>
  </si>
  <si>
    <t>2234-2400</t>
  </si>
  <si>
    <t>2234-2443</t>
  </si>
  <si>
    <t>CLIN ENDOSC</t>
  </si>
  <si>
    <t>Clin. Endosc.</t>
  </si>
  <si>
    <t>10.5946/ce.2020.038</t>
  </si>
  <si>
    <t>KY6KR</t>
  </si>
  <si>
    <t>WOS:000522682300007</t>
  </si>
  <si>
    <t>Gimeno-García, AZ; Hernández-Pérez, A; Nicolás-Pérez, D; Hernández-Guerra, M</t>
  </si>
  <si>
    <t>Gimeno-Garcia, Antonio Z.; Hernandez-Perez, Anjara; Nicolas-Perez, David; Hernandez-Guerra, Manuel</t>
  </si>
  <si>
    <t>Artificial Intelligence Applied to Colonoscopy: Is It Time to Take a Step Forward?</t>
  </si>
  <si>
    <t>colonoscopy; artificial intelligence; CADe; CADx</t>
  </si>
  <si>
    <t>COMPUTER-AIDED DIAGNOSIS; IMPROVING ADENOMA DETECTION; SMALL COLORECTAL POLYPS; ENDOSCOPIC DIAGNOSIS; GASTROINTESTINAL ENDOSCOPY; SYSTEM; CLASSIFICATION; NEOPLASIA; LESIONS; HISTOLOGY</t>
  </si>
  <si>
    <t>Simple Summary In recent years, there has been an exponential rise in artificial intelligence-based technology. Artificial intelligence has been applied to several medical disciplines, such as gastroenterology. In the field of endoscopy, a wide variety of applications for artificial intelligence algorithms have been developed or are in a process of improvement. Computer-aided polyp detection and characterization are two of the most studied applications. In addition, there are several reports of other potential applications, such as the assessment of bowel preparation quality, while another future prospect is the prediction of cancer invasion depth. However, certain concerns remain, such as the universal use of this technology in clinical practice, impact on the incidence of interval colorectal cancer, cost-effectiveness, workload and patient burden. Growing evidence indicates that artificial intelligence (AI) applied to medicine is here to stay. In gastroenterology, AI computer vision applications have been stated as a research priority. The two main AI system categories are computer-aided polyp detection (CADe) and computer-assisted diagnosis (CADx). However, other fields of expansion are those related to colonoscopy quality, such as methods to objectively assess colon cleansing during the colonoscopy, as well as devices to automatically predict and improve bowel cleansing before the examination, predict deep submucosal invasion, obtain a reliable measurement of colorectal polyps and accurately locate colorectal lesions in the colon. Although growing evidence indicates that AI systems could improve some of these quality metrics, there are concerns regarding cost-effectiveness, and large and multicentric randomized studies with strong outcomes, such as post-colonoscopy colorectal cancer incidence and mortality, are lacking. The integration of all these tasks into one quality-improvement device could facilitate the incorporation of AI systems in clinical practice. In this manuscript, the current status of the role of AI in colonoscopy is reviewed, as well as its current applications, drawbacks and areas for improvement.</t>
  </si>
  <si>
    <t>[Gimeno-Garcia, Antonio Z.; Hernandez-Perez, Anjara; Nicolas-Perez, David; Hernandez-Guerra, Manuel] Hosp Univ Canarias, Gastroenterol Dept, San Cristobal De La Lagun 38200, Tenerife, Spain; [Gimeno-Garcia, Antonio Z.; Hernandez-Perez, Anjara; Nicolas-Perez, David; Hernandez-Guerra, Manuel] Univ La Laguna, Inst Univ Tecnol Biomed ITB, San Cristobal De La Lagun 38200, Tenerife, Spain; [Gimeno-Garcia, Antonio Z.; Hernandez-Perez, Anjara; Nicolas-Perez, David; Hernandez-Guerra, Manuel] Univ La Laguna, Internal Med Dept, Ctr Invest Biomed Canarias CIBICAN, San Cristobal De La Lagun 38200, Tenerife, Spain</t>
  </si>
  <si>
    <t>Universidad de la Laguna; Universidad de la Laguna; Universidad de la Laguna</t>
  </si>
  <si>
    <t>Gimeno-García, AZ (corresponding author), Hosp Univ Canarias, Gastroenterol Dept, San Cristobal De La Lagun 38200, Tenerife, Spain.;Gimeno-García, AZ (corresponding author), Univ La Laguna, Inst Univ Tecnol Biomed ITB, San Cristobal De La Lagun 38200, Tenerife, Spain.;Gimeno-García, AZ (corresponding author), Univ La Laguna, Internal Med Dept, Ctr Invest Biomed Canarias CIBICAN, San Cristobal De La Lagun 38200, Tenerife, Spain.</t>
  </si>
  <si>
    <t>agimenog@ull.edu.es</t>
  </si>
  <si>
    <t>Hernandez-Guerra, Manuel/AFB-8988-2022</t>
  </si>
  <si>
    <t>Hernandez-Guerra, Manuel/0000-0002-3478-9981; Hdez Perez, M. Anjara/0000-0003-2548-6767</t>
  </si>
  <si>
    <t>10.3390/cancers15082193</t>
  </si>
  <si>
    <t>E7IR9</t>
  </si>
  <si>
    <t>WOS:000977243200001</t>
  </si>
  <si>
    <t>Voitovych, P; Bondarenko, K; Ennan, R; Havlovska, A; Shliienko, V</t>
  </si>
  <si>
    <t>Voitovych, Pavlo; Bondarenko, Kateryna; Ennan, Ruslan; Havlovska, Alina; Shliienko, Vladyslav</t>
  </si>
  <si>
    <t>Objects of intellectual property rights created by artificial intelligence: international legal regulation</t>
  </si>
  <si>
    <t>CUESTIONES POLITICAS</t>
  </si>
  <si>
    <t>artificial intelligence; objects of intellectual property law; international legal regulation; robotics; Berne Convention</t>
  </si>
  <si>
    <t>In modern conditions of development of public relations, the creation of objects of intellectual property rights by artificial intelligence is becoming more widespread. With this in mind, it is important to analyse the international legal experience of regulating the use of artificial intelligence as the author of intellectual property, to further borrow it for domestic laws, as well as to pay attention to problematic aspects of such regulation and make proposals to resolve inconsistencies. The study clarifies the international legal regulation of intellectual property rights created by artificial intelligence, as well as analyses the problematic issues of regulation of artificial intelligence by international law and the features of such regulation in Ukraine and presents positions on the development of artificial intelligence systems and prospects, as well as the prospects for its impact on world society.</t>
  </si>
  <si>
    <t>[Voitovych, Pavlo; Shliienko, Vladyslav] Natl Univ Odesa Law Acad, Dept Int &amp; European Law, Odessa, Odessa Oblast, Ukraine; [Bondarenko, Kateryna] Natl Univ Odesa Maritime Acad, Common Legal Disciplines Dept, Odessa, Odessa Oblast, Ukraine; [Ennan, Ruslan] Natl Univ Odesa Law Acad, Dept Intellectual Property Law &amp; Corp Law, Odessa, Odessa Oblast, Ukraine; [Havlovska, Alina] Kherson State Univ, Dept Branch Law, Kherson, Kherson Oblast, Ukraine</t>
  </si>
  <si>
    <t>Ministry of Education &amp; Science of Ukraine; National University Odesa Law Academy; Ministry of Education &amp; Science of Ukraine; National University Odessa Maritime Academy; Ministry of Education &amp; Science of Ukraine; National University Odesa Law Academy; Ministry of Education &amp; Science of Ukraine; Kherson State University</t>
  </si>
  <si>
    <t>Voitovych, P (corresponding author), Natl Univ Odesa Law Acad, Dept Int &amp; European Law, Odessa, Odessa Oblast, Ukraine.</t>
  </si>
  <si>
    <t>pvoitovich@ukr.net; bondarenkokate@gmail.com; ennan.ruslan@gmail.com; Lyolikalina@gmail.com; Ladimir20152@gmail.com</t>
  </si>
  <si>
    <t>; Shliienko, Vladyslav/E-3971-2019</t>
  </si>
  <si>
    <t>Bondarenko, Kateryna/0000-0002-5799-8102; Shliienko, Vladyslav/0000-0003-2519-0157</t>
  </si>
  <si>
    <t>UNIV ZULIA, FAC CIENCIAS JURIDICAS &amp; POLITICAS</t>
  </si>
  <si>
    <t>AV 4 BELLAVISTA CON CALLE 74, EDIF FUNDALUZ, PISOS 10 &amp; 4, MARACAIBO, 4002, VENEZUELA</t>
  </si>
  <si>
    <t>0798-1406</t>
  </si>
  <si>
    <t>2542-3185</t>
  </si>
  <si>
    <t>CUEST POLITICAS</t>
  </si>
  <si>
    <t>Cuest. Politicas</t>
  </si>
  <si>
    <t>10.46398/cuestpol.3968.32</t>
  </si>
  <si>
    <t>QU5KU</t>
  </si>
  <si>
    <t>WOS:000627320500033</t>
  </si>
  <si>
    <t>Uzun, M</t>
  </si>
  <si>
    <t>Bilgin, MH; Danis, H; Demir, E; Tony-Okeke, U</t>
  </si>
  <si>
    <t>Uzun, Murat</t>
  </si>
  <si>
    <t>Artificial Intelligence and State Economic Security</t>
  </si>
  <si>
    <t>EURASIAN ECONOMIC PERSPECTIVES</t>
  </si>
  <si>
    <t>Eurasian Studies in Business and Economics</t>
  </si>
  <si>
    <t>28th Eurasia-Business-and-Economics-Society (EBES) Conference</t>
  </si>
  <si>
    <t>MAY 29-31, 2019</t>
  </si>
  <si>
    <t>Coventry Univ, Ctr Financial &amp; Corporate Integr, Coventry, ENGLAND</t>
  </si>
  <si>
    <t>Eurasia Business &amp; Econ Soc,Coventry Business Sch Trading Floor</t>
  </si>
  <si>
    <t>Coventry Univ, Ctr Financial &amp; Corporate Integr</t>
  </si>
  <si>
    <t>Artificial intelligence; National security; State economic security</t>
  </si>
  <si>
    <t>Artificial intelligence (AI) is one of the greatest contemporary threats to our planet's social and economic well-being, accompanied by tremendous advances in education, health, economic growth, transportation, environmental sustainability and energy etc. Hence, there is an urgent need to control and govern AI. In this context, the purpose of this article is to present the risks of AI race and its effects on the state economic security of countries. To emphasize the importance of the topic at the beginning, this article presents consequences of AI as a great game changer from government politics, international political economy, and international security point of view. Next, difficulties like security dilemma and potential shifts and volatility in national sovereignty and economic power by causing oligopolistic global market structure in the world are shown. This article describes also a solution in order to design global norms, international institutions, and policies ensuring the beneficial use of AI in terms of having strategic stability between great powers, international economic security, and fair redistribution of economic power on the domestic and international level. In this context, due to growing awareness of the negative impact of AI among states, the necessity of the AI to be defined as a global public good is emphasized which may be pivotal for reducing existential risks of AI.</t>
  </si>
  <si>
    <t>[Uzun, Murat] Turkish Natl Police Acad, Inst Secur Sci, Ankara, Turkey</t>
  </si>
  <si>
    <t>Turkish National Police Academy</t>
  </si>
  <si>
    <t>Uzun, M (corresponding author), Turkish Natl Police Acad, Inst Secur Sci, Ankara, Turkey.</t>
  </si>
  <si>
    <t>murat.uzun22@pa.edu.tr</t>
  </si>
  <si>
    <t>2364-5067</t>
  </si>
  <si>
    <t>978-3-030-48531-3; 978-3-030-48530-6</t>
  </si>
  <si>
    <t>EURAS STUD BUS ECON</t>
  </si>
  <si>
    <t>10.1007/978-3-030-48531-3_13</t>
  </si>
  <si>
    <t>Business; Business, Finance; Economics; Management</t>
  </si>
  <si>
    <t>BT7UE</t>
  </si>
  <si>
    <t>WOS:000850952800013</t>
  </si>
  <si>
    <t>Zhou, T; Wu, XL; Wang, YD; Wang, YL; Zhang, SA</t>
  </si>
  <si>
    <t>Zhou, Tong; Wu, Xingliang; Wang, Yudong; Wang, Yilei; Zhang, Shunan</t>
  </si>
  <si>
    <t>Application of artificial intelligence in physical education: a systematic review</t>
  </si>
  <si>
    <t>Artificial Intelligence; Physical education; Empirical studies; Systematic review</t>
  </si>
  <si>
    <t>CHALLENGES</t>
  </si>
  <si>
    <t>The application of artificial intelligence in physical education (AIPE) has provided new ways to improve learning and teaching activities in physical classes. However, literature reviews that provide a systematic review and analysis of AIPE are limited. To address this gap, this study provided an overview of AIPE-related empirical research. Specifically, it examined the general state of AIPE, algorithms used for AIPE, and the impact and challenges of AIPE. Following the Preferred Reporting Items for Systematic Reviews and Meta-Analyses,130 empirical studies related to AIPE were included in the final synthesis. The findings of this study demonstrated that numerous studies have explored the use of AI technologies to enhance physical education classes and training processes. These technologies have been widely employed in athletic performance analysis, health monitoring, and personalized training. AIPE offered great potential for providing personalized instruction, real-time feedback and assessment, and diverse learning environments. However, the use of AI technology poses challenges, including technical reliability and accuracy, privacy and security issues, as well as technical training and teacher support. These findings provide insights for future research on AIPE.</t>
  </si>
  <si>
    <t>[Zhou, Tong] Korea Univ, Coll Educ, Dept Phys Educ, Seoul, South Korea; [Wu, Xingliang] Shandong Normal Univ, Dept Phys Educ, Jinan, Peoples R China; [Wang, Yudong] Shanxi Univ, Dept Phys Educ, Taiyuan, Peoples R China; [Wang, Yilei] Taiyuan Univ Sci &amp; Technol, Coll Comp Sci &amp; Technol, Taiyuan, Peoples R China; [Zhang, Shunan] Sungkyunkwan Univ, Dept Interact Sci, Seoul, South Korea; [Zhang, Shunan] Sungkyunkwan Univ, Dept Human Artificial Intelligence Interact, Seoul, South Korea</t>
  </si>
  <si>
    <t>Korea University; Shandong Normal University; Shanxi University; Taiyuan University of Science &amp; Technology; Sungkyunkwan University (SKKU); Sungkyunkwan University (SKKU)</t>
  </si>
  <si>
    <t>Zhang, SA (corresponding author), Sungkyunkwan Univ, Dept Interact Sci, Seoul, South Korea.;Zhang, SA (corresponding author), Sungkyunkwan Univ, Dept Human Artificial Intelligence Interact, Seoul, South Korea.</t>
  </si>
  <si>
    <t>970205@g.skku.edu</t>
  </si>
  <si>
    <t>ZHOU, TONG/HTO-4497-2023; Wu, XingLiang/LYP-0971-2024; Wang, Yudong/F-7461-2019; Yilei, Wang/ITV-1206-2023</t>
  </si>
  <si>
    <t>ZHANG, Shunan/0000-0003-3875-1849</t>
  </si>
  <si>
    <t>10.1007/s10639-023-12128-2</t>
  </si>
  <si>
    <t>QP8U6</t>
  </si>
  <si>
    <t>WOS:001060133400002</t>
  </si>
  <si>
    <t>Moskalenko, V; Kharchenko, V; Moskalenko, A; Kuzikov, B</t>
  </si>
  <si>
    <t>Moskalenko, Viacheslav; Kharchenko, Vyacheslav; Moskalenko, Alona; Kuzikov, Borys</t>
  </si>
  <si>
    <t>Resilience and Resilient Systems of Artificial Intelligence: Taxonomy, Models and Methods</t>
  </si>
  <si>
    <t>ALGORITHMS</t>
  </si>
  <si>
    <t>artificial intelligence system; resilience; robustness; fault tolerance; graceful degradation; domain-adaptation; meta-learning; adversarial attack; fault injection; concept drift; resilience assessment</t>
  </si>
  <si>
    <t>DEEP NEURAL-NETWORKS; ADVERSARIAL ATTACKS; CONCEPT DRIFT; FAULT; TOLERANCE</t>
  </si>
  <si>
    <t>Artificial intelligence systems are increasingly being used in industrial applications, security and military contexts, disaster response complexes, policing and justice practices, finance, and healthcare systems. However, disruptions to these systems can have negative impacts on health, mortality, human rights, and asset values. The protection of such systems from various types of destructive influences is thus a relevant area of research. The vast majority of previously published works are aimed at reducing vulnerability to certain types of disturbances or implementing certain resilience properties. At the same time, the authors either do not consider the concept of resilience as such, or their understanding varies greatly. The aim of this study is to present a systematic approach to analyzing the resilience of artificial intelligence systems, along with an analysis of relevant scientific publications. Our methodology involves the formation of a set of resilience factors, organizing and defining taxonomic and ontological relationships for resilience factors of artificial intelligence systems, and analyzing relevant resilience solutions and challenges. This study analyzes the sources of threats and methods to ensure each resilience properties for artificial intelligence systems. As a result, the potential to create a resilient artificial intelligence system by configuring the architecture and learning scenarios is confirmed. The results can serve as a roadmap for establishing technical requirements for forthcoming artificial intelligence systems, as well as a framework for assessing the resilience of already developed artificial intelligence systems.</t>
  </si>
  <si>
    <t>[Moskalenko, Viacheslav; Moskalenko, Alona; Kuzikov, Borys] Sumy State Univ, Dept Comp Sci, 2 Mykola Sumtsova St, UA-40007 Sumy, Ukraine; [Kharchenko, Vyacheslav] Natl Aerosp Univ KhAI, Dept Comp Syst Networks &amp; Cybersecur, 17 Chkalov Str, UA-61070 Kharkiv, Ukraine</t>
  </si>
  <si>
    <t>Ministry of Education &amp; Science of Ukraine; Sumy State University; Ministry of Education &amp; Science of Ukraine; National Aerospace University Kharkiv Aviation Institute</t>
  </si>
  <si>
    <t>Moskalenko, V (corresponding author), Sumy State Univ, Dept Comp Sci, 2 Mykola Sumtsova St, UA-40007 Sumy, Ukraine.;Kharchenko, V (corresponding author), Natl Aerosp Univ KhAI, Dept Comp Syst Networks &amp; Cybersecur, 17 Chkalov Str, UA-61070 Kharkiv, Ukraine.</t>
  </si>
  <si>
    <t>v.moskalenko@cs.sumdu.edu.ua; v.kharchenko@csn.khai.edu</t>
  </si>
  <si>
    <t>Moskalenko, Alona/JXY-4336-2024; Moskalenko, Alona Sergiyvna/C-1330-2017; Moskalenko, Viacheslav/GRY-6173-2022; Kharchenko, Vyacheslav/A-7719-2017; Kuzikov, Borys/AAS-7954-2020</t>
  </si>
  <si>
    <t>Moskalenko, Alona Sergiyvna/0000-0003-3443-3990; Moskalenko, Viacheslav/0000-0001-6275-9803; Kharchenko, Vyacheslav/0000-0001-5352-077X; Kuzikov, Borys/0000-0002-9511-5665</t>
  </si>
  <si>
    <t>Ministry of Education and Science of Ukraine [0122U000782, 0122U001065]</t>
  </si>
  <si>
    <t>Ministry of Education and Science of Ukraine</t>
  </si>
  <si>
    <t>The authors appreciate the scientific society of the consortium and, in particular, the staff of the Department of Computer Systems, Networks and Cybersecurity (DCSNCS) at the National Aerospace University KhAI and the Laboratory of Intellectual Systems (LIS) of the Computer Science Department at the Sumy State University for invaluable inspiration, hard work, and creative analysis during the preparation of this paper. In addition, the authors thanks Ministry of Education and Science of Ukraine for the support to the LIS in the framework of research project No. 0122U000782 Information technology for providing resilience of artificial intelligence systems to protect cyber-physical systems (2022-2024) and the support of project No. 0122U001065 'Dependability assurance methods and technologies for intellectual industrial IoT systems (2022-2023) implemented by the DCSNCS.</t>
  </si>
  <si>
    <t>1999-4893</t>
  </si>
  <si>
    <t>Algorithms</t>
  </si>
  <si>
    <t>10.3390/a16030165</t>
  </si>
  <si>
    <t>A7MP2</t>
  </si>
  <si>
    <t>WOS:000956925700001</t>
  </si>
  <si>
    <t>Li, ZY; Ding, YY; Lei, YX; Oliveira, FJMS; Neto, MJP; Kong, MSM</t>
  </si>
  <si>
    <t>Li, Zhenyu; Ding, Yiyuan; Lei, Yaxiong; Oliveira, Fernando Jorge Matias Sanches; Neto, Maria Joao Pereira; Kong, Mario Say Ming</t>
  </si>
  <si>
    <t>Integrating artificial intelligence in industrial design: evolution, applications, and future prospects</t>
  </si>
  <si>
    <t>INTERNATIONAL JOURNAL OF ARTS AND TECHNOLOGY</t>
  </si>
  <si>
    <t>artificial intelligence; AI; industrial design; distributed artificial intelligence; DAI; Industry 4.0; Industry 5.0; explainable AI; XAI</t>
  </si>
  <si>
    <t>NEURAL-NETWORKS; BIG DATA; SYSTEMS; AI; TECHNOLOGY; ALGORITHMS; INTERNET; SERVICE; THINGS</t>
  </si>
  <si>
    <t>The article 'AI in industry design' researches through a scholarly dimension the complex interrelation of artificial intelligence (AI) with the field of industrial design. The paper will seek to discuss the historical trajectory and contemporary application of AI in design paradigm, discussing these paradigms using an analytical approach that is based on the systematic review of available literature. Special emphasis is paid to the transforming roles of AI in material selection and their implication in paradigmatic shifts from Industry 4.0 to Industry 5.0. The research further underscores the growth in importance of distributed artificial intelligence (DAI) and, in this direction, considers more transparency through explainable AI (XAI). Conclusively, it can be said that the research underlines the seminal influence of AI, which exerts in revolutionising methodologies in design, thereby bringing out the indelible impact it shall leave on the future course of this discipline.</t>
  </si>
  <si>
    <t>[Li, Zhenyu] Jiangnan Univ, Sch Design, Wuxi, Peoples R China; [Ding, Yiyuan; Neto, Maria Joao Pereira] Univ Lisbon, Fac Architecture, Dept Design, Lisbon, Portugal; [Lei, Yaxiong] Univ St Andrews, Sch Comp Sci, St Andrews KY16 9SX, Scotland; [Oliveira, Fernando Jorge Matias Sanches] IADE UE Fac Design, Tecnol &amp; Comunicacao, Lisbon, Portugal; [Neto, Maria Joao Pereira; Kong, Mario Say Ming] Univ Nova Lisboa, CHAM Ctr Humanidades, FCSH, Lisbon, Portugal; [Kong, Mario Say Ming] Univ Lisbon, Fac Architecture, Dept Architecture, Lisbon, Portugal</t>
  </si>
  <si>
    <t>Jiangnan University; Universidade de Lisboa; University of St Andrews; Universidade Nova de Lisboa; Universidade de Lisboa</t>
  </si>
  <si>
    <t>Ding, YY (corresponding author), Univ Lisbon, Fac Architecture, Dept Design, Lisbon, Portugal.</t>
  </si>
  <si>
    <t>8201609133@jiangnan.edu.cn; yiyuan.d@ueh.edu.vn; yl212@st-andrews.ac.uk; fo.iade.sos@gmail.com; mariajoaopereiraneto@gmail.com; mskong@fa.ulisboa.pt</t>
  </si>
  <si>
    <t>wang, nan/KHW-4897-2024</t>
  </si>
  <si>
    <t>China National Arts Fund [2024-A-04- 110-503]</t>
  </si>
  <si>
    <t>China National Arts Fund</t>
  </si>
  <si>
    <t>This research was funded by the China National Arts Fund, project number 2024-A-04- 110-503.</t>
  </si>
  <si>
    <t>INDERSCIENCE ENTERPRISES LTD</t>
  </si>
  <si>
    <t>GENEVA</t>
  </si>
  <si>
    <t>WORLD TRADE CENTER BLDG, 29 ROUTE DE PRE-BOIS, CASE POSTALE 856, CH-1215 GENEVA, SWITZERLAND</t>
  </si>
  <si>
    <t>1754-8853</t>
  </si>
  <si>
    <t>1754-8861</t>
  </si>
  <si>
    <t>INT J ARTS TECHNOL</t>
  </si>
  <si>
    <t>Int. J. Arts Technol.</t>
  </si>
  <si>
    <t>10.1504/IJART.2024.143124</t>
  </si>
  <si>
    <t>O3G6G</t>
  </si>
  <si>
    <t>WOS:001370058200004</t>
  </si>
  <si>
    <t>Gautier, T; Ziegler, LB; Gerber, MS; Campos-Náñez, E; Patek, SD</t>
  </si>
  <si>
    <t>Gautier, Thibault; Ziegler, Leah B.; Gerber, Matthew S.; Campos-Nanez, Enrique; Patek, Stephen D.</t>
  </si>
  <si>
    <t>Artificial intelligence and diabetes technology: A review</t>
  </si>
  <si>
    <t>METABOLISM-CLINICAL AND EXPERIMENTAL</t>
  </si>
  <si>
    <t>Artificial intelligence; Automation; Diabetes; Diagnosis; Machine learning; Prognosis</t>
  </si>
  <si>
    <t>NEURAL-NETWORK; RISK-FACTORS; MACHINE; MELLITUS; PREDICTION; ADULTS; CLASSIFICATION; COMPLICATIONS; CLASSIFIERS; DIAGNOSIS</t>
  </si>
  <si>
    <t>Artificial intelligence (AI) is widely discussed in the popular literature and is portrayed as impacting many as-pects of human life, both in and out of the workplace. The potential for revolutionizing healthcare is significant because of the availability of increasingly powerful computational platforms and methods, along with increas-ingly informative sources of patient data, both in and out of clinical settings. This review aims to provide a realistic assessment of the potential for AI in understanding and managing diabetes, accounting for the state of the art in the methodology and medical devices that collect data, process data, and act accordingly. Acknowledging that many conflicting definitions of AI have been put forth, this article attempts to characterize the main elements of the field as they relate to diabetes, identifying the main perspectives and methods that can (i) affect basic un-derstanding of the disease, (ii) affect understanding of risk factors (genetic, clinical, and behavioral) of diabetes development, (iii) improve diagnosis, (iv) improve understanding of the arc of disease (progression and per-sonal/societal impact), and finally (v) improve treatment. (c) 2021 Elsevier Inc. All rights reserved.</t>
  </si>
  <si>
    <t>[Gautier, Thibault; Ziegler, Leah B.; Gerber, Matthew S.; Campos-Nanez, Enrique; Patek, Stephen D.] Dexcom TypeZero, 946 Grady Ave,Suite 203, Charlottesville, VA 22903 USA</t>
  </si>
  <si>
    <t>Gautier, T (corresponding author), Dexcom TypeZero, 946 Grady Ave,Suite 203, Charlottesville, VA 22903 USA.</t>
  </si>
  <si>
    <t>thibault.gautier@dexcom.com</t>
  </si>
  <si>
    <t>Campos-Nanez, Enrique/A-8663-2009</t>
  </si>
  <si>
    <t>0026-0495</t>
  </si>
  <si>
    <t>1532-8600</t>
  </si>
  <si>
    <t>METABOLISM</t>
  </si>
  <si>
    <t>Metab.-Clin. Exp.</t>
  </si>
  <si>
    <t>10.1016/j.metabol.2021.154872</t>
  </si>
  <si>
    <t>WC1NS</t>
  </si>
  <si>
    <t>WOS:000704031400005</t>
  </si>
  <si>
    <t>Sardar, P; Abbott, JD; Kundu, A; Aronow, HD; Granada, JF; Giri, J</t>
  </si>
  <si>
    <t>Sardar, Partha; Abbott, J. Dawn; Kundu, Amartya; Aronow, Herbert D.; Granada, Juan F.; Giri, Jay</t>
  </si>
  <si>
    <t>Impact of Artificial Intelligence on Interventional Cardiology From Decision-Making Aid to Advanced Interventional Procedure Assistance</t>
  </si>
  <si>
    <t>JACC-CARDIOVASCULAR INTERVENTIONS</t>
  </si>
  <si>
    <t>artificial intelligence; interventional cardiology</t>
  </si>
  <si>
    <t>HEART-FAILURE; MEDICINE</t>
  </si>
  <si>
    <t>Access to big data analyzed by supercomputers using advanced mathematical algorithms (i.e., deep machine learning) has allowed for enhancement of cognitive output (i.e., visual imaging interpretation) to previously unseen levels and promises to fundamentally change the practice of medicine. This field, known as artificial intelligence (AI), is making significant progress in areas such as automated clinical decision making, medical imaging analysis, and interventional procedures, and has the potential to dramatically influence the practice of interventional cardiology. The unique nature of interventional cardiology makes it an ideal target for the development of AI-based technologies designed to improve real-time clinical decision making, streamline workflow in the catheterization laboratory, and standardize catheter-based procedures through advanced robotics. This review provides an introduction to AI by highlighting its scope, potential applications, and limitations in interventional cardiology. (C) 2019 Published by Elsevier on behalf of the American College of Cardiology Foundation.</t>
  </si>
  <si>
    <t>[Sardar, Partha; Abbott, J. Dawn; Aronow, Herbert D.] Brown Univ, Warren Alpert Med Sch, Cardiovasc Inst, Providence, RI 02912 USA; [Kundu, Amartya] Univ Massachusetts, Sch Med, Div Cardiovasc Med, Worcester, MA USA; [Granada, Juan F.] Columbia Univ, Med Ctr, Cardiovasc Res Fdn, New York, NY USA; [Giri, Jay] Univ Penn, Leonard Davis Inst Hlth Econ, Penn Cardiovasc Outcomes Qual &amp; Evaluat Res Ctr, Philadelphia, PA 19104 USA; [Giri, Jay] Univ Penn, Cardiovasc Med Div, Philadelphia, PA 19104 USA</t>
  </si>
  <si>
    <t>Brown University; University of Massachusetts System; University of Massachusetts Worcester; Cardiovascular Research Foundation (CRF); Columbia University; University of Pennsylvania; University of Pennsylvania</t>
  </si>
  <si>
    <t>Giri, J (corresponding author), Hosp Univ Penn, Cardiovasc Med Div, Gates Pavil,9th Floor,3400 Spruce St, Philadelphia, PA 19104 USA.</t>
  </si>
  <si>
    <t>giri.jay@gmail.com</t>
  </si>
  <si>
    <t>Abbott, J/AAU-4065-2021; Kundu, Amartya/KAM-2962-2024</t>
  </si>
  <si>
    <t>Amaranth Medical; Abbott Vascular; Amber Medical; Amgen; Baylis; BIO2 Medical; Bristol-Myers Squibb; Boston Scientific; Cagent Vascular; Caliber Therapeutics; Cephea; Columbia Medical; Corindus Vascular; Celyad; Freudenberg Medical; Intact Vascular; JenaValve; Keystone Heart; LimFlow Medical; LoneStar Heart; Marvel Medical; Medtronic; Meril Life Sciences; MicroVention; Motus GI; Navigate Cardiac Structures; New York University; OrbusNeich Medical; SoundBite Medical; Spectranetics; Toray Industries; Vetex Medical; Volcano (Philips); Zimmer Biomet; Recor Medical</t>
  </si>
  <si>
    <t>Amaranth Medical; Abbott Vascular(Abbott Laboratories); Amber Medical; Amgen(Amgen); Baylis; BIO2 Medical; Bristol-Myers Squibb(Bristol-Myers Squibb); Boston Scientific(Boston Scientific); Cagent Vascular; Caliber Therapeutics; Cephea; Columbia Medical; Corindus Vascular; Celyad; Freudenberg Medical; Intact Vascular; JenaValve; Keystone Heart; LimFlow Medical; LoneStar Heart; Marvel Medical; Medtronic(Medtronic); Meril Life Sciences; MicroVention; Motus GI; Navigate Cardiac Structures; New York University; OrbusNeich Medical; SoundBite Medical; Spectranetics; Toray Industries(Toray Industries, Inc.); Vetex Medical; Volcano (Philips); Zimmer Biomet; Recor Medical</t>
  </si>
  <si>
    <t>Dr. Granada has received institutional grant/research support (to Skirball Center for Innovation) from Abbott Vascular, Amaranth Medical, Amber Medical, Amgen, Baylis, BIO2 Medical, Bristol-Myers Squibb, Boston Scientific, Cagent Vascular, Caliber Therapeutics, Cephea, Columbia Medical, Corindus Vascular, Celyad, Freudenberg Medical, Intact Vascular, JenaValve, Keystone Heart, LimFlow Medical, LoneStar Heart, Marvel Medical, Medtronic, Meril Life Sciences, MicroVention, Motus GI, Navigate Cardiac Structures, New York University, OrbusNeich Medical, SoundBite Medical, Spectranetics, Toray Industries, Vetex Medical, Volcano (Philips), and Zimmer Biomet. Dr. Giri has served on an advisory board for AstraZeneca; and has received research support to the institution from Recor Medical and Abbott Vascular. All other authors have reported that they have no relationships relevant to the contents of this paper to disclose.</t>
  </si>
  <si>
    <t>1936-8798</t>
  </si>
  <si>
    <t>1876-7605</t>
  </si>
  <si>
    <t>JACC-CARDIOVASC INTE</t>
  </si>
  <si>
    <t>JACC-Cardiovasc. Interv.</t>
  </si>
  <si>
    <t>JUL 22</t>
  </si>
  <si>
    <t>10.1016/j.jcin.2019.04.048</t>
  </si>
  <si>
    <t>II8TU</t>
  </si>
  <si>
    <t>WOS:000475466100004</t>
  </si>
  <si>
    <t>Song, YG; Wang, ZQ; Song, CQ; Wang, JH; Liu, R</t>
  </si>
  <si>
    <t>Song, Yuegang; Wang, Ziqi; Song, Changqing; Wang, Jianhua; Liu, Rong</t>
  </si>
  <si>
    <t>Impact of artificial intelligence on renewable energy supply chain vulnerability: Evidence from 61 countries</t>
  </si>
  <si>
    <t>Renewable energy; Supply chain vulnerability; Artificial intelligence; Spatial spillover effect</t>
  </si>
  <si>
    <t>METHODOLOGY; INTEGRATION</t>
  </si>
  <si>
    <t>By fully leveraging the mitigating effect of artificial intelligence (AI) on renewable energy, the supply chain vulnerability is referred to as the key to realizing the supply chain's safety, stability, reliability, and the continuous development of global environmental governance. Several databases have been selected here for the assessment: the UN Comtrade database, the global industrial robotics database, and the World Bank database covering the period of 2000 to 2019. This particular study examines the effect and mechanisms of AI on renewable energy supply chain vulnerability and explores the spatial spillover effects of AI in neighboring countries. The relevant findings are threefold. Firstly, the analysis of the mechanism of action demonstrates that AI can alleviate renewable energy supply chain vulnerability through technological innovation, governance system optimization, and trade network status promotion effects. Secondly, the heterogeneity analysis reveals that AI significantly alleviates renewable energy supply chain vulnerability in middle-income countries, highvulnerability products, countries with high popularity of digital infrastructure, and countries in the initial stage of renewable energy industrial development. Thirdly, the spatial econometric results show that AI can directly alleviate domestic renewable energy supply chain vulnerability and indirectly alleviate vulnerability in neighboring countries through spatial spillover effects. This study expands the methods for identifying the impact of external environmental changes on renewable energy supply chain vulnerability. It provides an empirical reference for policymakers and professionals to maintain the security, stability, and reliability of renewable energy supply chains in the AI era.</t>
  </si>
  <si>
    <t>[Song, Yuegang; Wang, Ziqi; Song, Changqing] Henan Normal Univ, Xinxiang, Peoples R China; [Wang, Jianhua] Changshu Inst Technol, Changshu, Peoples R China; [Liu, Rong] Qingdao City Univ, Qingdao, Peoples R China</t>
  </si>
  <si>
    <t>Henan Normal University; Changshu Institute of Technology</t>
  </si>
  <si>
    <t>Wang, JH (corresponding author), Changshu Inst Technol, Changshu, Peoples R China.</t>
  </si>
  <si>
    <t>wjhsz35@163.com</t>
  </si>
  <si>
    <t>宋, 跃刚/HIR-9327-2022</t>
  </si>
  <si>
    <t>National Social Science Foundation [20BJY091]; Innovative Talents in Philosophy and Social Sciences in Universities and Colleges in Henan Province [2022-CXRC-29]; National Social Science Fund's Primary Project Research [21ZD084]; Major Programs of Philosophy and Social Science Research for Colleges and Universities in Jiangsu Province [2022SJZD065]</t>
  </si>
  <si>
    <t>National Social Science Foundation; Innovative Talents in Philosophy and Social Sciences in Universities and Colleges in Henan Province; National Social Science Fund's Primary Project Research; Major Programs of Philosophy and Social Science Research for Colleges and Universities in Jiangsu Province</t>
  </si>
  <si>
    <t>The authors gratefully acknowledge the financial support of the National Social Science Foundation (The impact of heterogeneity of regional trade in services agreements on the reconstruction of the global value chain of China's Manufacturing Industry; Project No: 20BJY091) and Innovative Talents in Philosophy and Social Sciences in Universities and Colleges in Henan Province (Project No: 2022-CXRC-29) and National Social Science Fund's Primary Project Research on the internal mechanism and realization path of the strategic linkage between urban and rural integration and the new development pattern (Project No: 21ZD084) and Major Programs of Philosophy and Social Science Research for Colleges and Universities in Jiangsu Province (Project No: 2022SJZD065).</t>
  </si>
  <si>
    <t>10.1016/j.eneco.2024.107357</t>
  </si>
  <si>
    <t>NG5A7</t>
  </si>
  <si>
    <t>WOS:001199300500001</t>
  </si>
  <si>
    <t>Silva, RAFE; Silva, AI; Sousa, MD; de Moraes, TMS</t>
  </si>
  <si>
    <t>Ferreira e Silva, Ricardo Augusto; Silva, Antonio Isidro-Filho; Sousa, Marcos de Moraes; Sayao de Moraes, Thiago Maia</t>
  </si>
  <si>
    <t>ARTIFICIAL INTELLIGENCE AND LEGAL CAREERS IN BRAZIL: A REVIEW AND PROPOSED RESEARCH AGENDA</t>
  </si>
  <si>
    <t>HUMANIDADES &amp; INOVACAO</t>
  </si>
  <si>
    <t>Artificial Intelligence; Courts; Lawtech; Judges; Lawyers</t>
  </si>
  <si>
    <t>Unlike other technological innovations in which mechanization replaced manual and routine professions, Artificial Intelligence mainly impacts qualified and strategic professions such as judges, lawyers and civil servants. The aim of this study is to map the applications of Artificial Intelligence in the Brazilian judiciary, the impact on traditional legal careers and propose a research agenda for future studies. The purpose of this work is to provoke academia, managers and legal professionals on the subject and to contribute by reducing gaps, considering that there is still little research on AI and Law in Brazil. Therefore, through a qualitative and descriptive study, a review of national and international literature was carried out, as well as a mapping of AI applications in the private legal sector and in Brazilian courts. A limitation of the study is the fact that AI technologies are recent and many are still in the developing stage. Finally, it proposes a research agenda for future studies aiming to evaluating the impacts of AI in the field of Law and the contributions to the efficiency of Brazilian justice.</t>
  </si>
  <si>
    <t>[Silva, Antonio Isidro-Filho] Univ Brasilia, PPGA UnB Programa Posgrad Adm, Brasilia, DF, Brazil; [Sousa, Marcos de Moraes; Sayao de Moraes, Thiago Maia] Univ Fed Goias, PPGA UFG Programa Posgrad Adm, Goiania, Go, Brazil; [Sousa, Marcos de Moraes] IFG Inst Fed Goiano, Goiania, Go, Brazil</t>
  </si>
  <si>
    <t>Universidade de Brasilia; Universidade Federal de Goias</t>
  </si>
  <si>
    <t>ricardounb@gmail.com; antonio.isidro.filho@gmail.com; marcos.moraes@ifgoiano.edu.br; thiagomoraes@discente.ufg.br</t>
  </si>
  <si>
    <t>Isidro, Antonio/GVU-0588-2022; Sousa, Marcos/AAE-2821-2021</t>
  </si>
  <si>
    <t>Sousa, Marcos/0000-0002-0901-0550</t>
  </si>
  <si>
    <t>FUNDACAO UNIV TOCANTINS</t>
  </si>
  <si>
    <t>PALMAS-TOCANTINS</t>
  </si>
  <si>
    <t>PRO-REITORIA PESQUISA &amp; POS-GRADUACAO 108 SUL ALAMEDA 11 LOTE 03 CX POSTAL 173, PALMAS-TOCANTINS, CEP77020-122, BRAZIL</t>
  </si>
  <si>
    <t>2358-8322</t>
  </si>
  <si>
    <t>HUMANID INOV</t>
  </si>
  <si>
    <t>Humanid. Inov.</t>
  </si>
  <si>
    <t>WE8UL</t>
  </si>
  <si>
    <t>WOS:000705894300015</t>
  </si>
  <si>
    <t>Shahzad, MF; Xu, S; Naveed, W; Nusrat, S; Zahid, I</t>
  </si>
  <si>
    <t>Shahzad, Muhammad Farrukh; Xu, Shuo; Naveed, Waliha; Nusrat, Shahneela; Zahid, Imran</t>
  </si>
  <si>
    <t>Investigating the impact of artificial intelligence on human resource functions in the health sector of China: A mediated moderation model</t>
  </si>
  <si>
    <t>Artificial intelligence; Technological awareness; Personal innovativeness; Perceived risk; Social media influence; Human resource functions</t>
  </si>
  <si>
    <t>PLS-SEM; PERCEIVED RISK; PERFORMANCE; ACCEPTANCE; ADOPTION</t>
  </si>
  <si>
    <t>Artificial intelligence (AI) is rapidly transforming the way human resources (HR) functions are carried out in the health sector of China. This study aims to scrutinize the impact of artificial intelligence on the human resource functions operating in the healthcare sector through technological awareness, social media influence, and personal innovativeness. Additionally, this study examines the moderating role of perceived risk between technological awareness and human resources functions. An online questionnaire was administered to human resources professionals in the health sector of China to gather data from 363 respondents. Partial least squares structural equation modeling (PLS-SEM), a statistical procedure, is implemented to investigate the hypothesis of the projected model of artificial intelligence and human resource functions. The research findings reveal that artificial intelligence significantly influences human resource functions through technological awareness, social media influence, and personal innovativeness. Furthermore, perceived risk significantly moderates the relationship between technological awareness and human resource functions. The findings of this study have important implications for HR practitioners and policymakers in the health sectors of China, who can leverage artificial intelligence technologies to optimize and improve organizational performance. However, its adoption needs to be carefully planned and managed to reap the full benefits of this transformative technology.</t>
  </si>
  <si>
    <t>[Shahzad, Muhammad Farrukh; Xu, Shuo] Beijing Univ Technol, Coll Econ &amp; Management, Beijing 100124, Peoples R China; [Naveed, Waliha] Univ Engn &amp; Technol, Inst Business &amp; Management, Lahore 54000, Pakistan; [Nusrat, Shahneela] Beijing Univ Technol, Coll Environm &amp; Life Sci, Beijing 100124, Peoples R China; [Zahid, Imran] Govt Coll Univ Faisalabad, Dept Mech Engn &amp; Technol, Faisalabad, Pakistan</t>
  </si>
  <si>
    <t>Beijing University of Technology; University of Engineering &amp; Technology Lahore; Beijing University of Technology; Government College University Faisalabad</t>
  </si>
  <si>
    <t>Xu, S (corresponding author), Beijing Univ Technol, Coll Econ &amp; Management, Beijing 100124, Peoples R China.</t>
  </si>
  <si>
    <t>farrukhshahzad207@gmail.com; xushuo@bjut.edu.cn; walihanaveed96@gmail.com; shahneelanusrat905@gmail.com; imranzahid@gcuf.edu.pk</t>
  </si>
  <si>
    <t>Zahid, Imran/KMA-1277-2024; Farrukh Shahzad, Muhammad/JJE-9020-2023; Xu, Shuo/KVY-0402-2024</t>
  </si>
  <si>
    <t>Zahid, Imran/0000-0002-4519-6831; Xu, Shuo/0000-0002-8602-1819</t>
  </si>
  <si>
    <t>National Natural Science Foundation of China [72074014]</t>
  </si>
  <si>
    <t>This work received financial support from the National Natural Science Foundation of China under grant number 72074014.</t>
  </si>
  <si>
    <t>e21818</t>
  </si>
  <si>
    <t>10.1016/j.heliyon.2023.e21818</t>
  </si>
  <si>
    <t>Z8KQ5</t>
  </si>
  <si>
    <t>WOS:001114512200001</t>
  </si>
  <si>
    <t>Koo, B; Curtis, C; Ryan, B</t>
  </si>
  <si>
    <t>Koo, Bonhak; Curtis, Catherine; Ryan, Bill</t>
  </si>
  <si>
    <t>Examining the impact of artificial intelligence on hotel employees through job insecurity perspectives</t>
  </si>
  <si>
    <t>INTERNATIONAL JOURNAL OF HOSPITALITY MANAGEMENT</t>
  </si>
  <si>
    <t>Artificial intelligence; Job insecurity; Job engagement; Turnover intention; Position type; An explanatory sequential mixed-methods</t>
  </si>
  <si>
    <t>SELF-DETERMINATION THEORY; PSYCHOLOGICAL CONDITIONS; TURNOVER INTENTION; ENGAGEMENT; SERVICE; FUTURE; CONSEQUENCES; ANTECEDENTS; PERFORMANCE; ROBOT</t>
  </si>
  <si>
    <t>Artificial intelligence is another advance in technology for the hotel industry and its role is undetermined at this time. The overarching purpose of this treatise was to examine hotel employees' perception of AI and its impact by identifying the critical role of job insecurity, job engagement, and turnover intention through a pragmatic approach. An explanatory sequential mixed-methods design was used by conducting a quantitative study with an empirical survey method followed by a qualitative study with a case study method. The results from the quantitative study demonstrated that perceived job insecurity significantly affected perceived job engagement and perceived job insecurity indirectly affected turnover intention through intermediary variable of perceived job engagement. There were no statistical differences between non-managerial positions and managerial positions. These results were fully supported by the qualitative study. The implications from these findings were provided to articulate the influence of AI on hotel employees.</t>
  </si>
  <si>
    <t>[Koo, Bonhak; Curtis, Catherine; Ryan, Bill] Oklahoma State Univ, Sch Hospitality &amp; Tourism Management, Spears Sch Business, Stillwater, OK 74078 USA</t>
  </si>
  <si>
    <t>Oklahoma State University System; Oklahoma State University - Stillwater</t>
  </si>
  <si>
    <t>Koo, B (corresponding author), Oklahoma State Univ, Sch Hospitality &amp; Tourism Management, Spears Sch Business, Stillwater, OK 74078 USA.</t>
  </si>
  <si>
    <t>bkoo@okstate.edu; catherine.curtis@okstate.edu; b.ryan@okstate.edu</t>
  </si>
  <si>
    <t>Koo, Bonhak/0000-0002-9863-0806; Johnson, Catherine/0009-0009-1399-2567</t>
  </si>
  <si>
    <t>Center for Hospitality and Tourism Research, Spears School of Business, Oklahoma State University</t>
  </si>
  <si>
    <t>This work was partially supported by Center for Hospitality and Tourism Research, Spears School of Business, Oklahoma State University. The authors appreciate the anonymous reviewers' constructive feedback and suggestions to improve the final version of this paper.</t>
  </si>
  <si>
    <t>0278-4319</t>
  </si>
  <si>
    <t>1873-4693</t>
  </si>
  <si>
    <t>INT J HOSP MANAG</t>
  </si>
  <si>
    <t>Int. J. Hosp. Manag.</t>
  </si>
  <si>
    <t>10.1016/j.ijhm.2020.102763</t>
  </si>
  <si>
    <t>UO7IQ</t>
  </si>
  <si>
    <t>WOS:000694867200005</t>
  </si>
  <si>
    <t>Stanescu, DF; Romascanu, MC</t>
  </si>
  <si>
    <t>Stanescu, Dan Florin; Romascanu, Marius Constantin</t>
  </si>
  <si>
    <t>The influence of AI Anxiety and Neuroticism in Attitudes toward Artificial Intelligence</t>
  </si>
  <si>
    <t>artificial intelligence; anxiety; neuroticism; mediation</t>
  </si>
  <si>
    <t>VALIDATION; REVOLUTION; INVENTORY</t>
  </si>
  <si>
    <t>This paper examines the impact of AI anxiety and neuroticism on attitudes toward Artificial Intelligence (AI) through a quantitative approach. With the pervasive integration of AI technologies across diverse domains like social media platforms, smart devices, healthcare, and education, gaining insight into how individuals perceive and engage with AI becomes essential. A sample of 197 participants (32 males, and 165 females) completed surveys assessing their levels of AI anxiety, neuroticism, and attitudes toward AI. The data were collected via Google Forms using the following structured questionnaires: Artificial Intelligence Anxiety Scale (AIA), Artificial Intelligence Attitude Scale (AIAS-4), and Neuroticism Scale. The findings indicate significant negative correlations between AI anxiety (r=-.286, p&lt;.01), neuroticism (r=-.196, p&lt;.01), and attitudes toward AI, suggesting that individuals with higher levels of AI anxiety and neuroticism are inclined towards adopting more skeptical viewpoints regarding AI technologies. Moreover, the AI anxiety subscales (learning, r=-.152, p&lt;.05; job replacement, r=-.257, p&lt;.01; sociotechnical blindness, r=-.302, p&lt;.01, and AI configuration, r=-.256, p&lt;.01) also showed negative significant correlations with the attitudes toward AI. At the same time, neuroticism showed significant positive correlations with the composite score of AI anxiety (r=.301, p&lt;.01) and all its subscales (learning, r=.219, p&lt;.01; job replacement, r=.250, p&lt;.01; sociotechnical blindness, r=.226, p&lt;.01, and AI configuration, r=.277, p&lt;.01). Understanding the role of AI anxiety and neuroticism in shaping attitudes toward AI can inform the development of strategies to mitigate negative perceptions and foster more positive attitudes toward AI technologies</t>
  </si>
  <si>
    <t>[Stanescu, Dan Florin; Romascanu, Marius Constantin] Natl Univ Polit Studies &amp; Publ Adm, Bucharest, Romania</t>
  </si>
  <si>
    <t>Stanescu, DF (corresponding author), Natl Univ Polit Studies &amp; Publ Adm, Bucharest, Romania.</t>
  </si>
  <si>
    <t>10.14207/ejsd.2024.v13n4p191</t>
  </si>
  <si>
    <t>I5T4N</t>
  </si>
  <si>
    <t>WOS:001330880800016</t>
  </si>
  <si>
    <t>Santos, SED; Jorge, EMD; Winkler, I</t>
  </si>
  <si>
    <t>de Freitas Santos, Sanval Ebert; de Freitas Jorge, Eduardo Manuel; Winkler, Ingrid</t>
  </si>
  <si>
    <t>ARTIFICIAL INTELLIGENCE AND VIRTUALIZATION IN VIRTUAL LEARNING ENVIRONMENTS: CHALLENGES AND TECHNOLOGICAL PERSPECTIVES</t>
  </si>
  <si>
    <t>ETD EDUCACAO TEMATICA DIGITAL</t>
  </si>
  <si>
    <t>Virtual Environments; Education; Innovation; Artificial intelligence; Virtualization</t>
  </si>
  <si>
    <t>Among the technologies that digital transformation presents, Artificial Intelligence (AI) and Virtualization are among those that most impact social and production relations in several areas, such as finance, retail, mobility, health and education. The latter highlight the virtual environments that are used as a didactic tool in the teaching and learning relationships. This article aims to discuss the techniques of Artificial Intelligence and Virtualization incorporated in Virtual Learning Environments (VLE) from the description of the emergence of the tool, following the evolution facing the challenges and Technological perspectives of teaching in online education, whether in the face-to-face or distance modality. To this end, a structured evolution line will be presented based on a bibliographic research of a descriptive nature, grounded by scientific articles discussing the theme and relating the didactic and technological aspects emphasizing the conception, Application and challenges of the art of teaching through cyberspaces such as virtual environments. Finally, it conceptualizes and discusses the techniques of Artificial Intelligence and Virtualization, as well as its incorporation into Virtual Environments and relevance in the process of innovation of teaching and learning relations.</t>
  </si>
  <si>
    <t>[de Freitas Santos, Sanval Ebert; de Freitas Jorge, Eduardo Manuel] Univ Estadual Bahia UNEB, Salvador, BA, Brazil; [Winkler, Ingrid] Ctr Univ SENAI CIMATEC, Programas Posgrad Modelagem Computac &amp; Tecno, Salvador, BA, Brazil</t>
  </si>
  <si>
    <t>Universidade do Estado Bahia</t>
  </si>
  <si>
    <t>Santos, SED (corresponding author), Univ Estadual Bahia UNEB, Salvador, BA, Brazil.</t>
  </si>
  <si>
    <t>sanvalebert@gmail.com; emjarge1974@gmail.com; ingrid.winkler@fieb.org.br</t>
  </si>
  <si>
    <t>de Freitas Jorge, Eduardo/K-6547-2018; Winkler, Ingrid/AAU-9884-2020</t>
  </si>
  <si>
    <t>Winkler, Ingrid/0000-0001-6505-6636</t>
  </si>
  <si>
    <t>UNIV ESTADUAL CAMPINAS, FAC EDUCACAO</t>
  </si>
  <si>
    <t>CAMPINAS</t>
  </si>
  <si>
    <t>AVE BERTRAND RUSSELL 801, CIDADE UNIV ZEFERINO VAZ, CAMPINAS, SP 13083-86, BRAZIL</t>
  </si>
  <si>
    <t>1676-2592</t>
  </si>
  <si>
    <t>ETD EDUC TEMAT DIGIT</t>
  </si>
  <si>
    <t>ETD Educ. Temat. Digit.</t>
  </si>
  <si>
    <t>10.20396/etd.v23i1.8656150</t>
  </si>
  <si>
    <t>SI3BB</t>
  </si>
  <si>
    <t>WOS:000654699500002</t>
  </si>
  <si>
    <t>Rafanelli, LM</t>
  </si>
  <si>
    <t>Rafanelli, Lucia M.</t>
  </si>
  <si>
    <t>Justice, injustice, and artificial intelligence: Lessons from political theory and philosophy</t>
  </si>
  <si>
    <t>Political theory; political philosophy; fairness; ethics; artificial intelligence; machine learning</t>
  </si>
  <si>
    <t>Some recent uses of artificial intelligence for (for example) facial recognition, evaluating resumes, and sorting photographs by subject matter have revealed troubling disparities in performance or impact based on the demographic traits (like race and gender) of subject populations. These disparities raise pressing questions about how using artificial intelligence can work to promote justice or entrench injustice. Political theorists and philosophers have developed nuanced vocabularies and theoretical frameworks for understanding and adjudicating disputes about what justice requires and what constitutes injustice. The interdisciplinary community committed to understanding and conscientiously using big data could benefit from this work. Thus, in the spirit of encouraging cross-disciplinary dialogue and collaboration, this piece examines contemporary scholarship in political theory and philosophy to illustrate some of the vocabularies and frameworks political theorists and philosophers have developed for thinking about justice and injustice. It then draws on these frameworks to illuminate how the use of artificial intelligence can implicate questions of justice, with a focus on institutional discrimination, structural injustice, and epistemic injustice. Ultimately, the piece argues that the use of artificial intelligence-far from representing a decision to take power out of human hands-represents a novel way of harnessing human power, making questions of justice central to its conscientious undertaking.</t>
  </si>
  <si>
    <t>[Rafanelli, Lucia M.] George Washington Univ, Washington, DC USA</t>
  </si>
  <si>
    <t>George Washington University</t>
  </si>
  <si>
    <t>Rafanelli, LM (corresponding author), George Washington Univ, Dept Polit Sci, 2115 G St NW,Monroe Hall,Suite 440, Washington, DC 20052 USA.</t>
  </si>
  <si>
    <t>lmrafanelli@gwu.edu</t>
  </si>
  <si>
    <t>Rafanelli, Lucia/0000-0003-1097-7758</t>
  </si>
  <si>
    <t>10.1177/20539517221080676</t>
  </si>
  <si>
    <t>ZN9FS</t>
  </si>
  <si>
    <t>WOS:000765335700001</t>
  </si>
  <si>
    <t>Omidian, H</t>
  </si>
  <si>
    <t>Omidian, Hossein</t>
  </si>
  <si>
    <t>Synergizing blockchain and artificial intelligence to enhance healthcare</t>
  </si>
  <si>
    <t>blockchain; artificial intelligence; healthcare challenges; data security; personalized medicine</t>
  </si>
  <si>
    <t>TECHNOLOGY; CHALLENGES; SECURITY; ETHICS; TRUST; AI</t>
  </si>
  <si>
    <t>This perspective paper explores the synergistic potential of blockchain and artificial intelligence (AI) in transforming healthcare. It begins with an overview of blockchain's role in healthcare data management, security, the pharmaceutical supply chain, clinical trials, and health insurance. The discussion then shifts to the impact of AI on healthcare, followed by an examination of integrated AI- blockchain platforms and their benefits. Technical challenges, limitations, and solutions related to these technologies are scrutinized. The paper addresses regulatory compliance and ethical considerations, and proposes future directions for their implementation. It concludes with research and implementation guidelines, offering a roadmap for harnessing blockchain and AI to enhance healthcare outcomes.</t>
  </si>
  <si>
    <t>[Omidian, Hossein] Nova Southeastern Univ, Barry &amp; Judy Silverman Coll Pharm, Ft Lauderdale, FL 33328 USA</t>
  </si>
  <si>
    <t>Nova Southeastern University</t>
  </si>
  <si>
    <t>Omidian, H (corresponding author), Nova Southeastern Univ, Barry &amp; Judy Silverman Coll Pharm, Ft Lauderdale, FL 33328 USA.</t>
  </si>
  <si>
    <t>omidian@nova.ed</t>
  </si>
  <si>
    <t>Omidian, Hamid/AAH-4683-2019</t>
  </si>
  <si>
    <t>Omidian, Hossein/0000-0002-5637-8729</t>
  </si>
  <si>
    <t>Declarations of interest The author declares that he has no known competing financial interests or personal relationships that could have appeared to influence the work reported in this paper.</t>
  </si>
  <si>
    <t>10.1016/j.drudis.2024.104111</t>
  </si>
  <si>
    <t>A4R9U</t>
  </si>
  <si>
    <t>WOS:001282434100001</t>
  </si>
  <si>
    <t>Cain, J; Malcom, DR; Aungst, TD</t>
  </si>
  <si>
    <t>Cain, Jeff; Malcom, Daniel R.; Aungst, Timothy D.</t>
  </si>
  <si>
    <t>The Role of Artificial Intelligence in the Future of Pharmacy Education</t>
  </si>
  <si>
    <t>AMERICAN JOURNAL OF PHARMACEUTICAL EDUCATION</t>
  </si>
  <si>
    <t>Artificial intelligence (AI); ChatGPT; Ethics</t>
  </si>
  <si>
    <t>Recent developments making an artificial intelligence (AI) large language model available for public use have generated significant interest and angst among educators. Viewed as both a time saver and a threat to academic integrity, several questions have arisen about AI's role in education. Numerous opportunities exist to use AI for teaching and learning, but new questions have also arisen regarding AI's impact on the future of healthcare. The pharmacy Academy should be at the center of these discussions to address the technical, philosophical, and ethical issues that AI presents for the future of pharmacy and pharmacy education.</t>
  </si>
  <si>
    <t>[Cain, Jeff] Univ Kentucky, Coll Pharm, Dept Pharm Practice &amp; Sci, Lexington, KY 40506 USA; [Malcom, Daniel R.] Sullivan Univ, Coll Pharm &amp; Hlth Sci, Clin &amp; Adm Sci, Louisville, KY USA; [Aungst, Timothy D.] Massachusetts Coll Pharm &amp; Hlth Sci, Dept Pharm Practice, Worcester, MA USA</t>
  </si>
  <si>
    <t>University of Kentucky</t>
  </si>
  <si>
    <t>Cain, J (corresponding author), Univ Kentucky, Coll Pharm, Dept Pharm Practice &amp; Sci, Lexington, KY 40506 USA.</t>
  </si>
  <si>
    <t>jeff.cain@uky.edu</t>
  </si>
  <si>
    <t>Cain, Jeff/B-1016-2009; Malcom, Daniel/I-8086-2019</t>
  </si>
  <si>
    <t>Cain, Jeff/0000-0002-0018-0588; Malcom, Daniel/0000-0002-8234-651X</t>
  </si>
  <si>
    <t>0002-9459</t>
  </si>
  <si>
    <t>1553-6467</t>
  </si>
  <si>
    <t>AM J PHARM EDUC</t>
  </si>
  <si>
    <t>Am. J. Pharm. Educ.</t>
  </si>
  <si>
    <t>10.1016/j.ajpe.2023.100135</t>
  </si>
  <si>
    <t>Education, Scientific Disciplines; Pharmacology &amp; Pharmacy</t>
  </si>
  <si>
    <t>Education &amp; Educational Research; Pharmacology &amp; Pharmacy</t>
  </si>
  <si>
    <t>CQ2J8</t>
  </si>
  <si>
    <t>WOS:001126641800001</t>
  </si>
  <si>
    <t>Lagos, SAS</t>
  </si>
  <si>
    <t>Lagos, Sebastian Alexander Scheffer</t>
  </si>
  <si>
    <t>Collaborative instruments in the regulation of civil liability against damages caused by artificial intelligence systems: sandboxes and algorithmic impact evaluation</t>
  </si>
  <si>
    <t>JUSTICIA</t>
  </si>
  <si>
    <t>algorithmic impact assessment; artificial intelligence; innovation; non-contractual civil liability; regulation; sandboxes</t>
  </si>
  <si>
    <t>Objective: to demonstrate the significant contributions of collaborative instruments, sandboxes and algorithmic impact evaluations, in the legal problems caused by the deficiencies of the traditional regulation of noncontractual civil liability applied to cases of damage caused by artificial intelligence systems (hereinafter, IA). Method: to address the stated objective, a documentary analysis methodology has been used through a critical review of a wide range of books, book chapters, websites, articles from prominent academic journals, legal regulations, reports and international recommendations on the regulation of AI systems. Results: the research shows that these instruments contribute to resolving the deficiencies of the traditional non -contractual civil liability regime in relation to AI systems, in that they facilitate understanding of their design and operation, reducing the asymmetry of knowledge between the subjects involved and provides legal certainty and flexibility. Conclusions: AI systems represent an advance for society, but they also entail risks, with respect to which the traditional regulation of non -contractual civil liability has major deficiencies. Therefore, in addition to the incorporation of definitions, criteria and procedures on AI systems in the regulation, this requires the application of collaborative instruments of sandboxes and algorithmic impact evaluations, as these allow the regulations to provide appropriate responses to the dynamic and complex nature of AI, with a balance between protecting people and innovation.</t>
  </si>
  <si>
    <t>[Lagos, Sebastian Alexander Scheffer] Univ Alberto Hurtado, Santiago, Chile</t>
  </si>
  <si>
    <t>Universidad Alberto Hurtado</t>
  </si>
  <si>
    <t>Lagos, SAS (corresponding author), Univ Alberto Hurtado, Santiago, Chile.</t>
  </si>
  <si>
    <t>sebahhin90@gmail.com</t>
  </si>
  <si>
    <t>UNIV SIMON BOLIVAR</t>
  </si>
  <si>
    <t>CARRERA 54 NO 64-223, BARRANQUILLA, 00000, COLOMBIA</t>
  </si>
  <si>
    <t>0124-7441</t>
  </si>
  <si>
    <t>2590-4566</t>
  </si>
  <si>
    <t>Justicia</t>
  </si>
  <si>
    <t>10.17081/just.29.45.7170</t>
  </si>
  <si>
    <t>QZ3E0</t>
  </si>
  <si>
    <t>WOS:001224643700001</t>
  </si>
  <si>
    <t>Pacheco-Mendoza, S; Guevara, C; Mayorga-Albán, A; Fernández-Escobar, J</t>
  </si>
  <si>
    <t>Pacheco-Mendoza, Silvia; Guevara, Cesar; Mayorga-Alban, Amalin; Fernandez-Escobar, Juan</t>
  </si>
  <si>
    <t>Artificial Intelligence in Higher Education: A Predictive Model for Academic Performance</t>
  </si>
  <si>
    <t>EDUCATION SCIENCES</t>
  </si>
  <si>
    <t>higher education; artificial intelligence; predictive model; academic performance</t>
  </si>
  <si>
    <t>STUDENTS; SUPPORT</t>
  </si>
  <si>
    <t>This research work evaluates the use of artificial intelligence and its impact on student's academic performance at the University of Guayaquil (UG). The objective was to design and implement a predictive model to predict academic performance to anticipate student performance. This research presents a quantitative, non-experimental, projective, and predictive approach. A questionnaire was developed with the factors involved in academic performance, and the criterion of expert judgment was used to validate the questionnaire. The questionnaire and the Google Forms platform were used for data collection. In total, 1100 copies of the questionnaire were distributed, and 1012 responses were received, representing a response rate of 92%. The prediction model was designed in Gretl software, and the model fit was performed considering the mean square error (0.26), the mean absolute error (0.16), and a coefficient of determination of 0.9075. The results show the statistical significance of age, hours, days, and AI-based tools or applications, presenting p-values &lt; 0.001 and positive coefficients close to zero, demonstrating a significant and direct effect on students' academic performance. It was concluded that it is possible to implement a predictive model with theoretical support to adapt the variables based on artificial intelligence, thus generating an artificial intelligence-based mode.</t>
  </si>
  <si>
    <t>[Pacheco-Mendoza, Silvia] Univ Estatal Bolivar, Fac Ciencias Educ Sociales Filosof &amp; Humanist, Guaranda 020103, Ecuador; [Guevara, Cesar] Univ Tecnol Indoamer, Ctr Mecatron &amp; Sist Interact MIST, Quito 180150, Ecuador; [Mayorga-Alban, Amalin; Fernandez-Escobar, Juan] Univ Guayaquil, Fac Filosofia Letras &amp; Ciencias Educ, Guayaquil 090150, Ecuador</t>
  </si>
  <si>
    <t>Universidad de Guayaquil</t>
  </si>
  <si>
    <t>Pacheco-Mendoza, S (corresponding author), Univ Estatal Bolivar, Fac Ciencias Educ Sociales Filosof &amp; Humanist, Guaranda 020103, Ecuador.</t>
  </si>
  <si>
    <t>spacheco@ueb.edu.ec; cesarguevara@uti.edu.ec; amalin.mayorgaa@ug.edu.ec; juan.fernandeze@ug.edu.ec</t>
  </si>
  <si>
    <t>GUEVARA MALDONADO, CESAR BYRON/0000-0003-1571-5829</t>
  </si>
  <si>
    <t>Universidad Tecnologica Indoamerica from Ecuador</t>
  </si>
  <si>
    <t>This study was supported by Universidad Tecnologica Indoamerica from Ecuador.</t>
  </si>
  <si>
    <t>2227-7102</t>
  </si>
  <si>
    <t>EDUC SCI</t>
  </si>
  <si>
    <t>Educ. Sci.</t>
  </si>
  <si>
    <t>10.3390/educsci13100990</t>
  </si>
  <si>
    <t>X4RP9</t>
  </si>
  <si>
    <t>WOS:001098342900001</t>
  </si>
  <si>
    <t>Abdelhalim, H; Berber, A; Lodi, M; Jain, R; Nair, A; Pappu, A; Patel, K; Venkat, V; Venkatesan, C; Wable, R; Dinatale, M; Fu, ALY; Iyer, V; Kalove, I; Kleyman, M; Koutsoutis, J; Menna, D; Paliwal, M; Patel, N; Patel, T; Rafique, Z; Samadi, R; Varadhan, R; Bolla, S; Vadapalli, S; Ahmed, Z</t>
  </si>
  <si>
    <t>Abdelhalim, Habiba; Berber, Asude; Lodi, Mudassir; Jain, Rihi; Nair, Achuth; Pappu, Anirudh; Patel, Kush; Venkat, Vignesh; Venkatesan, Cynthia; Wable, Raghu; Dinatale, Matthew; Fu, Allyson; Iyer, Vikram; Kalove, Ishan; Kleyman, Marc; Koutsoutis, Joseph; Menna, David; Paliwal, Mayank; Patel, Nishi; Patel, Thirth; Rafique, Zara; Samadi, Rothela; Varadhan, Roshan; Bolla, Shreyas; Vadapalli, Sreya; Ahmed, Zeeshan</t>
  </si>
  <si>
    <t>Artificial Intelligence, Healthcare, Clinical Genomics, and Pharmacogenomics Approaches in Precision Medicine</t>
  </si>
  <si>
    <t>FRONTIERS IN GENETICS</t>
  </si>
  <si>
    <t>artificial intelligence; healthcare; clinical-genomics; pharmacogenomics; precision medicine</t>
  </si>
  <si>
    <t>PERSONALIZED MEDICINE; DYSTROPHIN GENE; DRUG DISCOVERY; NONCODING RNAS; SEQUENCE; DATABASE; TRANSCRIPTION; CHALLENGES; MUTATIONS; BENEFITS</t>
  </si>
  <si>
    <t>Precision medicine has greatly aided in improving health outcomes using earlier diagnosis and better prognosis for chronic diseases. It makes use of clinical data associated with the patient as well as their multi-omics/genomic data to reach a conclusion regarding how a physician should proceed with a specific treatment. Compared to the symptom-driven approach in medicine, precision medicine considers the critical fact that all patients do not react to the same treatment or medication in the same way. When considering the intersection of traditionally distinct arenas of medicine, that is, artificial intelligence, healthcare, clinical genomics, and pharmacogenomics-what ties them together is their impact on the development of precision medicine as a field and how they each contribute to patient-specific, rather than symptom-specific patient outcomes. This study discusses the impact and integration of these different fields in the scope of precision medicine and how they can be used in preventing and predicting acute or chronic diseases. Additionally, this study also discusses the advantages as well as the current challenges associated with artificial intelligence, healthcare, clinical genomics, and pharmacogenomics.</t>
  </si>
  <si>
    <t>[Abdelhalim, Habiba; Berber, Asude; Lodi, Mudassir; Jain, Rihi; Nair, Achuth; Pappu, Anirudh; Patel, Kush; Venkat, Vignesh; Venkatesan, Cynthia; Wable, Raghu; Dinatale, Matthew; Fu, Allyson; Iyer, Vikram; Kalove, Ishan; Kleyman, Marc; Koutsoutis, Joseph; Menna, David; Paliwal, Mayank; Patel, Nishi; Patel, Thirth; Rafique, Zara; Samadi, Rothela; Varadhan, Roshan; Bolla, Shreyas; Vadapalli, Sreya; Ahmed, Zeeshan] Rutgers State Univ, Rutgers Inst Hlth, Hlth Care Policy &amp; Aging Res, New Brunswick, NJ 08901 USA; [Ahmed, Zeeshan] Rutgers Robert Wood Johnson Med Sch, Dept Med, Rutgers Biomed &amp; Hlth Sci, New Brunswick, NJ 08901 USA</t>
  </si>
  <si>
    <t>Rutgers University System; Rutgers University New Brunswick; Rutgers University System; Rutgers University New Brunswick; Rutgers University Biomedical &amp; Health Sciences</t>
  </si>
  <si>
    <t>Ahmed, Z (corresponding author), Rutgers State Univ, Rutgers Inst Hlth, Hlth Care Policy &amp; Aging Res, New Brunswick, NJ 08901 USA.;Ahmed, Z (corresponding author), Rutgers Robert Wood Johnson Med Sch, Dept Med, Rutgers Biomed &amp; Hlth Sci, New Brunswick, NJ 08901 USA.</t>
  </si>
  <si>
    <t>zahmed@ifh.rutgers.edu</t>
  </si>
  <si>
    <t>Ahmed, Zeeshan/C-1668-2014; Rafique, Zara/HJZ-1485-2023</t>
  </si>
  <si>
    <t>Ahmed, Zeeshan/0000-0002-7065-1699; Fu, Allyson/0000-0002-1507-3259; Abdelhalim, Habiba/0009-0000-4477-353X; Suresh Nair, Achuth/0009-0007-5323-6075</t>
  </si>
  <si>
    <t>Institute for Health, Health Care Policy, and Aging Research (IFH); Rutgers Robert Wood Johnson Medical School, Rutgers Biomedical and Health Sciences at Rutgers, The State University of New Jersey</t>
  </si>
  <si>
    <t>This work was supported by the Institute for Health, Health Care Policy, and Aging Research (IFH) and Rutgers Robert Wood Johnson Medical School, Rutgers Biomedical and Health Sciences at Rutgers, The State University of New Jersey.</t>
  </si>
  <si>
    <t>1664-8021</t>
  </si>
  <si>
    <t>FRONT GENET</t>
  </si>
  <si>
    <t>Front. Genet.</t>
  </si>
  <si>
    <t>JUL 6</t>
  </si>
  <si>
    <t>10.3389/fgene.2022.929736</t>
  </si>
  <si>
    <t>Genetics &amp; Heredity</t>
  </si>
  <si>
    <t>3D6YA</t>
  </si>
  <si>
    <t>WOS:000829443700001</t>
  </si>
  <si>
    <t>Poly, TN; Islam, MM; Walther, BA; Lin, MC; Li, YC</t>
  </si>
  <si>
    <t>Poly, Tahmina Nasrin; Islam, Md. Mohaimenul; Walther, Bruno Andreas; Lin, Ming Chin; Li, Yu-Chuan (Jack)</t>
  </si>
  <si>
    <t>Artificial intelligence in diabetic retinopathy: Bibliometric analysis</t>
  </si>
  <si>
    <t>COMPUTER METHODS AND PROGRAMS IN BIOMEDICINE</t>
  </si>
  <si>
    <t>Artificial intelligence; Deep learning; Machine learning; Fundus image; Diabetic retinopathy</t>
  </si>
  <si>
    <t>METAANALYSIS; PREVALENCE; VALIDATION; SYSTEM; IMPACT</t>
  </si>
  <si>
    <t>Background: The use of artificial intelligence in diabetic retinopathy has become a popular research focus in the past decade. However, no scientometric report has provided a systematic overview of this scientific area.Aims: We utilized a bibliometric approach to identify and analyse the academic literature on artificial in-telligence in diabetic retinopathy and explore emerging research trends, key authors, co-authorship net-works, institutions, countries, and journals. We further captured the diabetic retinopathy conditions and technology commonly used within this area.Methods: Web of Science was used to collect relevant articles on artificial intelligence use in diabetic retinopathy published between January 1, 2012, and December 31, 2022 . All the retrieved titles were screened for eligibility, with one criterion that they must be in English. All the bibliographic information was extracted and used to perform a descriptive analysis. Bibliometrix (R tool) and VOSviewer (Leiden University) were used to construct and visualize the annual numbers of publications, journals, authors, countries, institutions, collaboration networks, keywords, and references.Results: In total, 931 articles that met the criteria were collected. The number of annual publications showed an increasing trend over the last ten years. Investigative Ophthalmology &amp; Visual Science (58/931), IEEE Access (54/931), and Computers in Biology and Medicine (23/931) were the most journals with most publications. China (211/931), India (143/931, USA (133/931), and South Korea (44/931) were the most productive countries of origin. The National University of Singapore (40/931), Singapore Eye Research Institute (35/931), and Johns Hopkins University (34/931) were the most productive institutions. Ting D. (34/931), Wong T. (28/931), and Tan G. (17/931) were the most productive researchers.Conclusion: This study summarizes the recent advances in artificial intelligence technology on diabetic retinopathy research and sheds light on the emerging trends, sources, leading institutions, and hot topics through bibliometric analysis and network visualization. Although this field has already shown great po-tential in health care, our findings will provide valuable clues relevant to future research directions and clinical practice.(c) 2023 Published by Elsevier B.V.</t>
  </si>
  <si>
    <t>[Poly, Tahmina Nasrin; Lin, Ming Chin; Li, Yu-Chuan (Jack)] Taipei Med Univ, Grad Inst Biomed Informat, Coll Med Sci &amp; Technol, Taipei 110, Taiwan; [Poly, Tahmina Nasrin; Islam, Md. Mohaimenul; Li, Yu-Chuan (Jack)] Taipei Med Univ, Int Ctr Hlth Informat Technol ICHIT, Taipei 110, Taiwan; [Poly, Tahmina Nasrin; Li, Yu-Chuan (Jack)] Taipei Med Univ, Wan Fang Hosp, Res Ctr Big Data &amp; Meta Anal, Taipei 116, Taiwan; [Islam, Md. Mohaimenul; Li, Yu-Chuan (Jack)] AESOP Technol, Songshan Dist, Taipei 105, Taiwan; [Walther, Bruno Andreas] Alfred Wegener Inst Helmholtz Zent Polar &amp; Meeresf, Handelshafen 12, D-27570 Bremerhaven, Germany; [Lin, Ming Chin] Taipei Med Univ, Shuang Ho Hosp, Dept Neurosurg, New Taipei 235041, Taiwan; [Lin, Ming Chin] Taipei Med Univ, Neurosci Inst, Taipei 110301, Taiwan</t>
  </si>
  <si>
    <t>Taipei Medical University; Taipei Medical University; Taipei Municipal WanFang Hospital; Taipei Medical University; Taipei Medical University</t>
  </si>
  <si>
    <t>Li, YC (corresponding author), Taipei Med Univ, Grad Inst Biomed Informat, Coll Med Sci &amp; Technol, Taipei 110, Taiwan.</t>
  </si>
  <si>
    <t>jack@tmu.edu.tw</t>
  </si>
  <si>
    <t>Islam, Md.Mohaimenul Islam/AAF-4058-2019; Li, Yu-Chuan/E-9476-2011</t>
  </si>
  <si>
    <t>Li, Yu-Chuan (Jack)/0000-0001-6497-4232; Islam, Md.Mohaimenul/0000-0001-6026-2748</t>
  </si>
  <si>
    <t>0169-2607</t>
  </si>
  <si>
    <t>1872-7565</t>
  </si>
  <si>
    <t>COMPUT METH PROG BIO</t>
  </si>
  <si>
    <t>Comput. Meth. Programs Biomed.</t>
  </si>
  <si>
    <t>10.1016/j.cmpb.2023.107358</t>
  </si>
  <si>
    <t>Computer Science, Interdisciplinary Applications; Computer Science, Theory &amp; Methods; Engineering, Biomedical; Medical Informatics</t>
  </si>
  <si>
    <t>8R0CN</t>
  </si>
  <si>
    <t>WOS:000927564300001</t>
  </si>
  <si>
    <t>Biddala, SCR; Ibikunle, O; Duffy, VG</t>
  </si>
  <si>
    <t>Duffy, VG; Kromker, H; Streitz, NA; Konomi, S</t>
  </si>
  <si>
    <t>Biddala, Sai Chandrahas Reddy; Ibikunle, Omolara; Duffy, Vincent G.</t>
  </si>
  <si>
    <t>Systematic Review on Safety of Artificial Intelligence and Transportation</t>
  </si>
  <si>
    <t>HCI INTERNATIONAL 2023 LATE BREAKING PAPERS, HCII 2023,PT IV</t>
  </si>
  <si>
    <t>25th International Conference on Human-Computer Interaction (HCI International)</t>
  </si>
  <si>
    <t>Artificial Intelligence; Transportation; Safety</t>
  </si>
  <si>
    <t>Artificial intelligence is growing fast, and it is becoming important due to advances that allow complex algorithms or software to be used in transportation. AI technologies are beneficial for all kinds of industries, including transportation. The development of AI in transportation engineering for autonomous vehicle (AV) control is a rapidly growing field. The introduction of AVs on the market, along with the development of related technologies, will have a potential impact not only on the automotive industry but also on urban transport systems, new mobility-related businesses will emerge, whereas existing ones will have to adapt to changes. However, there are also challenges associated with AI in transportation, including safety concerns, cybersecurity threats, and job displacement. Surely technology can be a useful tool in promoting safety, but its effectiveness may depend on factors such as interactivity, equipment complexity, and adaptation of social behavior. System safety is the application of technical and managerial skills to the systematic, forward-looking identification, and control of hazards throughout the life cycle of a system like an AI [24]. In this paper a systematic literature review of the Safety of Artificial Intelligence and Transportation was performed by searching the keywords on the SCOPUS, Web of Science, and Google Scholar through Harzing software, many papers related to AI and transportation were explored. Searches were refined and led to VOS viewer to analyze the connection between authors and what papers come under similar topics. Next was a thorough analysis of engagements, which was done through Twitter trend analysis which collaborates a further justification of research into this topic. Overall, the findings from the systematic analyses of the four articles selected from various databases, including Google Scholar, SpringerLink, and ResearchGate, two chapters from Rogers L. Brauer's book Safety and Health for Engineers, Third Edition and David L. Goetsch Occupational Safety and Health for Technologists, Engineers, and Managers, 9th Edition with three more articles derived from the co-citation analysis led to interesting discoveries in integrating AI into transportation systems, with AI mitigating some risks while new ones come up which points to the importance of funding for future work into analyzing AI in systems, to increase sustainability, while mitigating AI's risks.</t>
  </si>
  <si>
    <t>[Biddala, Sai Chandrahas Reddy; Ibikunle, Omolara; Duffy, Vincent G.] Purdue Univ, W Lafayette, IN 47907 USA</t>
  </si>
  <si>
    <t>Duffy, VG (corresponding author), Purdue Univ, W Lafayette, IN 47907 USA.</t>
  </si>
  <si>
    <t>sbiddala@purdue.edu; oibikun@purdue.edu; duffy@purdue.edu</t>
  </si>
  <si>
    <t>Foray, Jennifer L/HJA-3162-2022</t>
  </si>
  <si>
    <t>978-3-031-48046-1; 978-3-031-48047-8</t>
  </si>
  <si>
    <t>10.1007/978-3-031-48047-8_16</t>
  </si>
  <si>
    <t>Computer Science, Artificial Intelligence; Computer Science, Cybernetics; Computer Science, Theory &amp; Methods</t>
  </si>
  <si>
    <t>BW5EV</t>
  </si>
  <si>
    <t>WOS:001159620100016</t>
  </si>
  <si>
    <t>Al-Hawamdeh, MM; Aishaer, SA</t>
  </si>
  <si>
    <t>Al-Hawamdeh, Majd Mohammed; Aishaer, Sawsan A.</t>
  </si>
  <si>
    <t>Artificial Intelligence Applications as a Modern Trend to Achieve Organizational Innovation in Jordanian Commercial Banks</t>
  </si>
  <si>
    <t>JOURNAL OF ASIAN FINANCE ECONOMICS AND BUSINESS</t>
  </si>
  <si>
    <t>Artificial Intelligence Applications; Organizational Innovation; Commercial Banks</t>
  </si>
  <si>
    <t>BIG DATA; PERFORMANCE</t>
  </si>
  <si>
    <t>The objective of this study was to see how artificial intelligence applications affected organizational innovation in Jordanian commercial banks. Both independent and dependent variables were measured in three dimensions: expert systems, neural network systems, and fuzzy logic systems for artificial intelligence applications variable. Product innovation, process innovation, and management innovation for the organizational innovation variable. To achieve study objectives, a questionnaire was developed and distributed to a sample of one hundred fifty-three managers in Jordanian commercial banks, who were selected according to the simple random sampling method. Except for the neural network systems dimension, which comes in at an average level, the study indicated that there is a high level of organizational innovation and artificial intelligence applications. Furthermore, the findings revealed that artificial intelligence applications have a significant impact on organizational innovation in Jordanian commercial banks, with the most important artificial intelligence application being a fuzzy logic system. The study suggested keeping track of technological advancements in the field of artificial intelligence applications and incorporating them into banking operations by benchmarking with the best commercial bank practices and allocating a portion of the budget to technological applications and infrastructure development, as well as balancing between technology use and information security risks to ensure client privacy is protected.</t>
  </si>
  <si>
    <t>[Al-Hawamdeh, Majd Mohammed] Jerash Univ, Comp Sci Dept, POB 26150, Jerash, Jordan; [Aishaer, Sawsan A.] World Islamic Sci &amp; Educ Univ, Management Dept, Amman, Jordan</t>
  </si>
  <si>
    <t>Al-Hawamdeh, MM (corresponding author), Jerash Univ, Comp Sci Dept, POB 26150, Jerash, Jordan.</t>
  </si>
  <si>
    <t>majd.alhawamdeh@jpu.edu.jo; drsawsan.alshaer@wise.edu.jo</t>
  </si>
  <si>
    <t>Alhawamdeh, Majd/0000-0003-1436-6970; alshaer, sawsan/0000-0002-6074-4269</t>
  </si>
  <si>
    <t>KOREA DISTRIBUTION SCIENCE ASSOC</t>
  </si>
  <si>
    <t>Seongnam City</t>
  </si>
  <si>
    <t>HANSHIN OFFICETEL STE 1030, 2463-4, SHINHEUNG-DONG SUJEONG-GU, Seongnam City, Gyeonggi-do 461-713, SOUTH KOREA</t>
  </si>
  <si>
    <t>2288-4637</t>
  </si>
  <si>
    <t>2288-4645</t>
  </si>
  <si>
    <t>J ASIAN FINANC ECON</t>
  </si>
  <si>
    <t>J. Asian Financ. Econ. Bus.</t>
  </si>
  <si>
    <t>10.13106/jafeb.2022.vol9.no3.0257</t>
  </si>
  <si>
    <t>ZY9HX</t>
  </si>
  <si>
    <t>WOS:000772891400025</t>
  </si>
  <si>
    <t>Zhu, H</t>
  </si>
  <si>
    <t>Insel, PA</t>
  </si>
  <si>
    <t>Zhu, Hao</t>
  </si>
  <si>
    <t>Big Data and Artificial Intelligence Modeling for Drug Discovery</t>
  </si>
  <si>
    <t>ANNUAL REVIEW OF PHARMACOLOGY AND TOXICOLOGY, VOL 60</t>
  </si>
  <si>
    <t>Annual Review of Pharmacology and Toxicology</t>
  </si>
  <si>
    <t>Review; Book Chapter</t>
  </si>
  <si>
    <t>artificial intelligence; big data; deep learning; machine learning; rational drug design; computer-aided drug discovery</t>
  </si>
  <si>
    <t>THROUGHPUT SCREENING DATA; DEEP NEURAL-NETWORKS; COMBINATORIAL CHEMISTRY; BIOLOGICAL-ACTIVITIES; CARBON NANOTUBES; QSAR MODELS; DESIGN; TOXICITY; VALIDATION; SYSTEMS</t>
  </si>
  <si>
    <t>Due to the massive data sets available for drug candidates, modern drug discovery has advanced to the big data era. Central to this shift is the development of artificial intelligence approaches to implementing innovative modeling based on the dynamic, heterogeneous, and large nature of drug data sets. As a result, recently developed artificial intelligence approaches such as deep learning and relevant modeling studies provide new solutions to efficacy and safety evaluations of drug candidates based on big data modeling and analysis. The resulting models provided deep insights into the continuum from chemical structure to in vitro, in vivo, and clinical outcomes. The relevant novel data mining, curation, and management techniques provided critical support to recent modeling studies. In summary, the new advancement of artificial intelligence in the big data era has paved the road to future rational drug development and optimization, which will have a significant impact on drug discovery procedures and, eventually, public health.</t>
  </si>
  <si>
    <t>[Zhu, Hao] Rutgers State Univ, Dept Chem, Camden, NJ 08102 USA; [Zhu, Hao] Rutgers State Univ, Ctr Computat &amp; Integrat Biol, Camden, NJ 08102 USA</t>
  </si>
  <si>
    <t>Rutgers University System; Rutgers University Camden; Rutgers University New Brunswick; Rutgers University System; Rutgers University New Brunswick; Rutgers University Camden</t>
  </si>
  <si>
    <t>Zhu, H (corresponding author), Rutgers State Univ, Dept Chem, Camden, NJ 08102 USA.;Zhu, H (corresponding author), Rutgers State Univ, Ctr Computat &amp; Integrat Biol, Camden, NJ 08102 USA.</t>
  </si>
  <si>
    <t>hao.zhu99@rutgers.edu</t>
  </si>
  <si>
    <t>zh, H/HIK-0903-2022</t>
  </si>
  <si>
    <t>Zhu, Hao/0000-0002-3559-6129</t>
  </si>
  <si>
    <t>ANNUAL REVIEWS</t>
  </si>
  <si>
    <t>PALO ALTO</t>
  </si>
  <si>
    <t>4139 EL CAMINO WAY, PO BOX 10139, PALO ALTO, CA 94303-0897 USA</t>
  </si>
  <si>
    <t>0362-1642</t>
  </si>
  <si>
    <t>1545-4304</t>
  </si>
  <si>
    <t>978-0-8243-0460-7</t>
  </si>
  <si>
    <t>ANNU REV PHARMACOL</t>
  </si>
  <si>
    <t>Annu. Rev. Pharmacol. Toxicol.</t>
  </si>
  <si>
    <t>10.1146/annurev-pharmtox-010919-023324</t>
  </si>
  <si>
    <t>Pharmacology &amp; Pharmacy; Toxicology</t>
  </si>
  <si>
    <t>Book Citation Index – Science (BKCI-S); Science Citation Index Expanded (SCI-EXPANDED)</t>
  </si>
  <si>
    <t>BO2PU</t>
  </si>
  <si>
    <t>WOS:000507470800029</t>
  </si>
  <si>
    <t>Vinichenko, MV; Chulanova, OL; Vinogradova, MV; Amozova, LN</t>
  </si>
  <si>
    <t>Vinichenko, Mikhail V.; Chulanova, Oxana L.; Vinogradova, Marina V.; Amozova, Larisa N.</t>
  </si>
  <si>
    <t>THE IMPACT OF ARTIFICIAL INTELLIGENCE ON SOCIETY VIEWS OF ISLAMIC RELIGIOUS LEADERS</t>
  </si>
  <si>
    <t>human; potential; activities; risks; threats</t>
  </si>
  <si>
    <t>EVOLUTION; SCIENCE</t>
  </si>
  <si>
    <t>The article discusses the nature of the impact of artificial intelligence on society from the standpoint of religious figures of Islam. The main method was a questionnaire using the Likert method. We analysed how artificial intelligence affects human potential. We revealed the degree of dependence of socio-cultural aspects of the society development on artificial intelligence, identified threats and risks posed by artificial intelligence. Also, the nature of the impact of artificial intelligence on religious activities was determined. The hypothesis was put forward: the influence of artificial intelligence on society is diverse, multifaceted with positive and negative biases, the depth and nature of the impact of which have not been fully studied by Islamic religious figures. The public is concerned about the risks of harming people and society. The advantage of this article is to identify the structure of Muslim views on the nature of the impact of artificial intelligence on society, as well as to identify the ratio of positive and negative aspects of its influence. For the first time the authors examined the attitude of imams to artificial intelligence according to given indicators. The obtained results can serve as the basis for further research in the issues of the correct and humanistic use of artificial intelligence in the social sphere. Moreover, they may become the basis for the formation and development of a system of cultural and religious values in the digital economy.</t>
  </si>
  <si>
    <t>[Vinichenko, Mikhail V.] Russian State Social Univ, Dept Personnel Management &amp; Personnel Policy, St Wilhelm Pieck 4, Moscow 129226, Russia; [Chulanova, Oxana L.] Surgut State Univ, Dept State &amp; Municipal Management, Lenin Ave 1, Surgut 628413, Russia; [Vinogradova, Marina V.] Russian State Social Univ, Res Inst Promising Areas &amp; Technol, D 4, Moscow 129226, Russia; [Amozova, Larisa N.] Lomonosov Moscow State Univ, Higher Sch Policy Culture &amp; Adm Humanities, GSP 1, Moscow 119991, Russia</t>
  </si>
  <si>
    <t>Russian State Social University (RSSU); Surgut State University; Russian State Social University (RSSU); Lomonosov Moscow State University</t>
  </si>
  <si>
    <t>Vinichenko, MV (corresponding author), Russian State Social Univ, Dept Personnel Management &amp; Personnel Policy, St Wilhelm Pieck 4, Moscow 129226, Russia.</t>
  </si>
  <si>
    <t>mih-vas2006@yandex.ru</t>
  </si>
  <si>
    <t>Chulanova, Oksana/AAB-4944-2019</t>
  </si>
  <si>
    <t>Amozova, Larisa/0000-0001-9295-1484</t>
  </si>
  <si>
    <t>MA0OU</t>
  </si>
  <si>
    <t>WOS:000541617000006</t>
  </si>
  <si>
    <t>Bauer, K; von Zahn, M; Hinz, O</t>
  </si>
  <si>
    <t>Bauer, Kevin; von Zahn, Moritz; Hinz, Oliver</t>
  </si>
  <si>
    <t>Expl(AI)ned: The Impact of Explainable Artificial Intelligence on Users' Information Processing</t>
  </si>
  <si>
    <t>INFORMATION SYSTEMS RESEARCH</t>
  </si>
  <si>
    <t>explainable artificial intelligence; user behavior; information processing; mental models</t>
  </si>
  <si>
    <t>THEORETICAL FOUNDATIONS; MACHINE; EXPLANATIONS; SYSTEMS; PERSPECTIVES; ALGORITHMS; LOOKING; EXPERT</t>
  </si>
  <si>
    <t>Because of a growing number of initiatives and regulations, predictions of modern artificial intelligence (AI) systems increasingly come with explanations about why they behave the way they do. In this paper, we explore the impact of feature-based explanations on users' information processing. We designed two complementary empirical studies where participants either made incentivized decisions on their own, with the aid of opaque predictions, or with explained predictions. In Study 1, laypeople engaged in the deliberately abstract investment game task. In Study 2, experts from the real estate industry estimated listing prices for real German apartments. Our results indicate that the provision of feature based explanations paves the way for AI systems to reshape users' sense making of information and understanding of the world around them. Specifically, explanations change users' situational weighting of available information and evoke mental model adjustments. Crucially, mental model adjustments are subject to the confirmation bias so that misconceptions can persist and even accumulate, possibly leading to suboptimal or biased decisions. Additionally, mental model adjustments create spillover effects that alter user behavior in related yet disparate domains. Overall, this paper provides important insights into potential downstream consequences of the broad employment of modern explainable AI methods. In particular, side effects of mental model adjustments present a potential risk of manipulating user behavior, promoting discriminatory inclinations, and increasing noise in decision making. Our findings may inform the refinement of current efforts of companies building AI systems and regulators that aim to mitigate problems associated with the black-box nature of many modern AI systems.</t>
  </si>
  <si>
    <t>[Bauer, Kevin] Univ Mannheim, Informat Syst Dept, D-68161 Mannheim, Germany; [von Zahn, Moritz; Hinz, Oliver] Goethe Univ, Informat Syst Dept, D-60323 Frankfurt, Germany</t>
  </si>
  <si>
    <t>University of Mannheim; Goethe University Frankfurt</t>
  </si>
  <si>
    <t>Bauer, K (corresponding author), Univ Mannheim, Informat Syst Dept, D-68161 Mannheim, Germany.</t>
  </si>
  <si>
    <t>kevin.bauer@uni-mannheim.de; vzahn@wiwi.uni-frankfurt.de; ohinz@wiwi.uni-frankfurt.de</t>
  </si>
  <si>
    <t>Hinz, Oliver/F-1798-2017</t>
  </si>
  <si>
    <t>Hinz, Oliver/0000-0003-4757-0599; von Zahn, Moritz/0000-0003-1160-1007</t>
  </si>
  <si>
    <t>Deutsche Forschungsgemeinschaft (DFG) [449023539]; Volkswagen Foundation (ML2MT); LeibnizInstitute for Financial Research SAFE</t>
  </si>
  <si>
    <t>Deutsche Forschungsgemeinschaft (DFG)(German Research Foundation (DFG)); Volkswagen Foundation (ML2MT); LeibnizInstitute for Financial Research SAFE</t>
  </si>
  <si>
    <t>This work was supported by the Deutsche Forschungsgemeinschaft (DFG) (Projek 449023539), Volkswagen Foundation (ML2MT), and LeibnizInstitute for Financial Research SAFE.</t>
  </si>
  <si>
    <t>1047-7047</t>
  </si>
  <si>
    <t>1526-5536</t>
  </si>
  <si>
    <t>INFORM SYST RES</t>
  </si>
  <si>
    <t>Inf. Syst. Res.</t>
  </si>
  <si>
    <t>10.1287/isre.2023.1199</t>
  </si>
  <si>
    <t>Information Science &amp; Library Science; Management</t>
  </si>
  <si>
    <t>Information Science &amp; Library Science; Business &amp; Economics</t>
  </si>
  <si>
    <t>CZ7H8</t>
  </si>
  <si>
    <t>WOS:000944351000001</t>
  </si>
  <si>
    <t>Lindegger, DJ; Wawrzynski, J; Saleh, GM</t>
  </si>
  <si>
    <t>Lindegger, Daniel Josef; Wawrzynski, James; Saleh, George Michael</t>
  </si>
  <si>
    <t>Evolution and Applications of Artificial Intelligence to Cataract Surgery</t>
  </si>
  <si>
    <t>OPHTHALMOLOGY SCIENCE</t>
  </si>
  <si>
    <t>Artificial intelligence; Cataract surgery; Video analysis</t>
  </si>
  <si>
    <t>VIDEO; SYSTEM</t>
  </si>
  <si>
    <t>Topic: Despite significant recent advances in artificial intelligence (AI) technology within several ophthalmic subspecialties, AI seems to be underutilized in the diagnosis and management of cataracts. In this article, we review AI technology that may soon become central to the cataract surgical pathway, from diagnosis to completion of surgery.Clinical Relevance: This review describes recent advances in AI in the preoperative, intraoperative, and postoperative phase of cataract surgery, demonstrating its impact on the pathway and the surgical team.Methods: A systematic search of PubMed was conducted to identify relevant publications on the topic of AI for cataract surgery. Articles of high quality and relevance to the topic were selected.Results: Before surgery, diagnosis and grading of cataracts through AI-based image analysis has been demonstrated in several research settings. Optimal intraocular lens (IOL) power to achieve the desired post-operative refraction can be calculated with a higher degree of accuracy using AI-based modeling compared with traditional IOL formulae. During surgery, innovative AI-based video analysis tools are in development, promoting a paradigm shift for documentation, storage, and cataloging libraries of surgical videos with applications for teaching and training, complication review, and surgical research. Situation-aware computer-assisted devices can be connected to surgical microscopes for automated video capture and cloud storage upload. Artificial intelligence-based software can provide workflow analysis, tool detection, and video segmentation for skill evaluation by the surgeon and the trainee. Mixed reality features, such as real-time intraoperative warnings, may have a role in improving surgical decision-making with the key aim of reducing complications by recognizing surgical risks in advance and alerting the operator to them. For the management of patient flow through the pathway, AI-based mathematical models generating patient referral patterns are in development, as are simu-lations to optimize operating room use. In the postoperative phase, AI has been shown to predict the posterior capsule status with reasonable accuracy, and can therefore improve the triage pathway in the treatment of posterior capsular opacification.Discussion: Artificial intelligence for cataract surgery will be as relevant as in other subspecialties of ophthalmology and will eventually constitute a future cornerstone for an enhanced cataract surgery pathway. Ophthalmology Science 2022;2:100164 &amp; COPY; 2022 by the American Academy of Ophthalmology. This is an open access article under the CC BY-NC-ND license (http://creativecommons.org/licenses/by-nc-nd/4.0/).</t>
  </si>
  <si>
    <t>[Lindegger, Daniel Josef; Wawrzynski, James; Saleh, George Michael] Moorfields Eye Hosp, London, England; [Wawrzynski, James] UCL, UCL Great Ormond St Inst Child Hlth, London, England; [Wawrzynski, James] NIHR, London, England; [Wawrzynski, James] Great Ormond St Hosp Biomed Res Ctr, London, England; [Saleh, George Michael] NIHR, United Kingdom3, London, England</t>
  </si>
  <si>
    <t>University of London; University College London; Moorfields Eye Hospital NHS Foundation Trust; University of London; University College London; University of London; King's College London; University of London; King's College London</t>
  </si>
  <si>
    <t>Lindegger, DJ (corresponding author), Moorfields Eye Hosp, London, England.</t>
  </si>
  <si>
    <t>lindeggerdaniel@gmail.com</t>
  </si>
  <si>
    <t>Lindegger, Daniel/AGU-0922-2022</t>
  </si>
  <si>
    <t>Lindegger, Daniel/0000-0003-0686-3619</t>
  </si>
  <si>
    <t>2666-9145</t>
  </si>
  <si>
    <t>OPHTHALMOL SCI</t>
  </si>
  <si>
    <t>Ophthalmol. Sci.</t>
  </si>
  <si>
    <t>10.1016/j.xops.2022.100164</t>
  </si>
  <si>
    <t>L9BK7</t>
  </si>
  <si>
    <t>WOS:001026142900013</t>
  </si>
  <si>
    <t>Bazarkina, D</t>
  </si>
  <si>
    <t>Bazarkina, Darya</t>
  </si>
  <si>
    <t>Artificial Intelligence Enhancing Social Engineering in Terrorism: The new Threats</t>
  </si>
  <si>
    <t>terrorism; social engineering; psychological manipulation; malicious use of artificial intelligence; psychological operations with the use of artificial intelligence</t>
  </si>
  <si>
    <t>Terrorist organizations pursue political goals, seeking to achieve them through violence. At the same time, communication remains one of the main aspects of their activities. Their propaganda, recruitment and searches for funding are not just in the digital arena, but also involve the use of a wide range of sophisticated technologies-new encryption tools, crypto currencies, operations in the darknet, etc. At the same time, more and more crimes are committed with the help of social engineering tools (psychological manipulation in order to induce a person to perform certain actions or share confidential information). Given the importance for terrorists of influencing the public consciousness, as well as the convergence of terrorism and cybercrime, terrorist organizations and lone-wolf terrorists can actively use the mechanisms of social engineering in their psychological operations. This threat to the psychological security of society (and in some cases, its physical security) is already a reality. It can become even more relevant due to the development and spread of AI technologies, which (if used maliciously) can facilitate the tasks of social engineering even for criminals without special technical knowledge. Much more dangerous may be a turn to terrorism by specialists who are able to develop AI tools that will initially be designed for psychological manipulation. This could be as simple as AI that offers a user content on certain topics in social media designed to surround the victim of recruitment with content that glorifies terrorism and persuade them to transfer money to a terrorist organization. This paper aims to find out the answers to four main research questions: 1) what are the current and future factors in the turn to terrorism of AI specialists; 2) how can existing and (possibly) future AI technologies make it easier for criminals to perform social engineering tasks; 3) how can terrorist organizations and lonewolf terrorists use social engineering tools through AI to achieve their goals; and 4) what means of countering this threat already exist and can be created in the future?</t>
  </si>
  <si>
    <t>[Bazarkina, Darya] Russian Acad Sci, Inst Europe, Dept European Integrat Res, Moscow, Russia</t>
  </si>
  <si>
    <t>Institute of Europe RAS; Russian Academy of Sciences</t>
  </si>
  <si>
    <t>Bazarkina, D (corresponding author), Russian Acad Sci, Inst Europe, Dept European Integrat Res, Moscow, Russia.</t>
  </si>
  <si>
    <t>Bazarkina-icspsc@yandex.ru</t>
  </si>
  <si>
    <t>Bazarkina, Darya/I-5469-2014</t>
  </si>
  <si>
    <t>Bazarkina, Darya/0000-0002-8421-5396</t>
  </si>
  <si>
    <t>RFBR [N 21-514-92001]</t>
  </si>
  <si>
    <t>RFBR(Russian Foundation for Basic Research (RFBR))</t>
  </si>
  <si>
    <t>The reported study was funded by RFBR, under number N 21-514-92001 Malicious Use of Artificial Intelligence and Challenges to Psychological Security in Northeast Asia.</t>
  </si>
  <si>
    <t>10.34190/EAIR.21.008</t>
  </si>
  <si>
    <t>WOS:000838033200003</t>
  </si>
  <si>
    <t>Visibelli, A; Roncaglia, B; Spiga, O; Santucci, A</t>
  </si>
  <si>
    <t>Visibelli, Anna; Roncaglia, Bianca; Spiga, Ottavia; Santucci, Annalisa</t>
  </si>
  <si>
    <t>The Impact of Artificial Intelligence in the Odyssey of Rare Diseases</t>
  </si>
  <si>
    <t>BIOMEDICINES</t>
  </si>
  <si>
    <t>rare disease; machine learning; artificial intelligence; precision medicine; data analysis</t>
  </si>
  <si>
    <t>IBM WATSON; BIG DATA; CLASSIFICATION; IDENTIFY; IMAGES; MRI</t>
  </si>
  <si>
    <t>Emerging machine learning (ML) technologies have the potential to significantly improve the research and treatment of rare diseases, which constitute a vast set of diseases that affect a small proportion of the total population. Artificial Intelligence (AI) algorithms can help to quickly identify patterns and associations that would be difficult or impossible for human analysts to detect. Predictive modeling techniques, such as deep learning, have been used to forecast the progression of rare diseases, enabling the development of more targeted treatments. Moreover, AI has also shown promise in the field of drug development for rare diseases with the identification of subpopulations of patients who may be most likely to respond to a particular drug. This review aims to highlight the achievements of AI algorithms in the study of rare diseases in the past decade and advise researchers on which methods have proven to be most effective. The review will focus on specific rare diseases, as defined by a prevalence rate that does not exceed 1-9/100,000 on Orphanet, and will examine which AI methods have been most successful in their study. We believe this review can guide clinicians and researchers in the successful application of ML in rare diseases.</t>
  </si>
  <si>
    <t>[Visibelli, Anna; Roncaglia, Bianca; Spiga, Ottavia; Santucci, Annalisa] Univ Siena, Dept Biotechnol Chem &amp; Pharm, I-53100 Siena, Italy; [Spiga, Ottavia; Santucci, Annalisa] Competence Ctr ARTES 4 0, I-53100 Siena, Italy; [Spiga, Ottavia; Santucci, Annalisa] SienabioACTIVE SbA, I-53100 Siena, Italy</t>
  </si>
  <si>
    <t>University of Siena</t>
  </si>
  <si>
    <t>Visibelli, A; Spiga, O (corresponding author), Univ Siena, Dept Biotechnol Chem &amp; Pharm, I-53100 Siena, Italy.;Spiga, O (corresponding author), Competence Ctr ARTES 4 0, I-53100 Siena, Italy.;Spiga, O (corresponding author), SienabioACTIVE SbA, I-53100 Siena, Italy.</t>
  </si>
  <si>
    <t>anna.visibelli2@unisi.it; ottavia.spiga@unisi.it</t>
  </si>
  <si>
    <t>; Santucci, Annalisa/K-1932-2018</t>
  </si>
  <si>
    <t>Spiga, Ottavia/0000-0002-0263-7107; Visibelli, Anna/0000-0001-9281-034X; Roncaglia, Bianca/0009-0002-0009-4011; Santucci, Annalisa/0000-0001-6976-9086</t>
  </si>
  <si>
    <t>2227-9059</t>
  </si>
  <si>
    <t>Biomedicines</t>
  </si>
  <si>
    <t>10.3390/biomedicines11030887</t>
  </si>
  <si>
    <t>Biochemistry &amp; Molecular Biology; Medicine, Research &amp; Experimental; Pharmacology &amp; Pharmacy</t>
  </si>
  <si>
    <t>Biochemistry &amp; Molecular Biology; Research &amp; Experimental Medicine; Pharmacology &amp; Pharmacy</t>
  </si>
  <si>
    <t>A3QN7</t>
  </si>
  <si>
    <t>WOS:000954312300001</t>
  </si>
  <si>
    <t>Ryan, M; Isakhanyan, G; Tekinerdogan, B</t>
  </si>
  <si>
    <t>Ryan, Mark; Isakhanyan, Gohar; Tekinerdogan, Bedir</t>
  </si>
  <si>
    <t>An interdisciplinary approach to artificial intelligence in agriculture</t>
  </si>
  <si>
    <t>Artificial intelligence; ethics; social-economic; technological; interdisciplinarity; digital agriculture</t>
  </si>
  <si>
    <t>BIG DATA; PRECISION AGRICULTURE; NEURAL-NETWORKS; SYSTEM; TECHNOLOGIES; AI</t>
  </si>
  <si>
    <t>Innovations in digital technologies, especially in artificial intelligence (AI), promise substantial benefits to the agricultural sector. Agriculture is increasingly expected to ensure food security and food safety while at the same time considering the environmental aspects. AI in the agricultural sector offers the potential to feed a continuously growing global population and still contribute to achieving the UN's Sustainable Development Goals (SDGs). Despite its promises, the use of AI in agriculture is still limited. We argue that the slow uptake is due to the diverse ways in which AI impacts the agri-food industry, due to the diversity of foods, supply chains, climates, and land in the agricultural sector. We propose that this is also exacerbated by ethical concerns arising from AI use, the varying degrees of technological development and skills, and the economic impacts of agricultural AI. A literature review of multiple disciplines in agricultural AI (economic, environmental, social, ethical, and technological) and a focus group of experts. AI-powered systems in agriculture raise various sets of concerns in multiple disciplines that need to be aligned to provide sustainable AI solutions for the agriculture domain. Our research proposes that it is important to adopt an interdisciplinary approach when developing AI in agriculture. AI in agriculture should be developed by interdisciplinary collaboration because it has a greater chance to be robust, economically-valuable and socially desirable, which may lead to greater acceptance and trust among farmers when using it.</t>
  </si>
  <si>
    <t>[Ryan, Mark; Isakhanyan, Gohar] Wageningen Univ &amp; Res, Wageningen Econ Res, Wageningen, Netherlands; [Tekinerdogan, Bedir] Wageningen Univ &amp; Res, Informat Syst, Wageningen, Netherlands</t>
  </si>
  <si>
    <t>Wageningen University &amp; Research; Wageningen University &amp; Research</t>
  </si>
  <si>
    <t>Ryan, M (corresponding author), Wageningen Univ &amp; Res, Wageningen Econ Res, Wageningen, Netherlands.</t>
  </si>
  <si>
    <t>Tekinerdogan, Bedir/K-3639-2019</t>
  </si>
  <si>
    <t>Tekinerdogan, Bedir/0000-0002-8538-7261; /0000-0003-4850-0111; Isakhanyan, Gohar/0000-0001-7304-4678</t>
  </si>
  <si>
    <t>10.1080/27685241.2023.2168568</t>
  </si>
  <si>
    <t>8F9PZ</t>
  </si>
  <si>
    <t>WOS:000919987700001</t>
  </si>
  <si>
    <t>Radanliev, P</t>
  </si>
  <si>
    <t>Radanliev, Petar</t>
  </si>
  <si>
    <t>Artificial intelligence and quantum cryptography</t>
  </si>
  <si>
    <t>JOURNAL OF ANALYTICAL SCIENCE AND TECHNOLOGY</t>
  </si>
  <si>
    <t>Artificial intelligence; Quantum algorithms; Neural networks; Quantum-AI integration; Quantum threats; AI-enhanced security; Quantum information processing</t>
  </si>
  <si>
    <t>The technological advancements made in recent times, particularly in artificial intelligence (AI) and quantum computing, have brought about significant changes in technology. These advancements have profoundly impacted quantum cryptography, a field where AI methodologies hold tremendous potential to enhance the efficiency and robustness of cryptographic systems. However, the emergence of quantum computers has created a new challenge for existing security algorithms, commonly called the 'quantum threat'. Despite these challenges, there are promising avenues for integrating neural network-based AI in cryptography, which has significant implications for future digital security paradigms. This summary highlights the key themes in the intersection of AI and quantum cryptography, including the potential benefits of AI-driven cryptography, the challenges that need to be addressed, and the prospects of this interdisciplinary research area.</t>
  </si>
  <si>
    <t>[Radanliev, Petar] Univ Oxford, Dept Comp Sci, Oxford, England; [Radanliev, Petar] Univ Bath, Sch Management, Bath, England</t>
  </si>
  <si>
    <t>University of Oxford; University of Bath</t>
  </si>
  <si>
    <t>Radanliev, P (corresponding author), Univ Oxford, Dept Comp Sci, Oxford, England.;Radanliev, P (corresponding author), Univ Bath, Sch Management, Bath, England.</t>
  </si>
  <si>
    <t>radanliev@yahoo.com</t>
  </si>
  <si>
    <t>Radanliev, Petar/L-7509-2015</t>
  </si>
  <si>
    <t>Radanliev, Petar/0000-0001-5629-6857</t>
  </si>
  <si>
    <t>Engineering and Physical Sciences Research Council; Fulbright Visiting Scholar Project</t>
  </si>
  <si>
    <t>Engineering and Physical Sciences Research Council(UK Research &amp; Innovation (UKRI)Engineering &amp; Physical Sciences Research Council (EPSRC)); Fulbright Visiting Scholar Project</t>
  </si>
  <si>
    <t>Eternal gratitude to the Fulbright Visiting Scholar Project.</t>
  </si>
  <si>
    <t>SPRINGER INT PUBL AG</t>
  </si>
  <si>
    <t>2093-3134</t>
  </si>
  <si>
    <t>2093-3371</t>
  </si>
  <si>
    <t>J ANAL SCI TECHNOL</t>
  </si>
  <si>
    <t>J. Anal. Sci. Technol.</t>
  </si>
  <si>
    <t>FEB 9</t>
  </si>
  <si>
    <t>10.1186/s40543-024-00416-6</t>
  </si>
  <si>
    <t>Chemistry, Analytical</t>
  </si>
  <si>
    <t>Chemistry</t>
  </si>
  <si>
    <t>HK6C0</t>
  </si>
  <si>
    <t>WOS:001159425500001</t>
  </si>
  <si>
    <t>Schwyzer, M; Messerli, M; Eberhard, M; Skawran, S; Martini, K; Frauenfelder, T</t>
  </si>
  <si>
    <t>Schwyzer, Moritz; Messerli, Michael; Eberhard, Matthias; Skawran, Stephan; Martini, Katharina; Frauenfelder, Thomas</t>
  </si>
  <si>
    <t>Impact of dose reduction and iterative reconstruction algorithm on the detectability of pulmonary nodules by artificial intelligence</t>
  </si>
  <si>
    <t>Artificial intelligence; Dose reduction; Iterative reconstruction algorithm; Lung nodule; Nodule detection</t>
  </si>
  <si>
    <t>CHEST CT; EQUIVALENT; RADIATION</t>
  </si>
  <si>
    <t>Purpose: The purpose of this study was to assess whether the performances of an automated software for lung nodule detection with computed tomography (CT) are affected by radiation dose and the use of iterative reconstruction algorithm. Materials and methods: A chest phantom (Multipurpose Chest Phantom N1; Kyoto Kagaku Co. Ltd, Kyoto, Japan) with 15 pulmonary nodules was scanned with a total of five CT protocol settings with up to 20-fold dose reduction. All CT examinations were reconstructed with iterative reconstruction algorithms ADMIRE 3 and ADMIRE 5 and were then analyzed for the presence of pulmonary nodules with a fully automated computer aided detection software system (InferRead (TM) CT Lung, Infervision), which is based on deep neural networks. Results: The sensitivity of fully automated pulmonary nodule detection for ground-glass nodules at standard dose CT was greater (70.0%; 14/20; 95% CI: 51.6-88.4%) than at 10-fold and 20-fold dose reduction (30.0%; 6/20; 95% CI: 0.0%-62.5%). There were less false positive findings when ADMIRE 5 reconstruction was used (4.0 +/- 2.8 [SD]; range: 2-6) instead of ADMIRE 3 reconstruction (25.0 +/- 15.6 [SD]; range: 14-36). There was no difference in the sensitivity of detection of solid and subsolid nodules between standard dose (100%; 95% CI: 100-100%) and 10-and 20-fold reduced dose CT (92.5%; 95% CI: 83.8-100.0%). Image noise was significantly greater with ADMIRE 3 (81 +/- 2 [SD] [range: 79-84]; 104 +/- 3 [SD] [range: 101-107]; 114 +/- 5 [SD] [range: 110-119]; 193 +/- 10 [SD] [range: 183-203]; 220 +/- 16 [SD] [range: 210-238]) compared to ADMIRE 5 (44 +/- 2 [SD] [range: 42-46]; 60 +/- 2 [SD] [range: 57-61]; 66 +/- 1 [SD] [range: 65-67]; 103 +/- 4 [SD] [range: 98-106]; 110 +/- 1 [SD] [range: 109-111]), respectively in each of the five CT protocols. Conclusion: This phantom study suggests that dose reduction and iterative reconstruction settings have an impact on detectability of pulmonary nodules by artificial intelligence software and we therefore encourage adaption of dose levels and reconstruction methods prior to widespread implementation of fully automatic nodule detection software for lung cancer screening purposes. (C)2021 The Author(s). Published by Elsevier Masson SAS on behalf of Societe francaise de radiologie.</t>
  </si>
  <si>
    <t>[Schwyzer, Moritz; Eberhard, Matthias; Skawran, Stephan; Martini, Katharina; Frauenfelder, Thomas] Univ Hosp Zurich, Inst Diagnost &amp; Intervent Radiol, CH-8091 Zurich, Switzerland; [Schwyzer, Moritz] Swiss Fed Inst Technol, Hlth Sci &amp; Technol, Inst Food Nutr &amp; Hlth, CH-8603 Schwerzenbach, Switzerland; [Schwyzer, Moritz; Messerli, Michael; Eberhard, Matthias; Skawran, Stephan; Martini, Katharina; Frauenfelder, Thomas] Univ Zurich, CH-8006 Zurich, Switzerland; [Schwyzer, Moritz] Univ Penn, Sch Engn &amp; Appl Sci, Philadelphia, PA 19104 USA; [Messerli, Michael; Skawran, Stephan] Univ Hosp Zurich, Dept Nucl Med, CH-8091 Zurich, Switzerland</t>
  </si>
  <si>
    <t>University of Zurich; University Zurich Hospital; Swiss Federal Institutes of Technology Domain; ETH Zurich; University of Zurich; University of Pennsylvania; University of Zurich; University Zurich Hospital</t>
  </si>
  <si>
    <t>Martini, K (corresponding author), Univ Hosp Zurich, Inst Diagnost &amp; Intervent Radiol, CH-8091 Zurich, Switzerland.;Martini, K (corresponding author), Univ Zurich, CH-8006 Zurich, Switzerland.</t>
  </si>
  <si>
    <t>katharina.martini@usz.ch</t>
  </si>
  <si>
    <t>Skawran, Stephan/LXA-0572-2024; Martini, Katharina/AAW-7995-2020; Frauenfelder, Thomas/O-1734-2016</t>
  </si>
  <si>
    <t>Beintner-Skawran, Stephan Martin/0000-0003-2721-9726</t>
  </si>
  <si>
    <t>LUNGE ZURICH; MedLab Fellowship at ETH Zurich; Monique Dornonville de Cour-Stiftung; ETH Zurich Foundation; Iten-Kohaut Foundation, Switzerland; Clinical Research Priority Program (CRPP) Artificial Intelligence in oncological Imaging of the University Zurich</t>
  </si>
  <si>
    <t>LUNGE ZURICH; MedLab Fellowship at ETH Zurich; Monique Dornonville de Cour-Stiftung; ETH Zurich Foundation(ETH Zurich); Iten-Kohaut Foundation, Switzerland; Clinical Research Priority Program (CRPP) Artificial Intelligence in oncological Imaging of the University Zurich</t>
  </si>
  <si>
    <t>The work was supported by LUNGE ZURICH. Dr. Moritz Schwyzer is funded by the MedLab Fellowship at ETH Zurich, which is supportet by the Monique Dornonville de Cour - Stiftung and the ETH Zurich Foundation. Dr. Michael Messerli has received a research grant from the Iten-Kohaut Foundation, Switzerland and has been supported by the Clinical Research Priority Program (CRPP) Artificial Intelligence in oncological Imaging of the University Zurich.</t>
  </si>
  <si>
    <t>10.1016/j.diii.2021.12.002</t>
  </si>
  <si>
    <t>1J3SP</t>
  </si>
  <si>
    <t>WOS:000797839900006</t>
  </si>
  <si>
    <t>Apostolidis, G; Kakouri, A; Dimaridis, I; Vasileiou, E; Gerasimou, I; Charisis, V; Hadjidimitriou, S; Lazaridis, N; Germanidis, G; Hadjileontiadis, L</t>
  </si>
  <si>
    <t>Apostolidis, Georgios; Kakouri, Antigoni; Dimaridis, Ioannis; Vasileiou, Eleni; Gerasimou, Ioannis; Charisis, Vasileios; Hadjidimitriou, Stelios; Lazaridis, Nikolaos; Germanidis, Georgios; Hadjileontiadis, Leontios</t>
  </si>
  <si>
    <t>A web-based platform for studying the impact of artificial intelligence in video capsule endoscopy</t>
  </si>
  <si>
    <t>HEALTH INFORMATICS JOURNAL</t>
  </si>
  <si>
    <t>video capsule endoscopy; multi-reader multi-case study; web application; system usability scale; artificial intelligence impact</t>
  </si>
  <si>
    <t>DEVICE-ASSISTED ENTEROSCOPY; DISORDERS EUROPEAN-SOCIETY; DIAGNOSIS; CHALLENGES</t>
  </si>
  <si>
    <t>Objective: Integrating artificial intelligence (AI) solutions into clinical practice, particularly in the field of video capsule endoscopy (VCE), necessitates the execution of rigorous clinical studies. Methods: This work introduces a novel software platform tailored to facilitate the conduct of multi-reader multi-case clinical studies in VCE. The platform, developed as a web application, prioritizes remote accessibility to accommodate multi-center studies. Notably, considerable attention was devoted to user interface and user experience design elements to ensure a seamless and engaging interface. To evaluate the usability of the platform, a pilot study is conducted. Results: The results indicate a high level of usability and acceptance among users, providing valuable insights into the expectations and preferences of gastroenterologists navigating AI-driven VCE solutions. Conclusion: This research lays a foundation for future advancements in AI integration within clinical VCE practice.</t>
  </si>
  <si>
    <t>[Apostolidis, Georgios; Kakouri, Antigoni; Dimaridis, Ioannis; Vasileiou, Eleni; Gerasimou, Ioannis; Charisis, Vasileios; Hadjidimitriou, Stelios] Aristotle Univ Thessaloniki, Dept Elect &amp; Comp Engn, Ktirio D,6os Orofos,Monada Epexergasias Simatos, GR-54124 Thessaloniki, Greece; [Lazaridis, Nikolaos] Aristotle Univ Thessaloniki, AHEPA Univ Hosp, Dept Internal Med 1, Div Gastroenterol &amp; Hepatol, Thessaloniki, Greece; [Germanidis, Georgios] Aristotle Univ Thessaloniki, Fac Hlth Sci, Sch Med,Special Unit Biomed Res &amp; Educ, Basic &amp; Translat Res Unit, Thessaloniki, Greece; [Hadjileontiadis, Leontios] Khalifa Univ, Dept Biomed Engn, Abu Dhabi, U Arab Emirates</t>
  </si>
  <si>
    <t>Aristotle University of Thessaloniki; Aristotle University of Thessaloniki; Ahepa University Hospital; Aristotle University of Thessaloniki; Khalifa University of Science &amp; Technology</t>
  </si>
  <si>
    <t>Apostolidis, G (corresponding author), Aristotle Univ Thessaloniki, Dept Elect &amp; Comp Engn, Ktirio D,6os Orofos,Monada Epexergasias Simatos, GR-54124 Thessaloniki, Greece.</t>
  </si>
  <si>
    <t>gapostol@auth.gr</t>
  </si>
  <si>
    <t>GERMANIDIS, GEORGIOS/ABI-3764-2020; Hadjileontiadis, Leontios/AAF-3448-2020</t>
  </si>
  <si>
    <t>Hadjidimitriou, Stelios/0000-0002-3676-6556; Charisis, Vasileios/0000-0001-8007-2343; Apostolidis, Georgios/0000-0002-8683-0229</t>
  </si>
  <si>
    <t>The author would like to thank all gastroenterologists who participated in the study.</t>
  </si>
  <si>
    <t>1460-4582</t>
  </si>
  <si>
    <t>1741-2811</t>
  </si>
  <si>
    <t>HEALTH INFORM J</t>
  </si>
  <si>
    <t>Health Inform. J.</t>
  </si>
  <si>
    <t>10.1177/14604582241296072</t>
  </si>
  <si>
    <t>K3X6W</t>
  </si>
  <si>
    <t>WOS:001343244100001</t>
  </si>
  <si>
    <t>Hamilton, A</t>
  </si>
  <si>
    <t>Hamilton, Allan</t>
  </si>
  <si>
    <t>Artificial Intelligence and Healthcare Simulation: The Shifting Landscape of Medical Education</t>
  </si>
  <si>
    <t>neural blockade; deep learning; machine learning; task trainers; manikin; simulation; artificial intelligence</t>
  </si>
  <si>
    <t>VIRTUAL STANDARDIZED-PATIENT; REALITY; QUALITY; EMPATHY; TECHNOLOGY; STUDENTS; HISTORY; IMPROVE; COSTS</t>
  </si>
  <si>
    <t>The impact of artificial intelligence (AI) will be felt not only in the arena of patient care and deliverable therapies but will also be uniquely disruptive in medical education and healthcare simulation (HCS), in particular. As HCS is intertwined with computer technology, it offers opportunities for rapid scalability with AI and, therefore, will be the most practical place to test new AI applications. This will ensure the acquisition of AI literacy for graduates from the country's various healthcare professional schools. Artificial intelligence has proven to be a useful adjunct in developing interprofessional education and team and leadership skills assessments. Outcome-driven medical simulation has been extensively used to train students in imagecentric disciplines such as radiology, ultrasound, echocardiography, and pathology. Allowing students and trainees in healthcare to first apply diagnostic decision support systems (DDSS) under simulated conditions leads to improved diagnostic accuracy, enhanced communication with patients, safer triage decisions, and improved outcomes from rapid response teams. However, the issue of bias, hallucinations, and the uncertainty of emergent properties may undermine the faith of healthcare professionals as they see AI systems deployed in the clinical setting and participating in diagnostic judgments. Also, the demands of ensuring AI literacy in our healthcare professional curricula will place burdens on simulation assets and faculty to adapt to a rapidly changing technological landscape. Nevertheless, the introduction of AI will place increased emphasis on virtual reality platforms, thereby improving the availability of self-directed learning and making it available 24/7, along with uniquely personalized evaluations and customized coaching. Yet, caution must be exercised concerning AI, especially as society's earlier, delayed, and muted responses to the inherent dangers of social media raise serious questions about whether the American government and its citizenry can anticipate the security and privacy guardrails that need to be in place to protect our healthcare practitioners, medical students, and patients.</t>
  </si>
  <si>
    <t>[Hamilton, Allan] Univ Arizona, Arizona Simulat Technol &amp; Educ Ctr ASTEC, Artificial Intelligence Div, Tucson, AZ 85721 USA</t>
  </si>
  <si>
    <t>University of Arizona</t>
  </si>
  <si>
    <t>Hamilton, A (corresponding author), Univ Arizona, Arizona Simulat Technol &amp; Educ Ctr ASTEC, Artificial Intelligence Div, Tucson, AZ 85721 USA.</t>
  </si>
  <si>
    <t>allan@surgery.arizona.edu</t>
  </si>
  <si>
    <t>e59747</t>
  </si>
  <si>
    <t>10.7759/cureus.59747</t>
  </si>
  <si>
    <t>SP9L0</t>
  </si>
  <si>
    <t>WOS:001235770500022</t>
  </si>
  <si>
    <t>Durur-Subasi, I; Özçelik, SB</t>
  </si>
  <si>
    <t>Durur-Subasi, Irmak; Ozcelik, S. Baris</t>
  </si>
  <si>
    <t>Artificial Intelligence in Breast Imaging: Opportunities, Challenges, and Legal-Ethical Considerations</t>
  </si>
  <si>
    <t>EURASIAN JOURNAL OF MEDICINE</t>
  </si>
  <si>
    <t>Artificial Intelligence; Breast; Deep Learning; Imaging; Medical Law</t>
  </si>
  <si>
    <t>CANCER; PARAMETERS; CARCINOMA; LESIONS; SYSTEM; AI</t>
  </si>
  <si>
    <t>This review explores the transformative impact of artificial intelligence (AI) in breast imaging, driven by a global rise in breast cancer cases. Propelled by deep learning techniques, AI shows promise in refining diagnostic processes, yet adoption rates vary. Its ability to manage extensive datasets and process multidimensional information holds potential for advancing precision medicine in breast cancer research. However, integration faces challenges, from data -related obstacles to ensuring transparency and trust in decision -making. Legal considerations, including the formation of AI teams and intellectual property protection, influence health care's adoption of AI. Ethical dimensions underscore the need for responsible AI implementation, emphasizing autonomy, well-being, safety, transparency, and accessibility. Establishing a robust legal and ethical framework is crucial for conscientiously deploying AI, ensuring positive impacts on patient safety and treatment efficacy. As nations and organizations aspire to engage in global competition, not merely as consumers, the review highlights the critical importance of developing legal regulations. A comprehensive approach, from AI team formation to end -user processes, is essential for navigating the complex terrain of AI applications in breast imaging. Legal experts play a key role in ensuring compliance, managing risks, and fostering resilient integration. The ultimate goal is a harmonious synergy between technological advancements and ethical considerations, ushering in enhanced breast cancer diagnostics through responsible AI utilization.</t>
  </si>
  <si>
    <t>[Durur-Subasi, Irmak] Istanbul Medipol Univ, Int Fac Med, Istanbul, Turkiye; [Ozcelik, S. Baris] Bilkent Univ, Fac Law, Ankara, Turkiye</t>
  </si>
  <si>
    <t>Istanbul Medipol University; Ihsan Dogramaci Bilkent University</t>
  </si>
  <si>
    <t>Durur-Subasi, I (corresponding author), Istanbul Medipol Univ, Int Fac Med, Istanbul, Turkiye.</t>
  </si>
  <si>
    <t>isubasi@medipol.edu.tr</t>
  </si>
  <si>
    <t>Scientific and Technological Research Council of Turkiye (TUBITAK) [122K872]</t>
  </si>
  <si>
    <t>Scientific and Technological Research Council of Turkiye (TUBITAK)(Turkiye Bilimsel ve Teknolojik Arastirma Kurumu (TUBITAK))</t>
  </si>
  <si>
    <t>Dr. OEzcelik's work is supported by the Scientific and Technological Research Council of Turkiye (TUBITAK) within the project Legal Analysis Artificial Intelligence Applications in Health (Grant No. 122K872) .</t>
  </si>
  <si>
    <t>ATATURK UNIV</t>
  </si>
  <si>
    <t>ERZURUM</t>
  </si>
  <si>
    <t>Univ District, Yakutiye, ERZURUM, TURKIYE</t>
  </si>
  <si>
    <t>1308-8742</t>
  </si>
  <si>
    <t>EURASIAN J MED</t>
  </si>
  <si>
    <t>Eurasian J. Med.</t>
  </si>
  <si>
    <t>10.5152/eurasianjmed.2023.23360</t>
  </si>
  <si>
    <t>MP9P6</t>
  </si>
  <si>
    <t>WOS:001194949900016</t>
  </si>
  <si>
    <t>Berkowitz, AE</t>
  </si>
  <si>
    <t>Berkowitz, Adam Eric</t>
  </si>
  <si>
    <t>ARTIFICIAL INTELLIGENCE AND MUSICKING: A PHILOSOPHICAL INQUIRY</t>
  </si>
  <si>
    <t>MUSIC PERCEPTION</t>
  </si>
  <si>
    <t>artificial intelligence; ethics; philosophy; music; metaphysics</t>
  </si>
  <si>
    <t>ARTIFICIAL INTELLIGENCE (AI) DEPLOYED FOR customer relationship management ( CRM), digital rights management (DRM), content recommendation, and content generation challenge longstanding truths about listening to and making music. CRM uses music to surveil audiences, removes decision-making responsibilities from consumers, and alters relationships among listeners, artists, and music. DRM overprotects copyrighted content by subverting Fair Use Doctrine and privatizing the Public Domain thereby restricting human creativity. Generative AI, often trained on music misappropriated by developers, renders novel music that seemingly represents neither the artistry present in the training data nor the handiwork of the AI's user. AI music, as such, appears to be produced through AI cognition, resulting in what some have called ''machine folk'' and contributing to a ''culture in code.'' A philosophical analysis of these relationships is required to fully understand how AI impacts music, artists, and audiences. Using metasynthesis and grounded theory, this study considers physical reductionism, metaphysical nihilism, existentialism, and modernity to describe the quiddity of AI's role in the music ecosystem. Concluding thoughts call researchers and educators to act on philosophical and ethical discussions of AI and promote continued research, public education, and democratic/laymen intervention to ensure ethical outcomes in the AI music space.</t>
  </si>
  <si>
    <t>[Berkowitz, Adam Eric] Broward Cty Lib, Ft Lauderdale, FL USA</t>
  </si>
  <si>
    <t>Berkowitz, AE (corresponding author), Univ Alabama, Coll Commun &amp; Informat Sci, Reesephifer Hall,901 Univ Blvd, Tuscaloosa, AL 35401 USA.</t>
  </si>
  <si>
    <t>aeberkowitz@crimson.ua.edu</t>
  </si>
  <si>
    <t>Berkowitz, Adam Eric/0000-0001-8340-4745</t>
  </si>
  <si>
    <t>UNIV CALIFORNIA PRESS</t>
  </si>
  <si>
    <t>OAKLAND</t>
  </si>
  <si>
    <t>155 GRAND AVE, SUITE 400, OAKLAND, CA 94612-3758 USA</t>
  </si>
  <si>
    <t>0730-7829</t>
  </si>
  <si>
    <t>MUSIC PERCEPT</t>
  </si>
  <si>
    <t>Music Percept.</t>
  </si>
  <si>
    <t>10.1525/MP.2024.41.5.393</t>
  </si>
  <si>
    <t>Music; Psychology, Experimental</t>
  </si>
  <si>
    <t>Music; Psychology</t>
  </si>
  <si>
    <t>SK9W0</t>
  </si>
  <si>
    <t>WOS:001234473500006</t>
  </si>
  <si>
    <t>Guerra-Dávila, E; Guerra-Reyes, F; Dávila-Otero, D; Guerra-Dávila, F</t>
  </si>
  <si>
    <t>Guerra-Davila, Eric; Guerra-Reyes, Frank; Davila-Otero, Diego; Guerra-Davila, Frank</t>
  </si>
  <si>
    <t>ARTIFICIAL INTELLIGENCE AND DIDACTIC PRACTICE WITHIN AUGMENTED HUMANITY CONTEXTS. A SYSTEMATIC REVIEW</t>
  </si>
  <si>
    <t>artificial intelligence; teaching process; learning process; augmented humanity; systematic review</t>
  </si>
  <si>
    <t>The usage of artificial intelligence is increasingly common in different contexts, both academic and social. This research study is a systematic review on how Artificial Intelligence influences contemporary teaching practices implemented by teachers. This allowed the identification of trends, challenges and opportunities that Artificial Intelligence provides to improve the quality of the teaching-learning process at different levels of schooling. The PRISMA protocol was used to select and analyze the papers, which were searched in Scopus, Web of Science and ERIC databases, published during the period 20212024. The bibliometric analysis was conducted with the bibliometrix software which established the appropriate criteria for a precise search strategy. The Atlas.ti software was used to perform a qualitative analysis of the contents. The results indicate that Artificial Intelligence has a positive impact on teaching practices, especially in personalization, adaptation, feedback and evaluation of learning. However, some challenges are also shown, such as insufficient training, resistance to change on the part of education agents, ethical and legal limitations, and the increase in the digital divide.</t>
  </si>
  <si>
    <t>[Guerra-Davila, Eric; Guerra-Davila, Frank] Inst Super Tecnol ITCA, Ibarra, Ecuador; [Guerra-Reyes, Frank] Univ Tecn Norte, Ibarra, Ecuador; [Davila-Otero, Diego] Seres &amp; Saberes, Ibarra, Ecuador</t>
  </si>
  <si>
    <t>Guerra-Dávila, E (corresponding author), Inst Super Tecnol ITCA, Ibarra, Ecuador.</t>
  </si>
  <si>
    <t>eoguerra@itca.edu.ec; feguerra@utn.edu.ec; davilaotero2@hotmail.com; feguerra@itca.edu.ec</t>
  </si>
  <si>
    <t>P9T9P</t>
  </si>
  <si>
    <t>WOS:001381251900008</t>
  </si>
  <si>
    <t>Grande-de-Prado, M; García-Martín, S; Baelo-Alvarez, R; Abella-García, V</t>
  </si>
  <si>
    <t>Tomczyk, L</t>
  </si>
  <si>
    <t>Grande-de-Prado, Mario; Garcia-Martin, Sheila; Baelo-Alvarez, Roberto; Abella-Garcia, Victor</t>
  </si>
  <si>
    <t>Artificial Intelligence: A Review of Educational Literature in Spain</t>
  </si>
  <si>
    <t>NEW MEDIA PEDAGOGY: RESEARCH TRENDS, METHODOLOGICAL CHALLENGES, AND SUCCESSFUL IMPLEMENTATIONS, NMP 2023</t>
  </si>
  <si>
    <t>2nd International Conference on New Media Pedagogy (NMP) - Research Trends, Methodological Challenges, and Successful Implementations</t>
  </si>
  <si>
    <t>NOV 21-23, 2023</t>
  </si>
  <si>
    <t>Cracow, POLAND</t>
  </si>
  <si>
    <t>Jagiellonian Univ</t>
  </si>
  <si>
    <t>Artificial Intelligence; Review; Educational Technology</t>
  </si>
  <si>
    <t>TECHNOLOGIES; SCHOOL.</t>
  </si>
  <si>
    <t>In the context of aVUCA(volatility, uncertainty, complexity and ambiguity) society, the evolution of Artificial Intelligence (AI) has been characterised by a growing social impact. In this regard, this study reviews the educational academic literature in Spanish academic journals from 2020 to 2023, focusing on the intersection of AI and education. The research utilises a descriptive-interpretive methodology. It is a global and exploratory literature mapping. Thirty-nine articles are identified on Dialnet. Results reveal a rising trend with the same amount of publications in 2023 (in half a year) as in 2022. The impact of ChatGPT, a renowned AI model, in 2023 is acknowledged, suggesting an upward trajectory in publications. Indexed mostly in Scopus, the articles reflect the keen interest of Spanish academics in AI and education. Research and essays/reflections constitute most articles, emphasising concerns about the challenges and applications of AI in education. In conclusion, the study underscores the need for continued exploration and understanding of the evolving landscape of AI in education, with the support of further empirical research. It proposed future research directions, including comparative studies with other regions, to better grasp the global implications of AI in shaping the future of education.</t>
  </si>
  <si>
    <t>[Grande-de-Prado, Mario; Garcia-Martin, Sheila; Baelo-Alvarez, Roberto] Univ Leon, Fac Educ Leon, Campus Vegazana S-N, Leon 24071, Spain; [Abella-Garcia, Victor] Univ Burgos, Fac Educ Burgos, C Villadiego 1, Burgos 09001, Spain</t>
  </si>
  <si>
    <t>Universidad de Leon; Universidad de Burgos</t>
  </si>
  <si>
    <t>Grande-de-Prado, M (corresponding author), Univ Leon, Fac Educ Leon, Campus Vegazana S-N, Leon 24071, Spain.</t>
  </si>
  <si>
    <t>mgrap@unileon.es; sgarcm@unileon.es; roberto.baelo@unileon.es; vabella@ubu.es</t>
  </si>
  <si>
    <t>GARCIA-MARTIN, Sheila/AAB-2147-2019; Grande-de-Prado, Mario/JLM-3467-2023</t>
  </si>
  <si>
    <t>Grande-de-Prado, Mario/0000-0002-7180-8301</t>
  </si>
  <si>
    <t>978-3-031-63234-1; 978-3-031-63235-8</t>
  </si>
  <si>
    <t>10.1007/978-3-031-63235-8_27</t>
  </si>
  <si>
    <t>BX3XC</t>
  </si>
  <si>
    <t>WOS:001285637200027</t>
  </si>
  <si>
    <t>Somaraju, P; Kulkarni, SS; Duffy, VG; Kanade, S</t>
  </si>
  <si>
    <t>Somaraju, Pranati; Kulkarni, Sayali Sanjay; Duffy, Vincent G.; Kanade, Sameeran</t>
  </si>
  <si>
    <t>Artificial Intelligence and Mobile Computing: Role of AI in Ergonomics</t>
  </si>
  <si>
    <t>Artificial Intelligence; Mobile Computing; Ergonomics</t>
  </si>
  <si>
    <t>The integration of Artificial Intelligence (AI) into ergonomics represents a transformative paradigm in the optimization of workplace environments. This report explores the multifaceted impact of AI in ergonomics, emphasizing its significance in enhancing both worker well-being and operational efficiency. AI-driven solutions in ergonomics leverage advanced data analytics to assess human factors, task demands, and environmental conditions, offering a data-driven approach to ergonomic design. This not only minimizes the risk of workplace injuries but also fosters environments that promote employee health and productivity. The research further delves into the study that employs various citation and data analysis tools to conduct comprehensive research. During the initial data collection phase, Google Ngram was employed to anticipate trends in topics. Additionally, MAXQDA, VOSviewer, BibExcel, Vos viewer and Citespace were utilized for the systematic analysis of citations and associated data. Metadata extraction was carried out utilizing the Purdue Library database, encompassing Scopus, Web of Science, Harzing's Publish or Perish, and Google Scholar. Following several bibliometric analyses, it became evident that artificial intelligence (AI) significantly influences the fields of ergonomics and safety. The synergy between AI and ergonomics is positioned as a cornerstone in the evolution of Industrial Engineering, empowering professionals to design systems that prioritize safety while embracing technological advancements. The societal response to this burgeoning field necessitates strategic funding for research and education, fostering interdisciplinary collaboration and ensuring a skilled workforce. In essence, this abstract underscore the transformative potential of AI in ergonomics, offering a forward-looking perspective on the integration of technology to create safer, more efficient, and ethically grounded workplaces.</t>
  </si>
  <si>
    <t>[Somaraju, Pranati; Kulkarni, Sayali Sanjay; Duffy, Vincent G.; Kanade, Sameeran] Purdue Univ, W Lafayette, IN 47906 USA</t>
  </si>
  <si>
    <t>Kulkarni, SS (corresponding author), Purdue Univ, W Lafayette, IN 47906 USA.</t>
  </si>
  <si>
    <t>psomaraj@purdue.edu; kulka121@purdue.edu</t>
  </si>
  <si>
    <t>10.1007/978-3-031-61066-0_16</t>
  </si>
  <si>
    <t>WOS:001283312100016</t>
  </si>
  <si>
    <t>Feng, FF; Li, JJ; Zhang, F; Sun, JH</t>
  </si>
  <si>
    <t>Feng, Fangfang; Li, Junjun; Zhang, Feng; Sun, Jinghuan</t>
  </si>
  <si>
    <t>The impact of artificial intelligence on green innovation efficiency: Moderating role of dynamic capability</t>
  </si>
  <si>
    <t>INTERNATIONAL REVIEW OF ECONOMICS &amp; FINANCE</t>
  </si>
  <si>
    <t>Artificial intelligence; Green innovation; Dynamic capability; Absorptive capability; Innovative capability; Adaptive capability</t>
  </si>
  <si>
    <t>ABSORPTIVE-CAPACITY; SUSTAINABILITY; TRANSFORMATION; PERFORMANCE; CHALLENGES; INDUSTRY</t>
  </si>
  <si>
    <t>Environmental concerns have intensified the focus on sustainable innovation, with artificial intelligence (AI) emerging as a potential driver. However, the relationship between AI adoption and green innovation efficiency, particularly in emerging economies, remains unclear. This gap is crucial to address as it could reveal pathways to enhance sustainable development in rapidly growing markets. Here, we investigate how AI impacts green innovation efficiency in Chinese firms and examine the moderating effects of dynamic capabilities. Using panel data from 26,117 firm-year observations of Chinese A-share listed companies (2008-2022), we employ a novel textbased measure of AI adoption and assess green innovation efficiency through patent applications and R&amp;D expenditure. Our findings reveal a significant positive relationship between AI adoption and green innovation efficiency, with dynamic capabilities enhancing this effect. The impact is stronger in non-state-owned and high-tech firms. These results demonstrate AI's potential as a catalyst for sustainable development and highlight the importance of organizational capabilities in realizing these benefits. Our study contributes to the evolving discourse on technology-driven sustainability, providing insights for both theory and practice in leveraging AI for green innovation in diverse economic contexts.</t>
  </si>
  <si>
    <t>[Feng, Fangfang] Beijing Coll Finance &amp; Commerce, Qual Management Off, Beijing 101101, Peoples R China; [Li, Junjun] Xi An Jiao Tong Univ, Sch Management, Xian 710049, Peoples R China; [Zhang, Feng] Beijing Inst Technol, Sch Educ, Beijing 100081, Peoples R China; [Sun, Jinghuan] Beijing Int Studies Univ, Beijing 100024, Peoples R China</t>
  </si>
  <si>
    <t>Beijing College of Finance &amp; Commerce; Xi'an Jiaotong University; Beijing Institute of Technology; Beijing International Studies University</t>
  </si>
  <si>
    <t>Sun, JH (corresponding author), Beijing Int Studies Univ, Beijing 100024, Peoples R China.</t>
  </si>
  <si>
    <t>fangfangruc1993@163.com; lijj3@citic.com; zhangfengbj@163.com; sunjinghuan0327@163.com</t>
  </si>
  <si>
    <t>Li, Junjun/LBH-6810-2024</t>
  </si>
  <si>
    <t>1059-0560</t>
  </si>
  <si>
    <t>1873-8036</t>
  </si>
  <si>
    <t>INT REV ECON FINANC</t>
  </si>
  <si>
    <t>Int. Rev. Econ. Financ.</t>
  </si>
  <si>
    <t>10.1016/j.iref.2024.103649</t>
  </si>
  <si>
    <t>Business, Finance; Economics</t>
  </si>
  <si>
    <t>H6F3G</t>
  </si>
  <si>
    <t>WOS:001324372100001</t>
  </si>
  <si>
    <t>Espina-Romero, L; Sánchez, JG; Hurtado, H; Conde, H; Castro, Y; Cajo, LE; Corredoira, J</t>
  </si>
  <si>
    <t>Espina-Romero, Lorena; Norono Sanchez, Jose Gregorio; Gutierrez Hurtado, Humberto; Dworaczek Conde, Helga; Solier Castro, Yessenia; Cervera Cajo, Luz Emerita; Rio Corredoira, Jose</t>
  </si>
  <si>
    <t>Which Industrial Sectors Are Affected by Artificial Intelligence? A Bibliometric Analysis of Trends and Perspectives</t>
  </si>
  <si>
    <t>artificial intelligence; industrial sectors; machine learning algorithms; healthcare; sustainability; economic inequality; transportation</t>
  </si>
  <si>
    <t>IMPACT; RECOMMENDATION; ROBOTICS; TOOL</t>
  </si>
  <si>
    <t>In recent times, artificial intelligence (AI) has been generating a significant impact in various industry sectors, which implies that companies must be ready to adjust to this promising start and progress in the direction of sustainability. The objective of this paper was to analyze the industrial sectors impacted by artificial intelligence during the period 2018-2022. The methodology consisted of applying a quantitative and bibliometric approach to a collection of 164 manuscripts indexed in Scopus with the help of statistical packages such as RStudio version 4.3.0, VOSviewer version 1.6.19, and Microsoft Excel 365. The results indicate that artificial intelligence is having a growing impact in sectors such as technology, finance, healthcare, the environment, and construction. Geographically, the most impacted sectors are in Europe and Asia, while the least impacted are in the Americas, Africa, and Oceania. It is proposed to conduct future research using AI in power quality (PQ), energy storage systems (ESSs) and hydrogen fuel cell (HFC) systems to contribute, firstly, in the transition to a more sustainable economy, followed by a decrease in dependence on fossil fuels. This research contributes to existing knowledge and paves the way for future exploration of qualitative aspects and emerging trends in the field of artificial intelligence influence in industrial sectors.</t>
  </si>
  <si>
    <t>[Espina-Romero, Lorena; Gutierrez Hurtado, Humberto] Univ San Ignacio de Loyola, Escuela Postgrad, Lima 15024, Peru; [Norono Sanchez, Jose Gregorio] Univ Sinu Elias Bechara Zainum, Fac Derecho, Monteria 230001, Colombia; [Dworaczek Conde, Helga] Univ Santo Tomas, Programa Maestria Adm MBA, Bogota 110231, Colombia; [Solier Castro, Yessenia; Cervera Cajo, Luz Emerita] Univ Cesar Vallejo, Escuela Posgrad, Lima 15314, Peru; [Rio Corredoira, Jose] Univ Int SEK, Escuela Psicol, Quito 170134, Ecuador</t>
  </si>
  <si>
    <t>Universidad San Ignacio de Loyola; Universidad Santo Tomas USTA; Universidad Cesar Vallejo</t>
  </si>
  <si>
    <t>Espina-Romero, L (corresponding author), Univ San Ignacio de Loyola, Escuela Postgrad, Lima 15024, Peru.</t>
  </si>
  <si>
    <t>lespina@usil.edu.pe; josenorono@unisinu.edu.co; humberto.gutierrez@epg.usil.pe; dir.mba@usantotomas.edu.co; ssoliercas@ucvvirtual.edu.pe; lcerverac@ucv.edu.pe; jfrio.mcib@uisek.edu.ec</t>
  </si>
  <si>
    <t>Espina-Romero, Lorena/AAP-4921-2021; Norono Sanchez, Jose Gregorio/ABT-4843-2022</t>
  </si>
  <si>
    <t>Dworaczek Conde, Helga Ofelia/0000-0003-2094-3252; Gutierrez, Humberto/0000-0002-2380-9019; Norono Sanchez, Jose Gregorio/0000-0001-9777-2733; Espina Romero, Lorena del Carmen/0000-0002-6637-8300</t>
  </si>
  <si>
    <t>10.3390/su151612176</t>
  </si>
  <si>
    <t>Q5BE0</t>
  </si>
  <si>
    <t>WOS:001057662700001</t>
  </si>
  <si>
    <t>Elambasseril, J; Brandt, M</t>
  </si>
  <si>
    <t>Elambasseril, Joe; Brandt, Milan</t>
  </si>
  <si>
    <t>Artificial intelligence: way forward to empower metal additive manufacturing product development-an overview</t>
  </si>
  <si>
    <t>International Conference on Artificial Intelligence and Energy Systems (AIES)</t>
  </si>
  <si>
    <t>DEC 08-09, 2021</t>
  </si>
  <si>
    <t>St Josephs Coll Engn &amp; Technol, Palai, INDIA</t>
  </si>
  <si>
    <t>St Josephs Coll Engn &amp; Technol</t>
  </si>
  <si>
    <t>Additive manufacturing; Digital Twin; Artificial intelligence; Machine learning; powder bed fusion; Digital twin</t>
  </si>
  <si>
    <t>Metal additive manufacturing (MAM) has emerged as a promising technology to fabricate parts that are nearly impossible to do so by traditional methods. Since MAM is considered an open-loop system, it is not as efficient at fabricating repeatable and high-quality parts as a closed system. Hence, changing the MAM open-loop system to a closed system proves to be an imperative step for producing reliable parts. The direct application of physics or heat transfer or fluid dynamics equations to a MAM system is impossible as several uncontrolled parameters impact each layer fabrication. Thus, leading researchers are focusing on developing a digital twin, a real-time virtual model or digital representation to provide better control of the MAM process. Currently, the digital twin for MAM is in the development stage as the data capture through real-time monitoring, experimental values, and simulations from layer fabrication need to be sorted and stored in a structured manner. The way forward for a consistent quality MAM part is achieved through a digital twin which is explicitly driven by subsets of artificial intelligence such as machine learning and deep learning. More data must be further acquired and utilized to train the machine to learn the algorithm. An overview of artificial intelligence in additive manufacturing for a closed-loop system is presented. Copyright (c) 2022 Elsevier Ltd. All rights reserved. Selection and peer-review under responsibility of the scientific committee of the International Conference on Artificial Intelligence &amp; Energy Systems.</t>
  </si>
  <si>
    <t>[Elambasseril, Joe; Brandt, Milan] RMIT Univ, Ctr Addit Mfg, Sch Engn, Melbourne, Vic 3000, Australia</t>
  </si>
  <si>
    <t>Royal Melbourne Institute of Technology (RMIT)</t>
  </si>
  <si>
    <t>Elambasseril, J (corresponding author), RMIT Univ, Ctr Addit Mfg, Sch Engn, Melbourne, Vic 3000, Australia.</t>
  </si>
  <si>
    <t>joe.elambasseril@rmit.edu.au</t>
  </si>
  <si>
    <t>Brandt, Milan/0000-0002-2437-3413</t>
  </si>
  <si>
    <t>10.1016/j.matpr.2022.02.485</t>
  </si>
  <si>
    <t>1S5DF</t>
  </si>
  <si>
    <t>WOS:000804070100016</t>
  </si>
  <si>
    <t>Garin, SP; Zhang, V; Jeudy, J; Parekh, VS; Yi, PH</t>
  </si>
  <si>
    <t>Garin, Sean P.; Zhang, Vivian; Jeudy, Jean; Parekh, Vishwa S.; Yi, Paul H.</t>
  </si>
  <si>
    <t>Systematic Review of Radiology Residency Artificial Intelligence Curricula: Preparing Future Radiologists for the Artificial Intelligence Era</t>
  </si>
  <si>
    <t>JOURNAL OF THE AMERICAN COLLEGE OF RADIOLOGY</t>
  </si>
  <si>
    <t>Key Words; Artificial intelligence; curricula; training; radiology; residency</t>
  </si>
  <si>
    <t>Objective: Although educating radiology trainees about artificial intelligence (AI) has become increasingly emphasized, the types of AI educational curricula are not well understood. We performed a systematic review of original studies describing curricula used to teach AI concepts and practical applications for radiology residents and fellows. Materials and methods: We performed a PubMed search for original studies published as of July 22, 2022, describing AI curricula geared toward radiology residents or fellows. Studies meeting inclusion criteria were evaluated for curricula design, implementation details, and outcomes. Descriptive statistics were used to summarize these curricula. Results: Five studies were included describing an AI curriculum, all geared toward radiology residents. All five curricula were led by radiologists, mostly by individual academic radiology departments (4; 80%) with one led by the ACR Resident and Fellow Section. Curricula design included didactic sessions (5; 100%), assigned readings (4; 80%), hands-on learning (3; 60%), and journal clubs (3; 60%); only one had individualized learning plans. All four studies that evaluated the impact of the curricula on participants' knowledge or attitudes showed positive effects. Discussion: Amid increasing recognition of the importance of AI education for radiologists-in-training, several AI curricula for radiology residents have been implemented. Although curricula designs varied and it is unclear if one type is superior, they have had a positive impact on residents' knowledge and attitudes toward AI. As AI becomes increasingly adopted in radiology, these curricula serve as models for other departments and programs to develop AI educational initiatives to prepare the next generation of radiologists for the AI era.</t>
  </si>
  <si>
    <t>[Garin, Sean P.; Zhang, Vivian] Univ Maryland, Univ Maryland Med Intelligent Imaging UM2ii Ctr, Dept Diagnost Radiol &amp; Nucl Med, Sch Med, Baltimore, MD USA; [Jeudy, Jean] Univ Maryland, Vice Chair Clin Informat, Diagnost Radiol &amp; Nucl Med Dept,Sch Med, Univ Maryland Med Intelligent Imaging UM2ii Ctr, Baltimore, MD USA; [Parekh, Vishwa S.] Univ Maryland, Univ Maryland Med Intelligent Imaging UM2ii Ctr, Dept Diagnost Radiol &amp; Nucl Med, Sch Med, Baltimore, MD USA; [Yi, Paul H.] Univ Maryland, Univ Maryland Med Intelligent Imaging UM2ii Ctr, Dept Diagnost Radiol &amp; Nucl Med, Sch Med, Baltimore, MD USA; [Yi, Paul H.] Univ Maryland, Sch Med, Dept Diagnost Radiol &amp; Nucl Med, 670 W Baltimore St, Baltimore, MD 21201 USA</t>
  </si>
  <si>
    <t>University System of Maryland; University of Maryland Baltimore; University System of Maryland; University of Maryland Baltimore; University System of Maryland; University of Maryland Baltimore; University System of Maryland; University of Maryland Baltimore; University System of Maryland; University of Maryland Baltimore</t>
  </si>
  <si>
    <t>Yi, PH (corresponding author), Univ Maryland, Sch Med, Dept Diagnost Radiol &amp; Nucl Med, 670 W Baltimore St, Baltimore, MD 21201 USA.</t>
  </si>
  <si>
    <t>pyi@som.umaryland.edu</t>
  </si>
  <si>
    <t>Jeudy, Jean/AAW-3907-2021</t>
  </si>
  <si>
    <t>Garin, Sean/0000-0002-0445-6852</t>
  </si>
  <si>
    <t>UMMC Innovation Challenge; Johns Hopkins; Malone Center Seed Grant</t>
  </si>
  <si>
    <t>UMMC Innovation Challenge; Johns Hopkins(Johns Hopkins University); Malone Center Seed Grant</t>
  </si>
  <si>
    <t>Dr Yi declares grants from UMMC Innovation Challenge, Johns Hopkins, Discovery Award and Malone Center Seed Grant, consulting fees from Bunkerhill Health, FHOrtho; and stocks from Bunkerhill Health. Dr Parekh declares grants from UMMC innovation challenge; patents US Patent 11,324,469, 2022, WO Patent WO2015164517A1, 2015, and WO Patent WO 2022/225794 Al, 2023. The other authors state that they have no conflict of interest related to the material discussed in this article. The authors are non-partner/non-partnership track/employees.</t>
  </si>
  <si>
    <t>1546-1440</t>
  </si>
  <si>
    <t>1558-349X</t>
  </si>
  <si>
    <t>J AM COLL RADIOL</t>
  </si>
  <si>
    <t>J. Am. Coll. Radiol.</t>
  </si>
  <si>
    <t>10.1016/j.jacr.2023.02.031</t>
  </si>
  <si>
    <t>L5RI8</t>
  </si>
  <si>
    <t>WOS:001023832700001</t>
  </si>
  <si>
    <t>Kurilovich, IS; Golubov, MD; Perova, NV; Zanina, AP</t>
  </si>
  <si>
    <t>Kurilovich, Ivan S.; Golubov, Mikhail D.; Perova, Nina V.; Zanina, Alexandra P.</t>
  </si>
  <si>
    <t>Artificial Intelligence as a Metaphor, Object, and Subject of Philosophical Analysis</t>
  </si>
  <si>
    <t>VOPROSY FILOSOFII</t>
  </si>
  <si>
    <t>Artificial Intelligence; Neural Network Ethics; Philosophy of Technology; Philosophy of Consciousness; Transhumanism; AI Theology</t>
  </si>
  <si>
    <t>The article examines the epistemological, ethical, anthropological and other aspects of understanding self-learning programs called neural networks or artificial intelligence - the problematic nature of the latter is considered in the article using a review of three dozen studies of the very idea of artificial intelligence, which were presented on April 4, 2024 at a joint scientific conference of the Center for Phenomenological Philosophy of the Russian State University for the Humanities and the Sector of Social Epistemology of the Institute of Philosophy of the Russian Academy of Sciences. Based on the conference materials, this article considers artificial intelligence in the perspective of the history of philosophy and futurist literary images, in comparison with human and other conceivable consciousness, both with and without free will, provides an understanding of the problem areas of the theology of artificial intelligence and the place of artificial intelligence in modern theology, analyzes the technical side of the implementation of existing and expected computer systems claiming the title of artificial intelligence. The conference proved to be an important event for discussing philosophical and ethical issues related to the development of artificial intelligence, and it provided a platform for further research and understanding of the impact of AI on society and human individuality. This article outlines the general issues of the conference and details the individual theses.</t>
  </si>
  <si>
    <t>[Kurilovich, Ivan S.; Zanina, Alexandra P.] Russian State Univ Humanities, 6 Miusskaya Sq, Moscow 125047, Russia; [Golubov, Mikhail D.] Natl Res Univ, Higher Sch Econ, 11 Pokrovskiy Blvd, Moscow 109028, Russia; [Perova, Nina V.] Russian Acad Sci, Inst Philosophy, 12-1 Goncharnaya Str, Moscow 109240, Russia</t>
  </si>
  <si>
    <t>Russian State University for the Humanities; HSE University (National Research University Higher School of Economics); Russian Academy of Sciences; Institute of Philosophy, Russian Academy of Sciences</t>
  </si>
  <si>
    <t>Kurilovich, IS (corresponding author), Russian State Univ Humanities, 6 Miusskaya Sq, Moscow 125047, Russia.</t>
  </si>
  <si>
    <t>ikrlvtch@gmail.com; alens@alens.ru; nino4kaperova@gmail.com; sannyzanny@mail.ru</t>
  </si>
  <si>
    <t>Perova, Nina/ABD-5165-2020</t>
  </si>
  <si>
    <t>RUSSIAN ACAD SCIENCES-INST PHILOSOPHY</t>
  </si>
  <si>
    <t>UL VOLHONKA, DOM 14-1, STR 5, MOSCOW, 119991, RUSSIA</t>
  </si>
  <si>
    <t>0042-8744</t>
  </si>
  <si>
    <t>VOP FILOS</t>
  </si>
  <si>
    <t>Vopr. Filos.</t>
  </si>
  <si>
    <t>10.21146/0042-8744-2024-9-177-189</t>
  </si>
  <si>
    <t>J6P6P</t>
  </si>
  <si>
    <t>WOS:001338270700014</t>
  </si>
  <si>
    <t>Ghotbi, N; Ho, MT; Mantello, P</t>
  </si>
  <si>
    <t>Ghotbi, Nader; Ho, Manh Tung; Mantello, Peter</t>
  </si>
  <si>
    <t>Attitude of college students towards ethical issues of artificial intelligence in an international university in Japan</t>
  </si>
  <si>
    <t>Artificial intelligence (AI); Emotional AI; Ethical issues; Humans and robots; Unemployment</t>
  </si>
  <si>
    <t>We have examined the attitude and moral perception of 228 college students (63 Japanese and 165 non-Japanese) towards artificial intelligence (AI) in an international university in Japan. The students were asked to select a single most significant ethical issue associated with AI in the future from a list of nine ethical issues suggested by the World Economic Forum, and to explain why they believed that their chosen issues were most important. The majority of students (n = 149, 65%) chose unemployment as the major ethical issue related to AI. The second largest group of students (n = 29, 13%) were concerned with ethical issues related to emotional AI, including the impact of AI on human behavior and emotion. The paper discusses the results in detail and concludes that, while policymakers must consider how to ameliorate the impact of AI on employment, AI engineers need to consider the emotional aspects of AI in research and development, as well.</t>
  </si>
  <si>
    <t>[Ghotbi, Nader; Ho, Manh Tung; Mantello, Peter] Ritsumeikan Asia Pacific Univ APU, 1-1 Jumonjibaru, Beppu, Oita, Japan</t>
  </si>
  <si>
    <t>Ghotbi, N (corresponding author), Ritsumeikan Asia Pacific Univ APU, 1-1 Jumonjibaru, Beppu, Oita, Japan.</t>
  </si>
  <si>
    <t>nader@apu.ac.jp; manhho18@apu.ac.jp; mantello@apu.ac.jp</t>
  </si>
  <si>
    <t>Mantello, Peter/AAJ-5270-2021; Tung, Ho/J-4581-2019</t>
  </si>
  <si>
    <t>Emotional AI in Cities: Cross Cultural Lessons from UK and Japan on Designing for an Ethical Life - JST-UKRI Joint Call on Artificial Intelligence and Society</t>
  </si>
  <si>
    <t>Emotional AI in Cities: Cross Cultural Lessons from UK and Japan on Designing for an Ethical Life - JST-UKRI Joint Call on Artificial Intelligence and Society(UK Research &amp; Innovation (UKRI))</t>
  </si>
  <si>
    <t>10.1007/s00146-021-01168-2</t>
  </si>
  <si>
    <t>YY9XL</t>
  </si>
  <si>
    <t>WOS:000627211000001</t>
  </si>
  <si>
    <t>Yuan, PH; Yan, TD; Sharma, S; Chahley, E; Maclean, LJ; Freitas, V; Yong-Hing, CJ</t>
  </si>
  <si>
    <t>Yuan, Po Hsiang (Shawn); Yan, Tyler D.; Sharma, Sonali; Chahley, Erin; Maclean, Luke J.; Freitas, Vivianne; Yong-Hing, Charlotte J.</t>
  </si>
  <si>
    <t>Authorship gender among articles about artificial intelligence in breast imaging</t>
  </si>
  <si>
    <t>Artificial intelligence; Breast imaging; Gender; Inclusivity; Diversity</t>
  </si>
  <si>
    <t>FEMALE AUTHORSHIP; TRENDS; GAP</t>
  </si>
  <si>
    <t>Rationale and Objectives: The purpose of this study is to investigate the variance of women authors, specifically first and senior authorship among peer -reviewed artificial intelligence -related articles with a specific focus in breast imaging. Materials and Methods: A strategic search was conducted in July 2022 according to the Preferred Reporting Items for Systematic Reviews and Meta -Analyses (PRISMA) guidelines to capture all existing and publicly available peer -reviewed articles intersecting AI and breast imaging. Primary outcomes were first and senior authors' gender, which were assigned with the aid of an emailed self -declaration survey. Secondary outcomes included country of article, journal impact factor, and year of publication. Comparisons were made using logistic regression models and analysis of variances. Results: 115 studies were included in the analysis. Women authors represented 35.7% (41/115) and 37.4% (43/ 115) of first and senior authors, respectively. Logistic regression modelling showed a significant increase in women senior authors over time but no changes in women first authors. Impact factor was not associated with female authorship and certain countries had women authorship reach over 50%. Conclusion: This study demonstrates that there is a significant authorship gender gap in artificial intelligence breast imaging research. An increasing temporal trend of senior authors in breast imaging AI -related research is a promising prognosis for more women voices in this field. Further study needs to be done to understand the reasons behind this gap and any potential implications.</t>
  </si>
  <si>
    <t>[Yuan, Po Hsiang (Shawn); Chahley, Erin; Maclean, Luke J.] Univ British Columbia, Fac Med, Vancouver, BC, Canada; [Yan, Tyler D.; Sharma, Sonali; Yong-Hing, Charlotte J.] Univ British Columbia, Fac Med, Dept Radiol, Vancouver, BC, Canada; [Freitas, Vivianne] Univ Toronto, Fac Med, Dept Med Imaging, Toronto, ON, Canada; [Yong-Hing, Charlotte J.] BC Canc, Dept Diagnost Imaging, Vancouver, BC, Canada; [Yong-Hing, Charlotte J.] BC Canc Vancouver, Diagnost Imaging, 600 10 Ave, Vancouver, BC V6H 3N1, Canada</t>
  </si>
  <si>
    <t>University of British Columbia; University of British Columbia; University of Toronto</t>
  </si>
  <si>
    <t>Yong-Hing, CJ (corresponding author), BC Canc Vancouver, Diagnost Imaging, 600 10 Ave, Vancouver, BC V6H 3N1, Canada.</t>
  </si>
  <si>
    <t>Charlotte.YongHing@bccancer.bc.ca</t>
  </si>
  <si>
    <t>Yan, Tyler/AAK-9489-2020</t>
  </si>
  <si>
    <t>Sharma, Sonali/0000-0003-3803-0507</t>
  </si>
  <si>
    <t>10.1016/j.ejrad.2024.111428</t>
  </si>
  <si>
    <t>OO5W4</t>
  </si>
  <si>
    <t>WOS:001208239300001</t>
  </si>
  <si>
    <t>Lin, BB</t>
  </si>
  <si>
    <t>Lin, Bibo</t>
  </si>
  <si>
    <t>Beyond authoritarianism and liberal democracy: understanding China's artificial intelligence impact in Africa</t>
  </si>
  <si>
    <t>INFORMATION COMMUNICATION &amp; SOCIETY</t>
  </si>
  <si>
    <t>Artificial intelligence; authoritarianism; China-African relations; data colonialism; liberal democracy; surveillance capitalism</t>
  </si>
  <si>
    <t>CAPITALISM</t>
  </si>
  <si>
    <t>China is the largest foreign information and communications technology (ICT) investor in Africa, and Chinese telecommunication companies including Huawei, CloudWalk, and Transsion have brought a range of artificial intelligence (AI) technology to Africa, from face recognition to smart cities. Existing analysis of China's AI impact in Africa, however, habitually falls into a Cold War-style narrative of 'authoritarianism' against the backdrop of 'liberal democracy.' This article calls for going beyond the oversimplified paradigm and proposes to examine the new phenomenon through a more sophisticated and critical lens. First, I show how (English language) media's investigations and academia's analysis of China's AI policy and its global impact (particularly in Africa) usually concentrate on a deep concern about the exportation of authoritarianism from Beijing. The article then demonstrates that the 'authoritarianism vs liberal democracy' model is problematic, if not outdated, and particularly insufficient to capture the multi-layered and overlapping realities of authoritarian and democratic moves by states around the world and the distinguishing properties of AI technologies. Based on a critical appraisal of the notions of surveillance capitalism and data colonialism and the recent empirical evidence from Africa in the third and fourth sections, I propose that these two concepts are more productive analytical frameworks for understanding what is going on in Africa related to the presence of China's AI, as well as for updating and moving forward the debates about whether China is colonizing Africa.</t>
  </si>
  <si>
    <t>[Lin, Bibo] Univ Oregon, Sch Journalism &amp; Commun, Eugene, OR 97403 USA</t>
  </si>
  <si>
    <t>University of Oregon</t>
  </si>
  <si>
    <t>Lin, BB (corresponding author), Univ Oregon, Sch Journalism &amp; Commun, Eugene, OR 97403 USA.</t>
  </si>
  <si>
    <t>bibol@uoregon.edu</t>
  </si>
  <si>
    <t>Lin, Bibo/ITU-2823-2023</t>
  </si>
  <si>
    <t>Lin, Bibo/0000-0002-2077-9248</t>
  </si>
  <si>
    <t>1369-118X</t>
  </si>
  <si>
    <t>1468-4462</t>
  </si>
  <si>
    <t>INFORM COMMUN SOC</t>
  </si>
  <si>
    <t>Info. Commun. Soc.</t>
  </si>
  <si>
    <t>10.1080/1369118X.2023.2239322</t>
  </si>
  <si>
    <t>Communication; Sociology</t>
  </si>
  <si>
    <t>UP0H8</t>
  </si>
  <si>
    <t>WOS:001044915700001</t>
  </si>
  <si>
    <t>Santosa, FA</t>
  </si>
  <si>
    <t>Santosa, Faizhal Arif</t>
  </si>
  <si>
    <t>Artificial Intelligence in Library Studies: A Textual Analysis</t>
  </si>
  <si>
    <t>JLIS.IT</t>
  </si>
  <si>
    <t>Artificial intelligence; Library; Trend; Textual analysis; Library studies.</t>
  </si>
  <si>
    <t>Artificial intelligence has emerged as a promising technology in the post-pandemic era, significantly impacting the library ecosystem and the direction of library and information science studies. This study aims to map AI-related research in libraries to identify opportunities and discuss future directions. Using textual analysis of data from Scopus, the study analyzed article titles with the burst detection algorithm and abstracts with scattertext and lemmatization. Six burst words were detected out of twelve frequently appearing in titles. Scattertext results showed a comparison between the service side (red) and the development side (blue) in libraries. Research increasingly focuses on AI utilization for library services and natural language processing (NLP) to enhance services. On the development side, AI involves product creation and encompasses AI literacy frameworks, policies, and their impact on libraries. AI affects studies in libraries by changing application methods, such as machine learning and NLP. Future research will become more diverse, considering the unique characteristics of each library.</t>
  </si>
  <si>
    <t>[Santosa, Faizhal Arif] Natl Res &amp; Innovat Agcy, Jakarta, Indonesia</t>
  </si>
  <si>
    <t>Santosa, FA (corresponding author), Natl Res &amp; Innovat Agcy, Jakarta, Indonesia.</t>
  </si>
  <si>
    <t>faizhalarif@gmail.com</t>
  </si>
  <si>
    <t>Santosa, Faizhal Arif/HSE-5403-2023</t>
  </si>
  <si>
    <t>Santosa, Faizhal Arif/0000-0003-2788-9463</t>
  </si>
  <si>
    <t>UNIV STUDI FIRENZE, DIPT STUDI MEDIOEVO &amp; RINASCIMENTO</t>
  </si>
  <si>
    <t>FLORENCE</t>
  </si>
  <si>
    <t>PIAZZA BRUNELLESCHI 3-4, FLORENCE, 50121, ITALY</t>
  </si>
  <si>
    <t>2038-5366</t>
  </si>
  <si>
    <t>2038-1026</t>
  </si>
  <si>
    <t>JLIS.it</t>
  </si>
  <si>
    <t>10.36253/jlis.it-626</t>
  </si>
  <si>
    <t>S5Z9X</t>
  </si>
  <si>
    <t>WOS:001399012800005</t>
  </si>
  <si>
    <t>Abdelaliem, SMF; Dator, WLT; Sankarapandian, C</t>
  </si>
  <si>
    <t>Farghaly Abdelaliem, Sally Mohammed; Dator, Wireen Leila Tanggawohn; Sankarapandian, Chandrakala</t>
  </si>
  <si>
    <t>The Relationship between Nursing Students' Smart Devices Addiction and Their Perception of Artificial Intelligence</t>
  </si>
  <si>
    <t>nursing; students; smart devices; addiction; perception; artificial intelligence</t>
  </si>
  <si>
    <t>Background: The concept of addiction in relation to cellphone and smartphone use is not new, with several researchers already having explored this phenomenon. Artificial intelligence has become important in the rapid development of the technology field in recent years. It has a very positive impact on our day-to-day life. Aim: To investigate the relationship between nursing students' addiction to smart devices and their perceptions of artificial intelligence. Methods: A cross-sectional design was applied. The data were collected from 697 nursing students over three months at the College of Nursing, Princess Nourah bint Abdulrahman University. Results: The correlation test shows a significant correlation between smart device addiction and the artificial intelligence of the respondents (p-value &lt; 0.05). In addition, the majority of the students, 72.7% (507), are moderately addicted to smartphones, 21.8% (152) are highly addicted, and only 5.5% (38) have a low addiction. Meanwhile, 83.6% (583) of them have high levels of perception of artificial intelligence and the rest, 16.4% (114), have a moderate level. Conclusions: The nursing students' perception of artificial intelligence varies significantly according to their level of addiction to smart device utilization.</t>
  </si>
  <si>
    <t>[Farghaly Abdelaliem, Sally Mohammed] Princess Nourah Bint Abdulrahman Univ, Coll Nursing, Dept Nursing Management &amp; Educ, POB 84428, Riyadh 11671, Saudi Arabia; [Dator, Wireen Leila Tanggawohn; Sankarapandian, Chandrakala] Princess Nourah Bint Abdulrahman Univ, Dept Med Surg Nursing, POB 84428, Riyadh 11671, Saudi Arabia</t>
  </si>
  <si>
    <t>Princess Nourah bint Abdulrahman University; Princess Nourah bint Abdulrahman University</t>
  </si>
  <si>
    <t>Abdelaliem, SMF (corresponding author), Princess Nourah Bint Abdulrahman Univ, Coll Nursing, Dept Nursing Management &amp; Educ, POB 84428, Riyadh 11671, Saudi Arabia.</t>
  </si>
  <si>
    <t>smfarghaly@pnu.edu.sa</t>
  </si>
  <si>
    <t>Farghaly, Sally/AFM-0471-2022; Sankarapandian, Chandrakala/AGY-6205-2022; Dator, Wireen Leila/HIZ-7850-2022; Farghaly Abdelaliem Abdelrahman, Dr Sally Mohammed/ABA-7188-2021</t>
  </si>
  <si>
    <t>Farghaly Abdelaliem Abdelrahman, Dr Sally Mohammed/0000-0001-6497-0952; Dator, WIREEN LEILA/0000-0003-1040-8846; Sankarapandian., Dr.Chandrakala/0000-0003-1562-4273</t>
  </si>
  <si>
    <t>Princess Nourah bint Abdulrahman University Researchers Supporting Project, Princess Nourah bint Abdulrahman University, Riyadh, Saudi Arabia; [PNURSP2022R220]</t>
  </si>
  <si>
    <t>Princess Nourah bint Abdulrahman University Researchers Supporting Project, Princess Nourah bint Abdulrahman University, Riyadh, Saudi Arabia;</t>
  </si>
  <si>
    <t>This research received a grant from the Princess Nourah bint Abdulrahman University Researchers Supporting Project number (PNURSP2022R220), Princess Nourah bint Abdulrahman University, Riyadh, Saudi Arabia.</t>
  </si>
  <si>
    <t>10.3390/healthcare11010110</t>
  </si>
  <si>
    <t>7Q1ZE</t>
  </si>
  <si>
    <t>WOS:000909195500001</t>
  </si>
  <si>
    <t>Gupta, BB; Gaurav, A; Panigrahi, PK; Arya, V</t>
  </si>
  <si>
    <t>Gupta, Brij B.; Gaurav, Akshat; Panigrahi, Prabin Kumar; Arya, Varsha</t>
  </si>
  <si>
    <t>Analysis of artificial intelligence-based technologies and approaches on sustainable entrepreneurship</t>
  </si>
  <si>
    <t>Sustainable development; Business entrepreneurship; Artificial intelligence; Sustainable development goals</t>
  </si>
  <si>
    <t>ENVIRONMENTAL KUZNETS CURVE; ECONOMIC-GROWTH; FINANCIAL DEVELOPMENT; BUSINESS MODELS; HYPOTHESIS; INNOVATION; DEGRADATION; QUALITY; SYSTEMS; IMPACT</t>
  </si>
  <si>
    <t>Research in the field of entrepreneurship has grown dramatically in the last decade and currently covers a wide variety of topics and concerns. Development in the field of artificial intelligence has a positive and negative impact on sustainable development. The current debate on sustainable development emphasizes the relevance of the environment, behavioral goals, and economic models to achieve sustainable goals, particularly in impoverished nations. However, recently, researchers have proposed the use of algorithms and models based on artificial intelligence (AI) to achieve sustainable development goals. In this context, this study intends to shed light on AI's crucial role in aiding sustainable development. To accomplish this goal, we collected data from Scopus (1994-2022). This includes a total of 482 research articles. The investigation shows the most essential patterns of study, enabling the visual mapping of Thematic Maps to suggest several new research paths. The results in the paper indicates that there is a positive relation between AI and environment development on sustainable entrepreneurship.</t>
  </si>
  <si>
    <t>[Gupta, Brij B.] Asia Univ, Int Ctr AI &amp; Cyber Secur Res &amp; Innovat, Taichung 413, Taiwan; [Gupta, Brij B.] Asia Univ, Dept Comp Sci &amp; Informat Engn, Taichung 413, Taiwan; [Gaurav, Akshat] Ronin Inst, Montclair, NJ USA; [Panigrahi, Prabin Kumar] Indian Inst Management Indore, Indore, India; [Arya, Varsha] Insights2Techinfo, New Delhi, India; [Gupta, Brij B.] Lebanese Amer Univ, Beirut 1102, Lebanon; [Gupta, Brij B.] Univ Petr &amp; Energy Studies UPES, Ctr Interdisciplinary Res, Dehra Dun, Uttarakhand, India</t>
  </si>
  <si>
    <t>Asia University Taiwan; Asia University Taiwan; Indian Institute of Management (IIM System); Indian Institute of Management Indore; Lebanese American University; University of Petroleum &amp; Energy Studies (UPES)</t>
  </si>
  <si>
    <t>Gupta, BB (corresponding author), Asia Univ, Int Ctr AI &amp; Cyber Secur Res &amp; Innovat, Taichung 413, Taiwan.;Gupta, BB (corresponding author), Asia Univ, Dept Comp Sci &amp; Informat Engn, Taichung 413, Taiwan.</t>
  </si>
  <si>
    <t>bbgupta@asia.edu.tw; akshat.gaurav@ronininstitute.org; prabin@iimidr.ac.in</t>
  </si>
  <si>
    <t>GAURAV, AKSHAT/AAW-4521-2021; Gupta, Brij/E-9813-2011</t>
  </si>
  <si>
    <t>10.1016/j.techfore.2022.122152</t>
  </si>
  <si>
    <t>N3BP1</t>
  </si>
  <si>
    <t>WOS:001035810900001</t>
  </si>
  <si>
    <t>Talaat, M; Elkholy, MH; Alblawi, A; Said, T</t>
  </si>
  <si>
    <t>Talaat, M.; Elkholy, M. H.; Alblawi, Adel; Said, Taghreed</t>
  </si>
  <si>
    <t>Artificial intelligence applications for microgrids integration and management of hybrid renewable energy sources</t>
  </si>
  <si>
    <t>Renewable energy integration; Energy management; Microgrids; Artificial intelligence; Optimization techniques</t>
  </si>
  <si>
    <t>DISTRIBUTED GENERATION ALLOCATION; PARTICLE SWARM OPTIMIZATION; HYDROGEN FUEL-CELL; POWER-SYSTEM; STORAGE SYSTEM; WIND TURBINE; SOLAR PV; TECHNOECONOMIC ANALYSIS; OPTIMAL OPERATION; OPTIMAL PLACEMENT</t>
  </si>
  <si>
    <t>The integration of renewable energy sources (RESs) has become more attractive to provide electricity to rural and remote areas, which increases the reliability and sustainability of the electrical system, particularly for areas where electricity extension is difficult. Despite this, the integration of hybrid RESs is accompanied by many problems as a result of the intermittent and unstable nature of RESs. The extant literature has discussed the integration of RESs, but it is not comprehensive enough to clarify all the factors that affect the integration of RESs. In this paper, a comprehensive review is made of the integration of RESs. This review includes various combinations of integrated systems, integration schemes, integration requirements, microgrid communication challenges, as well as artificial intelligence used in the integration. In addition, the review comprehensively presents the potential challenges arising from integrating renewable resources with the grid and the control strategies used. The classifications developed in this review facilitate the integration improvement process. This paper also discusses the various optimization techniques used to reduce the total cost of integrated energy sources. In addition, it examines the use of up-to-date methods to improve the performance of the electrical grid. A case study is conducted to analyze the impact of using artificial intelligence when integrating RESs. The results of the case study prove that the use of artificial intelligence helps to improve the accuracy of operation to provide effective and accurate prediction control of the integrated system. Various optimization techniques are combined with ANN to select the best hybrid model. PSO has the fast convergence rate for reaching to the minimum errors as the Normalized Mean Square Error (NMSE) percentage reaches 1.10% in 3367.50 s.</t>
  </si>
  <si>
    <t>[Talaat, M.] Zagazig Univ, Fac Engn, Elect Power &amp; Machines Dept, PO 44519, Zagazig, Egypt; [Talaat, M.] Egyptian Chinese Univ, Fac Engn &amp; Technol, PO 11787, Cairo, Egypt; [Alblawi, Adel] Shaqra Univ, Coll Engn, Mech Engn Dept, PO 11911, Ar Riyadh, Saudi Arabia; [Said, Taghreed] Higher Technol Inst, Elect Engn &amp; Comp Dept, 10th Of Ramadan City, Egypt; [Elkholy, M. H.] Univ Ryukyus, Dept Elect &amp; Elect Engn, Nishihara, Okinawa 9030213, Japan</t>
  </si>
  <si>
    <t>Egyptian Knowledge Bank (EKB); Zagazig University; Shaqra University; Egyptian Knowledge Bank (EKB); Higher Technological Institute - Egypt; University of the Ryukyus</t>
  </si>
  <si>
    <t>Talaat, M (corresponding author), Zagazig Univ, Fac Engn, Elect Power &amp; Machines Dept, PO 44519, Zagazig, Egypt.;Talaat, M (corresponding author), Egyptian Chinese Univ, Fac Engn &amp; Technol, PO 11787, Cairo, Egypt.</t>
  </si>
  <si>
    <t>m_mtalaat@eng.zu.edu.eg</t>
  </si>
  <si>
    <t>said, Taghreed/JKI-4729-2023; Talaat, Prof. Dr. Mohamed/C-4642-2018; Elkholy, M.H./AAF-8819-2020</t>
  </si>
  <si>
    <t>Said, Taghreed/0000-0002-8153-2855; Talaat, Prof. Dr. Mohamed/0000-0001-5976-7810; , Adel/0000-0003-1525-8859; Elkholy, M.H./0000-0003-3615-3714</t>
  </si>
  <si>
    <t>The Science, Technology &amp; Innovation Funding Authority (STDF); The Egyptian Knowledge Bank (EKB)</t>
  </si>
  <si>
    <t>The Science, Technology &amp; Innovation Funding Authority (STDF)(Science and Technology Development Fund (STDF)); The Egyptian Knowledge Bank (EKB)</t>
  </si>
  <si>
    <t>Open access funding provided by The Science, Technology &amp; Innovation Funding Authority (STDF) in cooperation with The Egyptian Knowledge Bank (EKB).</t>
  </si>
  <si>
    <t>10.1007/s10462-023-10410-w</t>
  </si>
  <si>
    <t>FEB 2023</t>
  </si>
  <si>
    <t>M7RE0</t>
  </si>
  <si>
    <t>WOS:000939351900001</t>
  </si>
  <si>
    <t>Li, LL; Coates, K</t>
  </si>
  <si>
    <t>Li, Lili; Coates, Kay</t>
  </si>
  <si>
    <t>Academic library online chat services under the impact of artificial intelligence</t>
  </si>
  <si>
    <t>INFORMATION DISCOVERY AND DELIVERY</t>
  </si>
  <si>
    <t>Academic libraries; Artificial intelligence; Chatbot; ChatGPT; Generative AI; LibChat</t>
  </si>
  <si>
    <t>PurposeThis study aims to explore the capabilities, limitations and potential of ChatGPT applicable to online reference services in academic libraries.Design/methodology/approachThis study used the method of qualitative content analytics to assess the general capabilities of ChatGPT applicable in academic libraries. Two experienced academic librarians had face-to-face interactions with ChatGPT by asking ten most common questions often asked by faculty and students at the Georgia Southern University Libraries (https://library.georgiasouthern.edu/). To examine the ChatGPT's applicability and capability, they also compared the ChatGPT with a popular online chat reference tool called LibChat, which is now widely used in academic libraries in 91 countries worldwide.FindingsIt was found that as an artificial intelligence (AI)-powered real-time chatbot ChatGPT could effectively provide faculty and students with general guidance on locating the needed information resources and services in academic libraries, though its responses might not be accurate or truthful all the time. Embedded into the LibAnswers system of the Springshare's products (www.springshare.com/libanswers/), LibChat serves as a real-time online chat tool used by academic libraries for reference services, but it is only available during the regular librarians' duty hours. This technical limitation does not meet the dynamic needs of faculty, students, staff, and local community users. Only well-optimized AI-driven chat products like ChatGPT could provide 24/7 online services to support uninterrupted academic library services in the future.Research limitations/implicationsThis study only examined the general capability and potential of ChatGPT3.5 in specific subject areas. Additional studies are needed to further explore how the latest capabilities of ChatGPT4.0 or newer version, such as its text-to-image, text-to-speech, text-to-text, text-to-video and Web search, could impact future reference services of academic libraries. ChatGPT's primary optimization and upgrades in the future may also change and impact this study's findings. The comparison between ChatGPT and LibChat presents a significant breakthrough of the generative AI technology in academic libraries. This comparative study encourages more academic experts, faculty, librarians and scholars to track the advance of generative AI applications, including ChatGPT, adopted in academic learning environments. In addition, the ChatGPT's complete capability and potential enhanced and integrated in the future may go beyond what this study evaluated.Originality/valueThis study examined the strengths and weaknesses of ChatGPT applicable to reference services of academic libraries. Through a comparison between ChatGPT and LibChat, this study suggests that optimized AI online chatbots still have a long way to go to meet the dynamic needs of faculty and students in the ever-changing academic learning environments. To contribute to the existing research literature focusing on the rise of generative AI tools such as ChatGPT, this study provides a valuable reference for the applicability of generative AI applications in academic libraries to promote more library creation and innovation in the coming years of the 21st century.</t>
  </si>
  <si>
    <t>[Li, Lili; Coates, Kay] Georgia Southern Univ, Georgia Southern Univ Libraries, Dept Informat Studies, Statesboro, GA 30460 USA</t>
  </si>
  <si>
    <t>University System of Georgia; Georgia Southern University</t>
  </si>
  <si>
    <t>Li, LL (corresponding author), Georgia Southern Univ, Georgia Southern Univ Libraries, Dept Informat Studies, Statesboro, GA 30460 USA.</t>
  </si>
  <si>
    <t>lilili@georgiasouthern.edu</t>
  </si>
  <si>
    <t>2398-6247</t>
  </si>
  <si>
    <t>INF DISCOV DELIV</t>
  </si>
  <si>
    <t>Inf. Discov. Deliv.</t>
  </si>
  <si>
    <t>2024 JUN 21</t>
  </si>
  <si>
    <t>10.1108/IDD-11-2023-0143</t>
  </si>
  <si>
    <t>UT6T1</t>
  </si>
  <si>
    <t>WOS:001250355100001</t>
  </si>
  <si>
    <t>De Gagne, JC; Hwang, H; Jung, DKY</t>
  </si>
  <si>
    <t>De Gagne, Jennie C.; Hwang, Hyeyoung; Jung, Dukyoo</t>
  </si>
  <si>
    <t>Cyberethics in nursing education: Ethical implications of artificial intelligence</t>
  </si>
  <si>
    <t>NURSING ETHICS</t>
  </si>
  <si>
    <t>Artificial intelligence; cyberethics; ethical implications; generative artificial intelligence; nursing education</t>
  </si>
  <si>
    <t>As the use of artificial intelligence (AI) technologies, particularly generative AI (Gen AI), becomes increasingly prevalent in nursing education, it is paramount to address the ethical implications of their implementation. This article explores the realm of cyberethics (a field of applied ethics that focuses on the ethical, legal, and social implications of cybertechnology), highlighting the ethical principles of autonomy, nonmaleficence, beneficence, justice, and explicability as a roadmap for facilitating AI integration into nursing education. Research findings suggest that ethical dilemmas that challenge these five principles can emerge within the context of nursing education; however, adherence to these very principles, which is essential to improving patient care, can offer solutions to these dilemmas. To ensure the ethical and responsible use of Gen AI in nursing education, these principles must be woven into the fabric of curricula, and appropriate guidelines must be developed. Nurse educators have a pivotal role in strategizing comprehensive approaches for ethical AI integration, establishing clear guidelines, and instilling critical thinking among students. Fostering lifelong learning and adaptability is key to ensuring that future nurses can successfully navigate the constantly evolving landscape of health care technology. Future research should investigate the long-term impacts of AI utilization on learning outcomes and ethical decision-making.</t>
  </si>
  <si>
    <t>[De Gagne, Jennie C.] Duke Univ, Sch Nursing, Durham, NC USA; [Hwang, Hyeyoung; Jung, Dukyoo] Ewha Womans Univ, Seoul, South Korea; [Hwang, Hyeyoung] Ewha Womans Univ, Coll Nursing, 52 Ewhayeodae Gil, Seoul 03760, South Korea</t>
  </si>
  <si>
    <t>Duke University; Ewha Womans University; Ewha Womans University</t>
  </si>
  <si>
    <t>Hwang, H (corresponding author), Ewha Womans Univ, Coll Nursing, 52 Ewhayeodae Gil, Seoul 03760, South Korea.</t>
  </si>
  <si>
    <t>hwanghy.grace@gmail.com</t>
  </si>
  <si>
    <t>Hwang, Hyeyoung/KPA-2865-2024; De Gagne, Jennie/B-1605-2015</t>
  </si>
  <si>
    <t>Jung, Dukyoo/0000-0002-0087-765X; De Gagne, Jennie/0000-0001-9814-5942; Hwang, Hyeyoung/0000-0003-0584-4088</t>
  </si>
  <si>
    <t>0969-7330</t>
  </si>
  <si>
    <t>1477-0989</t>
  </si>
  <si>
    <t>NURS ETHICS</t>
  </si>
  <si>
    <t>Nurs. Ethics</t>
  </si>
  <si>
    <t>10.1177/09697330231201901</t>
  </si>
  <si>
    <t>Ethics; Nursing</t>
  </si>
  <si>
    <t>Social Sciences - Other Topics; Nursing</t>
  </si>
  <si>
    <t>H0Y4H</t>
  </si>
  <si>
    <t>WOS:001092122400001</t>
  </si>
  <si>
    <t>Guo, QB; Peng, YQ; Luo, K</t>
  </si>
  <si>
    <t>Guo, Qingbin; Peng, Yanqing; Luo, Kang</t>
  </si>
  <si>
    <t>The impact of artificial intelligence on energy environmental performance: Empirical evidence from cities in China</t>
  </si>
  <si>
    <t>Artificial intelligence; Energy environmental performance; Spatial siphon effect; Energy rebound</t>
  </si>
  <si>
    <t>EMISSION PERFORMANCE; MANAGEMENT; EFFICIENCY; COUNTRIES</t>
  </si>
  <si>
    <t>As a form of the next-generation intelligent information technology, artificial intelligence (AI) is anticipated to unleash an intelligence dividend, playing a pivotal role in driving efficiency transformation and realizing green development objectives. Based on data from 223 cities in China for 2008 to 2021, this research evaluates the AI level from the three dimensions of intelligent infrastructure, intelligent practical applications, and intelligent technology development. It also delves into AI's impact and mechanisms on urban energy environmental performance (EEP). The findings show that AI enhances urban EEP and influences EEP by advancing urban green innovation capabilities, improving urban human capital, and optimizing energy consumption structure. Specifically, AI has a notably heightened effect on EEP in the eastern region, large urban areas, and non-resource-based cities. Subsequent analyses reveal a significant siphoning effect of AI's impacts across geographical distances and indicate that AI does not have a rebound effect on urban energy. In sum, countries and regions should fully seize the strategic opportunities presented by rapid AI development, shape new advantages in technological competition through open integration and innovation, and thus drive the transformation of energy development.</t>
  </si>
  <si>
    <t>[Guo, Qingbin; Peng, Yanqing; Luo, Kang] Hainan Univ, Int Business Sch, Haikou, Peoples R China</t>
  </si>
  <si>
    <t>Luo, K (corresponding author), Hainan Univ, Int Business Sch, Haikou, Peoples R China.</t>
  </si>
  <si>
    <t>Lk201368@163.com</t>
  </si>
  <si>
    <t>Hainan Academician Team Innovation Center; Innovation Platform for Academicians of Hainan Province specific research fund [YSPTZX202308]; National Social Science Foundation Programme [23BJL004]; Innovative Projects for Postgraduate Students in Hainan Province [Qhys-2023-18]</t>
  </si>
  <si>
    <t>Hainan Academician Team Innovation Center; Innovation Platform for Academicians of Hainan Province specific research fund; National Social Science Foundation Programme; Innovative Projects for Postgraduate Students in Hainan Province</t>
  </si>
  <si>
    <t>Our work was supported by the Hainan Academician Team Innovation Center; the Innovation Platform for Academicians of Hainan Province specific research fund (No.YSPTZX202308) ; the National Social Science Foundation Programme (23BJL004) and Innovative Projects for Postgraduate Students in Hainan Province (Qhys-2023-18) .</t>
  </si>
  <si>
    <t>10.1016/j.eneco.2024.108136</t>
  </si>
  <si>
    <t>R4R1H</t>
  </si>
  <si>
    <t>WOS:001391330000001</t>
  </si>
  <si>
    <t>Mohammed, AM; Wahhab, A</t>
  </si>
  <si>
    <t>Mohammed, Assad Munshid; Wahhab, Asaad</t>
  </si>
  <si>
    <t>THE RELATIONSHIP BETWEEN ARTIFICIAL INTELLIGENCE AND E-ACCOUNTING PROGRAMS: IMPACT ON THE QUALITY OF FINANCIAL REPORTS IN IRAQI BANKS</t>
  </si>
  <si>
    <t>artificial intelligence; e-accounting programs; quality of financial reports; commercial banks</t>
  </si>
  <si>
    <t>BUSINESS</t>
  </si>
  <si>
    <t>This study examines the correlation between electronic accounting software and artificial intelligence programs and their influence on the quality of financial reports in the banking sector of Iraq. The researchers devised a questionnaire comprising three dimensions to accomplish this objective. The initial set of questions pertained to using artificial intelligence applications by the study sample bank, either for customer service purposes or to achieve the bank's objectives. The second set of questions pertained to the accounting programs utilized, their advantages and disadvantages, and their compatibility with advancements in technology and communications. The third dimension encompassed inquiries on the essential attributes necessary for the excellence of financial statements by the criteria set by international financial reporting standards and the Central Bank of Iraq. Out of the 46 banks listed on the Iraq Stock Exchange in 2024, a sample of 31 institutions was chosen. Among them, there were 12 Islamic banks and 19 commercial banks. 217 questionnaires were distributed for analysis, with each bank receiving seven questionnaires for the directors of finance, internal audit, information systems, inspection, research and development, and their assistants to answer the research questions. The hypotheses were tested using IBM SPSS 29.0.10, employing practical analysis and simple and multiple linear regression. The research findings indicate that all banks in Iraq utilize electronic accounting. However, the quality of programs differs across banks based on the scale of financial activities and the amount of money they handle. The research also determined that artificial intelligence is advancing in the applications of banks, except for the Development Bank, the Bank of Baghdad, and the First Bank of Iraq. The study also demonstrates a strong correlation between the implementation of artificial intelligence in accounting and its positive impact on the reliability and accuracy of financial accounts.</t>
  </si>
  <si>
    <t>[Mohammed, Assad Munshid] Univ Babylon, Coll Adm &amp; Econ, Dept Accounting, Babylon, Iraq; [Wahhab, Asaad] Univ Kerbala, Coll Adm &amp; Econ, Dept Accounting, Karbala, Iraq</t>
  </si>
  <si>
    <t>University of Babylon; University of Kerbala</t>
  </si>
  <si>
    <t>Wahhab, A (corresponding author), Univ Kerbala, Coll Adm &amp; Econ, Dept Accounting, Karbala, Iraq.</t>
  </si>
  <si>
    <t>asaad.m@uokerbala.edu.iq</t>
  </si>
  <si>
    <t>Wahhab, Prof. Dr. Asaad/ABK-4618-2022</t>
  </si>
  <si>
    <t>Wahhab, Prof. Dr. Asaad/0000-0003-1801-6871</t>
  </si>
  <si>
    <t>10.55643/fcaptp.6.59.2024.4522</t>
  </si>
  <si>
    <t>WOS:001386934400014</t>
  </si>
  <si>
    <t>Nikitaeva, AY; Salem, ABM</t>
  </si>
  <si>
    <t>Nikitaeva, Anastasia Y.; Salem, Abdel-Badeeh M.</t>
  </si>
  <si>
    <t>INSTITUTIONAL FRAMEWORK FOR THE DEVELOPMENT OF ARTIFICIAL INTELLIGENCE IN THE INDUSTRY</t>
  </si>
  <si>
    <t>JOURNAL OF INSTITUTIONAL STUDIES</t>
  </si>
  <si>
    <t>artificial intelligence; institutes; industrial enterprises; industrial development; Industry 4.0; smart manufacturing systems</t>
  </si>
  <si>
    <t>The article is devoted to the institutions of dissemination and application of artificial intelligence in industry. Artificial intelligence (AI) is currently one of the most dynamically developing technologies and outcomes of the Fourth Industrial Revolution with a huge transformational impact on the economy. The article further confirms the inclusion of this technology in all industrial frontiers of recent years. In industry, artificial intelligence has a high potential of use with prodigious positive effects, but this potential and positive results are limited by insufficiently designed institutional framework for the development of artificial intelligence. To establish a way of institutionalizing AI in industry, the article systematizes the drivers and limiting factors of its cost-effective deployment in industrial companies. Based on this, the authors outlined a conceptual institutional framework for artificial intelligence in industry, including institutions of different levels as well as formal and informal institutions. The stimulating and limiting function of institutions in the deployment of AI is considered from the strategic perspective and operational regulation. The article substantiates the priority of artificial intelligence legislation, which goes beyond both individual countries and institutional conditions focused on a specific technology. It is necessary to develop the digital economy, activate innovations, create a competitive environment, etc. The authors have confirmed the importance of a broader institutional context of economic and technological development in the context of Industry 4.0. The article also pays attention to industry standards and ethical standards for the dissemination of artificial intelligence. At the same time, the influence of the institute of trust, partnerships, and digital corporate culture on the adoption and deployment of artificial intelligence technologies in industrial companies is taken into account. It is determined that, to understand and accept AI (include it into decision-making processes and business practices), institutions are required to make technologies more understandable for perception.</t>
  </si>
  <si>
    <t>[Nikitaeva, Anastasia Y.] Southern Fed Univ, Rostov Na Donu, Russia; [Salem, Abdel-Badeeh M.] Ain Shams Univ, Cairo, Egypt</t>
  </si>
  <si>
    <t>Southern Federal University; Egyptian Knowledge Bank (EKB); Ain Shams University</t>
  </si>
  <si>
    <t>Nikitaeva, AY (corresponding author), Southern Fed Univ, Rostov Na Donu, Russia.</t>
  </si>
  <si>
    <t>aunikitaeva@sfedu.ru; abmsalem@yahoo.com</t>
  </si>
  <si>
    <t>Nikitaeva, Anastasia/B-5056-2016</t>
  </si>
  <si>
    <t>INT ASSOC INST RESEARCH</t>
  </si>
  <si>
    <t>ROSTOV-ON-DON</t>
  </si>
  <si>
    <t>PUSHKINSKAYA UL, 43, KOMN 10, ROSTOV-ON-DON, 00000, RUSSIA</t>
  </si>
  <si>
    <t>2076-6297</t>
  </si>
  <si>
    <t>2412-6039</t>
  </si>
  <si>
    <t>J INST STUD</t>
  </si>
  <si>
    <t>J. Inst. Stud.</t>
  </si>
  <si>
    <t>10.17835/2076-6297.2022.14.1.108-126</t>
  </si>
  <si>
    <t>0E9ZN</t>
  </si>
  <si>
    <t>WOS:000777030200005</t>
  </si>
  <si>
    <t>Bearman, M; Ryan, J; Ajjawi, R</t>
  </si>
  <si>
    <t>Bearman, Margaret; Ryan, Juliana; Ajjawi, Rola</t>
  </si>
  <si>
    <t>Discourses of artificial intelligence in higher education: a critical literature review</t>
  </si>
  <si>
    <t>Higher education; Discourse analysis; Artificial intelligence; Critical literature review; Qualitative methods</t>
  </si>
  <si>
    <t>DATAFICATION</t>
  </si>
  <si>
    <t>Artificial intelligence (AI) holds significant implications for higher education; however, references to AI in the literature are often vague and open to debate. In order to understand how to progress AI-related research and analysis, this critical review systematically searched top higher education journals for references to the term 'artificial intelligence'. We reviewed definitions and conducted a discourse analysis of included texts. Our findings identify few, confusing definitions and little overt reference to AI as a research object. We delineated two Discourses. The Discourse of imperative change outlines how AI is seen as an inevitable change to which all must respond. Additionally, the Discourse of altering authority describes how texts position AI as decentring the teacher and spreading authority across staff, machines, corporations and students. Our analysis prompts a call for new research foci that attend to the social implications of AI, including tracing accountability in AI-mediated practices and exploring how AI influences learning and teaching relationships.</t>
  </si>
  <si>
    <t>[Bearman, Margaret; Ajjawi, Rola] Deakin Univ, Ctr Res Assessment &amp; Digital Learning Cradle, Tower 2,Level 12,727 Collins St, Melbourne, Vic 3008, Australia; [Ryan, Juliana] La Trobe Univ, Sch Educ, Melbourne, Vic, Australia</t>
  </si>
  <si>
    <t>Deakin University; La Trobe University</t>
  </si>
  <si>
    <t>Bearman, M (corresponding author), Deakin Univ, Ctr Res Assessment &amp; Digital Learning Cradle, Tower 2,Level 12,727 Collins St, Melbourne, Vic 3008, Australia.</t>
  </si>
  <si>
    <t>margaret.bearman@deakin.edu.au</t>
  </si>
  <si>
    <t>Bearman, Margaret/R-1191-2019; Ryan, Juliana/GXV-3722-2022; Ajjawi, Rola/HRC-6132-2023</t>
  </si>
  <si>
    <t>Ryan, Juliana/0000-0002-5390-0198; Ajjawi, Rola/0000-0003-0651-3870; Bearman, Margaret/0000-0002-6862-9871</t>
  </si>
  <si>
    <t>Research for Educational Impact (RED) strategic research centre within Deakin University</t>
  </si>
  <si>
    <t>Open Access funding enabled and organized by CAUL and its Member Institutions This work was supported by a 2020 small grant from the Research for Educational Impact (RED) strategic research centre within Deakin University.</t>
  </si>
  <si>
    <t>10.1007/s10734-022-00937-2</t>
  </si>
  <si>
    <t>M6AT0</t>
  </si>
  <si>
    <t>WOS:000871513000001</t>
  </si>
  <si>
    <t>Nawrocki, T; Maldjian, PD; Slasky, SE; Contractor, SG</t>
  </si>
  <si>
    <t>Nawrocki, Tomer; Maldjian, Pierre D.; Slasky, Shira E.; Contractor, Sohail G.</t>
  </si>
  <si>
    <t>Artificial Intelligence and Radiology: Have Rumors of the Radiologist's Demise Been Greatly Exaggerated?</t>
  </si>
  <si>
    <t>Artificial intelligence; computer-aided detection; deep learning; machine learning; radiology</t>
  </si>
  <si>
    <t>COMPUTER-AIDED DETECTION; ELECTROCARDIOGRAM INTERPRETATION; ATRIAL-FIBRILLATION; CLINICAL CONSEQUENCES; BREAST-CANCER; MAMMOGRAPHY; CLASSIFICATION; FUTURE; ERRORS</t>
  </si>
  <si>
    <t>Artificial intelligence is a rapidly evolving computerized technology affecting multiple aspects of our lives. It is predicted that artificial intelligence will lead to a fundamental change in practice of many professional fields, including medicine. One of the most significant advances in artificial intelligence involves digital imaging and image recognition. Consequently, radiologists, who work in the most digitalized field of medicine, need to be familiar with this rapidly progressing technology. Artificial intelligence, machine learning, and deep learning are terms that tend to be used interchangeably in terms of advanced computer algorithms, but each has a different meaning. Objectives for this article are to demystify these terms for radiologists and to establish a basic understanding of this topic for the reader. We also discuss the impact that artificial intelligence might have on the field of radiology in the foreseeable future. Although artificial intelligence is unlikely to replace radiologists any time soon (if ever), we explore how this technology could be beneficial to radiologists.</t>
  </si>
  <si>
    <t>[Nawrocki, Tomer; Maldjian, Pierre D.; Slasky, Shira E.; Contractor, Sohail G.] Rutgers New Jersey Med Sch, Dept Radiol, 150 Bergen St,UH Suite C-318 A, Newark, NJ 07103 USA</t>
  </si>
  <si>
    <t>Rutgers University System; Rutgers University New Brunswick; Rutgers University Biomedical &amp; Health Sciences</t>
  </si>
  <si>
    <t>Nawrocki, T (corresponding author), Rutgers New Jersey Med Sch, Dept Radiol, 150 Bergen St,UH Suite C-318 A, Newark, NJ 07103 USA.</t>
  </si>
  <si>
    <t>tomer.nawr@gmail.com</t>
  </si>
  <si>
    <t>360 PARK AVE SOUTH, NEW YORK, NY 10010-1710 USA</t>
  </si>
  <si>
    <t>10.1016/j.acra.2017.12.027</t>
  </si>
  <si>
    <t>GO1US</t>
  </si>
  <si>
    <t>WOS:000439744500002</t>
  </si>
  <si>
    <t>Sumari, ADW; Ahmad, AS</t>
  </si>
  <si>
    <t>Sumari, Arwin Datumaya Wahyudi; Ahmad, Adang Suwandi</t>
  </si>
  <si>
    <t>The Application of Cognitive Artificial Intelligence within C4ISR Framework for National Resilience</t>
  </si>
  <si>
    <t>2017 FOURTH ASIAN CONFERENCE ON DEFENCE TECHNOLOGY - JAPAN (ACDT)</t>
  </si>
  <si>
    <t>4th Asian Conference on Defence Technology (ACDT)</t>
  </si>
  <si>
    <t>NOV 29-DEC 01, 2017</t>
  </si>
  <si>
    <t>Tokyo, JAPAN</t>
  </si>
  <si>
    <t>IEEE,Natl Defense Acad,Acquisit Technol &amp; Logist Agcy,Defence Technol Inst,Defence Technol Assoc,Japan Minist Defense</t>
  </si>
  <si>
    <t>A3S; C4ISR; Cognitive Artificial Intelligence; decision making; Knowledge-Growing System; National Resilience</t>
  </si>
  <si>
    <t>Cognitive Artificial Intelligence (CAI) is a new perspective in Artificial Intelligence (AI) which is aimed to emulate how human brain works in generating knowledge. Human becomes intelligent because of knowledge which grows over time in his brain. With comprehensive knowledge, he can understand the world (environment) and is able to make decision and or action on it. On the other hand, strategic decision which impacts to the continuance of having a nation and having state is a critical and crucial matter, and it should be done in precise and quick manner especially in the case of contingency and faced to mutiple-data multiple-decision-alternative problems. The most precise decision has to be based on the knowledge from extracted comprehensive information. In this paper we show you the application of CAI for National Security with Knowledge-Growing System (KGS) as the engine of decision making system. We apply the CAI to a framework called Cognitive Command, Control, Communications, Computers, Intelligence, Surveillance and Reconnaissance (C4ISR) with examples taken from a simulated of real-life case in the Defense-Security domain.</t>
  </si>
  <si>
    <t>[Sumari, Arwin Datumaya Wahyudi] Secretariat Gen Natl Resilience Council, Deputy Polit &amp; Strategy Affairs, Jalan Medan Merdeka Barat 15, Jakarta 10110, Indonesia; [Sumari, Arwin Datumaya Wahyudi; Ahmad, Adang Suwandi] Inst Teknol Bandung, Sch Elect Engn &amp; Informat, Cognit Artificial Intelligence Res Grp, Achmad Bakrie Bldg,3rd Floor,Jalan Ganesha 10, Bandung, Jawa Barat, Indonesia</t>
  </si>
  <si>
    <t>Institute Technology of Bandung</t>
  </si>
  <si>
    <t>Sumari, ADW (corresponding author), Secretariat Gen Natl Resilience Council, Deputy Polit &amp; Strategy Affairs, Jalan Medan Merdeka Barat 15, Jakarta 10110, Indonesia.;Sumari, ADW (corresponding author), Inst Teknol Bandung, Sch Elect Engn &amp; Informat, Cognit Artificial Intelligence Res Grp, Achmad Bakrie Bldg,3rd Floor,Jalan Ganesha 10, Bandung, Jawa Barat, Indonesia.</t>
  </si>
  <si>
    <t>arwin.sumari@yahoo.com; adangSahmad@yahoo.com</t>
  </si>
  <si>
    <t>Sumari, Arwin/R-7604-2019</t>
  </si>
  <si>
    <t>978-1-5386-2490-6</t>
  </si>
  <si>
    <t>BJ7WC</t>
  </si>
  <si>
    <t>WOS:000427727100023</t>
  </si>
  <si>
    <t>Darvish, M; Kret, KS; Bick, M</t>
  </si>
  <si>
    <t>Darvish, Mahdieh; Kret, Kret Samy; Bick, Markus</t>
  </si>
  <si>
    <t>An Explorative Study on the Adoption of Explainable Artificial Intelligence (XAI) in Business Organizations</t>
  </si>
  <si>
    <t>Explainable Artificial Intelligence; Adoption Factors; Business</t>
  </si>
  <si>
    <t>TECHNOLOGY; MODEL; ENVIRONMENT; INNOVATION</t>
  </si>
  <si>
    <t>Artificial Intelligence (AI), particularly Deep Learning (DL), is expanding across industries, raising concerns about data processing opacity. This has increased the demand for Explainable Artificial Intelligence (XAI) solutions. Despite its growing relevance, understanding XAI adoption drivers and its potential business impact is still limited. This study employs an exploratory qualitative approach, conducting eleven in-depth interviews to identify key factors influencing XAI adoption in business. These factors include perceived benefits, technological readiness, organizational and business factors, leadership, strategy, industry and governmental pressures and user needs. Furthermore, we use the Technology Organization and Environment model (TOE) to develop a theoretical framework that highlights technological readiness, impacts on the core business and consumer influence, determining the business value of XAI. Moreover, this paper provides managerial implications on navigating XAI adoption, by engaging stakeholders and balancing technological maturity with competitive pressures.</t>
  </si>
  <si>
    <t>[Darvish, Mahdieh; Kret, Kret Samy; Bick, Markus] ESCP Business Sch, Heubnerweg 8-10, D-14059 Berlin, Germany</t>
  </si>
  <si>
    <t>heSam Universite; ESCP Business School</t>
  </si>
  <si>
    <t>Darvish, M (corresponding author), ESCP Business Sch, Heubnerweg 8-10, D-14059 Berlin, Germany.</t>
  </si>
  <si>
    <t>mdarvish@escp.eu</t>
  </si>
  <si>
    <t>10.1007/978-3-031-72234-9_3</t>
  </si>
  <si>
    <t>WOS:001336388000003</t>
  </si>
  <si>
    <t>Ruhela, S</t>
  </si>
  <si>
    <t>Khatri, SK; Rana, A; Kapur, PK</t>
  </si>
  <si>
    <t>Ruhela, Sonakshi</t>
  </si>
  <si>
    <t>Thematic Correlation of Human Cognition and Artificial Intelligence</t>
  </si>
  <si>
    <t>PROCEEDINGS 2019 AMITY INTERNATIONAL CONFERENCE ON ARTIFICIAL INTELLIGENCE (AICAI)</t>
  </si>
  <si>
    <t>Amity International Conference on Artificial Intelligence (AICAI)</t>
  </si>
  <si>
    <t>FEB 04-06, 2019</t>
  </si>
  <si>
    <t>Amity Univ Dubai, Dubai, U ARAB EMIRATES</t>
  </si>
  <si>
    <t>Amity Univ Uttar Pradesh, Amity Inst Informat Technol,IEEE UAE Sect</t>
  </si>
  <si>
    <t>Amity Univ Dubai</t>
  </si>
  <si>
    <t>Cognition; science; perception</t>
  </si>
  <si>
    <t>Artificial intelligence formally started in 1956 and the world today has seen one change that is from manual worked frameworks to computerized frameworks and it is still during the time spent change. This is the consequence of Artificial Intelligence where gigantic research is going on in creating insight in generally minor guidance based machines. Man-made consciousness is tied in with creating keen machines that can apply information like the human do. The objective of the study is a) to understand the realms and dynamics of Human Cognition; b) To comprehend the dynamics and impacts of Artificial intelligence and c) To assess the correlation between Human Cognition and Artificial intelligence in contemporary world. The methodology followed is focus group interview with 15 experts from Dubai, followed by a thematic analysis of the data. The results highlight that AI and psychological science keep on preparing one another and Perception is one of the significant aspects of the cognition process and bases for Artificial intelligence in action.</t>
  </si>
  <si>
    <t>[Ruhela, Sonakshi] Amity Univ Dubai, Dept Psychol, Dubai, U Arab Emirates</t>
  </si>
  <si>
    <t>Ruhela, S (corresponding author), Amity Univ Dubai, Dept Psychol, Dubai, U Arab Emirates.</t>
  </si>
  <si>
    <t>sruhela@amityuniversity.ae</t>
  </si>
  <si>
    <t>978-1-5386-9346-9</t>
  </si>
  <si>
    <t>10.1109/aicai.2019.8701337</t>
  </si>
  <si>
    <t>BO5BP</t>
  </si>
  <si>
    <t>WOS:000516788300072</t>
  </si>
  <si>
    <t>Alkaied, RN; Khattab, SA; Al Shaar, IM; Abu Zaid, MK; Al-Bazaiah, SAI</t>
  </si>
  <si>
    <t>Alkaied, Raed N.; Khattab, Shadi A.; Al Shaar, Ishaq M.; Abu Zaid, Mohammed K.; Al-Bazaiah, Sakher A. I.</t>
  </si>
  <si>
    <t>The impact of artificial intelligence on re-purchase intentions: the mediation approach</t>
  </si>
  <si>
    <t>BIZNES INFORMATIKA-BUSINESS INFORMATICS</t>
  </si>
  <si>
    <t>artificial intelligence; conversion rate optimization; social media engagement; brand experience; brand preference; re-purchase intention</t>
  </si>
  <si>
    <t>BRAND EXPERIENCE; CUSTOMER ENGAGEMENT; REPURCHASE INTENTION; DECISION-MAKING; MODERATING ROLE; CHALLENGES; PREFERENCE; REALITY; LOYALTY</t>
  </si>
  <si>
    <t>Purchases made on online platforms have heavily incorporated artificial intelligence (AI) to shape consumer purchasing behavior. To investigate re-purchase intentions, this study combines AI, social media engagement, conversion rate optimization, brand experience and brand preference. A survey was conducted with a questionnaire sent to 355 people who had at least once purchased or used services offered online from any site associated with aviation. The questionnaire was analyzed using structural equation modeling. Utilizing Amos V.22, the study hypotheses were assessed. The empirical results show that social media engagement, brand experience, brand preference and conversion rate optimization were all impacted by AI. Conversion rate optimization and social media interaction also have an impact on brand preference and experience. Re-purchase intention is influenced by brand preference and brand experience. Additionally, the association between AI and re-purchase intention was mediated by social media engagement, brand experience, conversion rate optimization and brand preference. The study will support airline companies in developing AI and creating more effective branding and marketing campaigns to increase customer intention to re-purchase. This study discovered that the use of AI in marketing significantly improved brand preference, which subsequently affected consumers' desire to make additional purchases. Furthermore, to improve long-term commercial performance and brand attractiveness, the airline should focus brand-building efforts on AI. Thus, the airline ought to make greater investments in AI and booking service technology, both to draw in new business and to strengthen existing ones.</t>
  </si>
  <si>
    <t>[Alkaied, Raed N.; Khattab, Shadi A.] Al Balqa Appl Univ, Fac Business, Management Informat Syst Dept, POB 206, Salt 19117, Jordan; [Al Shaar, Ishaq M.; Al-Bazaiah, Sakher A. I.] Al Balqa Appl Univ, Fac Business, Dept Business Adm, POB 206, Salt 19117, Jordan; [Abu Zaid, Mohammed K.] Al Balqa Appl Univ, Fac Business, Planning &amp; Project Management Dept, POB 206, Salt 19117, Jordan</t>
  </si>
  <si>
    <t>Al-Balqa Applied University; Al-Balqa Applied University; Al-Balqa Applied University</t>
  </si>
  <si>
    <t>Alkaied, RN (corresponding author), Al Balqa Appl Univ, Fac Business, Management Informat Syst Dept, POB 206, Salt 19117, Jordan.</t>
  </si>
  <si>
    <t>Raedalkaied@bau.edu.jo; Shadikhattab@bau.edu.jo; I.shaar@bau.edu.jo; Mohammed_abu_zaid@bau.edu.jo; bazaiah1@bau.edu.jo</t>
  </si>
  <si>
    <t>AL-BAZAIAH, SAKHER/ITT-0062-2023</t>
  </si>
  <si>
    <t>AL-BAZAIAH, SAKHER/0000-0002-6648-8091</t>
  </si>
  <si>
    <t>NATL RESEARCH UNIV, HIGHER SCH ECONOMICS</t>
  </si>
  <si>
    <t>MYASNITSKAYA, 20, MOSCOW, 101000, RUSSIA</t>
  </si>
  <si>
    <t>1998-0663</t>
  </si>
  <si>
    <t>BIZN INFORM</t>
  </si>
  <si>
    <t>Bizn. Inform.</t>
  </si>
  <si>
    <t>10.17323/2587-814X.2024.3.87.107</t>
  </si>
  <si>
    <t>I5M0M</t>
  </si>
  <si>
    <t>WOS:001330686300006</t>
  </si>
  <si>
    <t>Gracheva, MA; Shalileh, S</t>
  </si>
  <si>
    <t>Gracheva, Maria A.; Shalileh, Soroosh</t>
  </si>
  <si>
    <t>Dyslexia Diagnostics Based on Eye Movements and Artificial Intelligence Methods: A Review</t>
  </si>
  <si>
    <t>CLINICAL PSYCHOLOGY AND SPECIAL EDUCATION</t>
  </si>
  <si>
    <t>eye-tracking; eye movements; dyslexia; artificial intelligence; diagnostics methods</t>
  </si>
  <si>
    <t>DEVELOPMENTAL DYSLEXIA; PERCEPTUAL SPAN; NORMAL READERS; PATTERNS</t>
  </si>
  <si>
    <t>The review considers methods of dyslexia diagnostics based on eye movement data and implemented on the basis of artificial intelligence. A number of studies have shown that eye movements in people with dyslexia may differ from those of people with normal reading abilities. Since 2015, studies have begun to appear in which the eye movements of observers with and without dyslexia were analyzed using various artificial intelligence methods. To date, there are a number of papers using both simple and more complex models (with neural networks and deep learning). This review discusses what accuracy of diagnosis has been achieved by researchers, for which groups of subjects and for which languages the current results have been shown, what types of algorithms have been used, and other practical aspects of conducting such diagnosis. According to the data analyzed, dyslexia diagnostics by eye movements and artificial intelligence methods is very promising and may have a significant impact on early diagnosing of reading problems.</t>
  </si>
  <si>
    <t>[Gracheva, Maria A.; Shalileh, Soroosh] HSE Univ, Moscow, Russia</t>
  </si>
  <si>
    <t>Gracheva, MA (corresponding author), HSE Univ, Moscow, Russia.</t>
  </si>
  <si>
    <t>mg.iitp@gmail.com; sr.shalileh@gmail.com</t>
  </si>
  <si>
    <t>Gracheva, Maria/GSJ-3588-2022; Shalileh, Soroosh/V-2074-2017</t>
  </si>
  <si>
    <t>Shalileh, Soroosh/0000-0001-6226-4990; Gracheva, Maria/0000-0003-0196-148X</t>
  </si>
  <si>
    <t>Basic Research Program at the National Research University Higher School of Economics (HSE University); State task of the IITP RAS [122041100148-0]</t>
  </si>
  <si>
    <t>Basic Research Program at the National Research University Higher School of Economics (HSE University); State task of the IITP RAS</t>
  </si>
  <si>
    <t>This work is the result of a research project implemented as part of the Basic Research Program at the National Research University Higher School of Economics (HSE University). The work of M. Gracheva was partially supported within the state task of the IITP RAS (R &amp; D registration number 122041100148-0 from March 13, 2023).</t>
  </si>
  <si>
    <t>MOSCOW STATE PSYCHOLOGICAL &amp; PEDAGOGICAL UNIV</t>
  </si>
  <si>
    <t>UL SRETENKA, DOM 29, MOSCOW, 127051, RUSSIA</t>
  </si>
  <si>
    <t>2304-0394</t>
  </si>
  <si>
    <t>CLIN PSYCHOL SPEC ED</t>
  </si>
  <si>
    <t>Clin. Psychol. Spec. Educ.</t>
  </si>
  <si>
    <t>10.17759/cpse.2023120301</t>
  </si>
  <si>
    <t>Psychology, Clinical</t>
  </si>
  <si>
    <t>CI3B6</t>
  </si>
  <si>
    <t>WOS:001124573700008</t>
  </si>
  <si>
    <t>Koenig, S; Uras, T; Cohen, L</t>
  </si>
  <si>
    <t>Assoc Advancement Artificial Intelligence</t>
  </si>
  <si>
    <t>Koenig, Sven; Uras, Tansel; Cohen, Liron</t>
  </si>
  <si>
    <t>Teaching Undergraduate Artificial Intelligence Classes: An Experiment with an Attendance Requirement</t>
  </si>
  <si>
    <t>THIRTY-FOURTH AAAI CONFERENCE ON ARTIFICIAL INTELLIGENCE, THE THIRTY-SECOND INNOVATIVE APPLICATIONS OF ARTIFICIAL INTELLIGENCE CONFERENCE AND THE TENTH AAAI SYMPOSIUM ON EDUCATIONAL ADVANCES IN ARTIFICIAL INTELLIGENCE</t>
  </si>
  <si>
    <t>AAAI Conference on Artificial Intelligence</t>
  </si>
  <si>
    <t>34th AAAI Conference on Artificial Intelligence / 32nd Innovative Applications of Artificial Intelligence Conference / 10th AAAI Symposium on Educational Advances in Artificial Intelligence</t>
  </si>
  <si>
    <t>FEB 07-12, 2020</t>
  </si>
  <si>
    <t>New York, NY</t>
  </si>
  <si>
    <t>We report on an experiment that we performed when we taught the undergraduate artificial intelligence class at the University of Southern California. We taught it - under very similar conditions - once with and once without an attendance requirement. The attendance requirement substantially increased the attendance of the students. It did not substantially affect their performance but decreased their course ratings across all categories in the official course evaluation, whose results happened to be biased toward the opinions of the students attending the lectures. For example, the overall rating of the instructor was 0.89 lower (on a 1-5 scale) with the attendance requirement and the overall rating of the class was 0.85 lower. Thus, the attendance requirement, combined with the policy for administering the course evaluation, had a large impact on the course ratings, which is a problem if the course ratings influence decisions on promotions, tenure, and salary increments for the instructors but also demonstrates the potential for the manipulation of course ratings.</t>
  </si>
  <si>
    <t>[Koenig, Sven; Uras, Tansel; Cohen, Liron] Univ Southern Calif, Comp Sci Dept, 941 Bloom Walk, Los Angeles, CA 90089 USA</t>
  </si>
  <si>
    <t>University of Southern California</t>
  </si>
  <si>
    <t>Koenig, S (corresponding author), Univ Southern Calif, Comp Sci Dept, 941 Bloom Walk, Los Angeles, CA 90089 USA.</t>
  </si>
  <si>
    <t>skoenig@usc.edu; turas@usc.edu; lironcoh@usc.edu</t>
  </si>
  <si>
    <t>Uras, Tansel/JYQ-3006-2024</t>
  </si>
  <si>
    <t>National Science Foundation (NSF) [1724392, 1409987, 1817189, 1837779]; Direct For Computer &amp; Info Scie &amp; Enginr; Division Of Computer and Network Systems [1837779] Funding Source: National Science Foundation; Direct For Computer &amp; Info Scie &amp; Enginr; Div Of Information &amp; Intelligent Systems [1817189, 1724392] Funding Source: National Science Foundation</t>
  </si>
  <si>
    <t>National Science Foundation (NSF)(National Science Foundation (NSF)); Direct For Computer &amp; Info Scie &amp; Enginr; Division Of Computer and Network Systems(National Science Foundation (NSF)NSF - Directorate for Computer &amp; Information Science &amp; Engineering (CISE)); Direct For Computer &amp; Info Scie &amp; Enginr; Div Of Information &amp; Intelligent Systems(National Science Foundation (NSF)NSF - Directorate for Computer &amp; Information Science &amp; Engineering (CISE)NSF - Division of Information &amp; Intelligent Systems (IIS))</t>
  </si>
  <si>
    <t>This study was supported by the National Science Foundation (NSF) under grant numbers 1724392, 1409987, 1817189 and 1837779. Swantje Willms compiled the statistics based on the questionnaires, and Tansel Uras compiled the statistics based on all other data. The USC Institutional Review Board determined that this study did not require its approval.</t>
  </si>
  <si>
    <t>ASSOC ADVANCEMENT ARTIFICIAL INTELLIGENCE</t>
  </si>
  <si>
    <t>2275 E BAYSHORE RD, STE 160, PALO ALTO, CA 94303 USA</t>
  </si>
  <si>
    <t>2159-5399</t>
  </si>
  <si>
    <t>2374-3468</t>
  </si>
  <si>
    <t>978-1-57735-835-0</t>
  </si>
  <si>
    <t>AAAI CONF ARTIF INTE</t>
  </si>
  <si>
    <t>BR7JR</t>
  </si>
  <si>
    <t>WOS:000668126805116</t>
  </si>
  <si>
    <t>Pierson, J; Kerr, A; Robinson, SC; Fanni, R; Steinkogler, VE; Milan, S; Zampedri, G</t>
  </si>
  <si>
    <t>Pierson, Jo; Kerr, Aphra; Robinson, Stephen Cory; Fanni, Rosanna; Steinkogler, Valerie Eveline; Milan, Stefania; Zampedri, Giulia</t>
  </si>
  <si>
    <t>Governing artificial intelligence in the media and communications sector</t>
  </si>
  <si>
    <t>INTERNET POLICY REVIEW</t>
  </si>
  <si>
    <t>Artificial intelligence; Trust; AI governance; European policymaking</t>
  </si>
  <si>
    <t>SYSTEMS</t>
  </si>
  <si>
    <t>The article analyses critical blindspots in current European Artificial Intelligence (AI) policies and examines the potential impact of data and AI in the emerging socio-technical ecosystem of the contemporary Media and Communications (MC) sector from the perspective of critical media and communication studies. We first identify central blind spots in the dominant EU trustworthy and risk-based approach to governing AI. Next, we propose a novel multi-level framework to analyse key policy challenges for governing AI in the MC sector. The framework and discussion are based on desk research and multi-stakeholder expert discussions. The article concludes with reflections on AI governance in development, deployment and use in the MC sector.</t>
  </si>
  <si>
    <t>[Pierson, Jo] Hasselt Univ, Hasselt, Belgium; [Kerr, Aphra] Maynooth Univ, Maynooth, Ireland; [Robinson, Stephen Cory] Linkoping Univ, Linkoping, Sweden; [Fanni, Rosanna] Ctr European Policy Studies CEPS, Brussels, Belgium; [Steinkogler, Valerie Eveline; Zampedri, Giulia] Vrije Univ Brussel, Brussels, Belgium; [Milan, Stefania] Univ Amsterdam, Amsterdam, Netherlands</t>
  </si>
  <si>
    <t>Hasselt University; Maynooth University; Linkoping University; Vrije Universiteit Brussel; University of Amsterdam</t>
  </si>
  <si>
    <t>Pierson, J (corresponding author), Hasselt Univ, Hasselt, Belgium.</t>
  </si>
  <si>
    <t>jo.pierson@uhasselt.be; aphra.kerr@mu.ie; s.milan@uva.nl</t>
  </si>
  <si>
    <t>; Kerr, Aphra/J-2330-2015</t>
  </si>
  <si>
    <t>Robinson, Stephen Cory/0000-0003-1253-9671; Kerr, Aphra/0000-0001-5445-7805; Pierson, Jo/0000-0002-9077-6229</t>
  </si>
  <si>
    <t>Research Foundation - Flanders (FWO) [G054919N]; DELICIOS project (Delegation of Decision-Making to Autonomous Agents in Socio-Technical System) -Research Foundation - Flanders (FWO) [G054919N]; ADAPT Centre; Science Foundation Ireland Research Centres Programme [13/RC/2106_P2]</t>
  </si>
  <si>
    <t>Research Foundation - Flanders (FWO)(FWO); DELICIOS project (Delegation of Decision-Making to Autonomous Agents in Socio-Technical System) -Research Foundation - Flanders (FWO); ADAPT Centre; Science Foundation Ireland Research Centres Programme(Science Foundation Ireland (SFI))</t>
  </si>
  <si>
    <t>Jo Pierson received support from the DELICIOS project (Delegation of Decision-Making to Autonomous Agents in Socio-Technical System) funded by The Research Foundation - Flanders (FWO) (Grant G054919N) and Aphra Kerr would like to acknowledge support from the ADAPT Centre which is funded under the Science Foundation Ireland Research Centres Programme (Grant 13/RC/2106_P2).</t>
  </si>
  <si>
    <t>ALEXANDER VON HUMBOLDT INST INTERNET &amp; SOC</t>
  </si>
  <si>
    <t>OBERWALLSTRASSE 9, BERLIN, 10117, GERMANY</t>
  </si>
  <si>
    <t>2197-6775</t>
  </si>
  <si>
    <t>INTERNET POLICY REV</t>
  </si>
  <si>
    <t>Internet Policy Rev.</t>
  </si>
  <si>
    <t>10.14763/2023.1.1683</t>
  </si>
  <si>
    <t>Communication; Law</t>
  </si>
  <si>
    <t>Communication; Government &amp; Law</t>
  </si>
  <si>
    <t>A8QM9</t>
  </si>
  <si>
    <t>Green Published, Green Submitted, Green Accepted, gold</t>
  </si>
  <si>
    <t>WOS:000957709200003</t>
  </si>
  <si>
    <t>Cox, AM; Pinfield, S; Rutter, S</t>
  </si>
  <si>
    <t>Cox, Andrew M.; Pinfield, Stephen; Rutter, Sophie</t>
  </si>
  <si>
    <t>The intelligent library Thought leaders' views on the likely impact of artificial intelligence on academic libraries</t>
  </si>
  <si>
    <t>LIBRARY HI TECH</t>
  </si>
  <si>
    <t>Academic libraries; University libraries; Data mining; Artificial intelligence; Librarians; Machine learning</t>
  </si>
  <si>
    <t>TEXT</t>
  </si>
  <si>
    <t>Purpose The last few years have seen a surge of interest in artificial intelligence (AI). The purpose of this paper is to capture a snapshot of perceptions of the potential impact of AI on academic libraries and to reflect on its implications for library work. Design/methodology/approach The data for the study were interviews with 33 library directors, library commentators and experts in education and publishing. Findings Interviewees identified impacts of AI on search and resource discovery, on scholarly publishing and on learning. Challenges included libraries being left outside the focus of development, ethical concerns, intelligibility of decisions and data quality. Some threat to jobs was perceived. A number of potential roles for academic libraries were identified such as data acquisition and curation, AI tool acquisition and infrastructure building, aiding user navigation and data literacy. Originality/value This is one of the first papers to examine current expectations around the impact of AI on academic libraries. The authors propose the paradigm of the intelligent library to capture the potential impact of AI for libraries.</t>
  </si>
  <si>
    <t>[Cox, Andrew M.] Univ Sheffield, Informat Sch, Sheffield, S Yorkshire, England; [Pinfield, Stephen] Univ Sheffield, Sheffield, S Yorkshire, England; [Rutter, Sophie] Univ Leeds, Leeds, W Yorkshire, England</t>
  </si>
  <si>
    <t>University of Sheffield; University of Sheffield; University of Leeds</t>
  </si>
  <si>
    <t>Cox, AM (corresponding author), Univ Sheffield, Informat Sch, Sheffield, S Yorkshire, England.</t>
  </si>
  <si>
    <t>; Cox, Andrew/J-9568-2016</t>
  </si>
  <si>
    <t>Pinfield, Stephen/0000-0003-4696-764X; Cox, Andrew/0000-0002-2587-245X</t>
  </si>
  <si>
    <t>0737-8831</t>
  </si>
  <si>
    <t>LIBR HI TECH</t>
  </si>
  <si>
    <t>Libr. Hi Tech</t>
  </si>
  <si>
    <t>SEP 16</t>
  </si>
  <si>
    <t>10.1108/LHT-08-2018-0105</t>
  </si>
  <si>
    <t>IY3BB</t>
  </si>
  <si>
    <t>WOS:000486265700007</t>
  </si>
  <si>
    <t>Saqib, M; Iftikhar, M; Neha, F; Karishma, F; Mumtaz, H</t>
  </si>
  <si>
    <t>Saqib, Muhammad; Iftikhar, Muhammad; Neha, Fnu; Karishma, Fnu; Mumtaz, Hassan</t>
  </si>
  <si>
    <t>Artificial intelligence in critical illness and its impact on patient care: a comprehensive review</t>
  </si>
  <si>
    <t>artificial intelligence; intensive care units; critical illness; risk assessment; decision making</t>
  </si>
  <si>
    <t>GOAL-DIRECTED THERAPY; MEDICINE</t>
  </si>
  <si>
    <t>Artificial intelligence (AI) has great potential to improve the field of critical care and enhance patient outcomes. This paper provides an overview of current and future applications of AI in critical illness and its impact on patient care, including its use in perceiving disease, predicting changes in pathological processes, and assisting in clinical decision-making. To achieve this, it is important to ensure that the reasoning behind AI-generated recommendations is comprehensible and transparent and that AI systems are designed to be reliable and robust in the care of critically ill patients. These challenges must be addressed through research and the development of quality control measures to ensure that AI is used in a safe and effective manner. In conclusion, this paper highlights the numerous opportunities and potential applications of AI in critical care and provides guidance for future research and development in this field. By enabling the perception of disease, predicting changes in pathological processes, and assisting in the resolution of clinical decisions, AI has the potential to revolutionize patient care for critically ill patients and improve the efficiency of health systems.</t>
  </si>
  <si>
    <t>[Saqib, Muhammad; Iftikhar, Muhammad] Khyber Med Coll, Peshawar, Khyber Pakhtunk, Pakistan; [Neha, Fnu] Ghulam Muhammad Mahar Med Coll, Sukkur, Sindh, Pakistan; [Karishma, Fnu] Jinnah Sindh Med Univ, Karachi, Sindh, Pakistan; [Mumtaz, Hassan] Hlth Serv Acad, Islamabad, Pakistan</t>
  </si>
  <si>
    <t>Jinnah Sindh Medical University - Pakistan; Health Services Academy</t>
  </si>
  <si>
    <t>Mumtaz, H (corresponding author), Hlth Serv Acad, Islamabad, Pakistan.</t>
  </si>
  <si>
    <t>hassanmumtaz.dr@gmail.com</t>
  </si>
  <si>
    <t>Saqib, Muhammad/HMD-7044-2023; Iftikhar, Muhammad/KGM-4844-2024; Mumtaz, Hassan/ABB-4841-2020</t>
  </si>
  <si>
    <t>Karishma, FNU/0000-0002-9977-1109; Saqib, Muhammad/0000-0003-3645-6416; Iftikhar, Muhammad/0000-0001-9790-4783</t>
  </si>
  <si>
    <t>APR 20</t>
  </si>
  <si>
    <t>10.3389/fmed.2023.1176192</t>
  </si>
  <si>
    <t>F2VE9</t>
  </si>
  <si>
    <t>WOS:000980968200001</t>
  </si>
  <si>
    <t>Esparza, MS; Stracuzzi, S; Fernández, AF</t>
  </si>
  <si>
    <t>Esparza, Marta Sanchez; Stracuzzi, Santa Phlella; Fernandez, Angel Fernandez</t>
  </si>
  <si>
    <t>Impact of Artificial Intelligence on RTVE: Verification of fake videos and Deep fakes, content generation, and new professional profiles</t>
  </si>
  <si>
    <t>Artificial intelligence; digital transformation; RTVE; fake videos; Deep fakes; new professional profiles</t>
  </si>
  <si>
    <t>The emergence of technologies based on artificial intelligence is accelerating the digital transformation of media organizations, directly impacting work processes, the relationship with audiences, the generation of content, and the emergence of new professional profiles. It is also, and notably, transforming the processes of detecting and verifying false content. This descriptive-exploratory research analyzes the impact that the use of AI is having on the transformation of the public entity Radiotelevisi &amp; oacute;n Espa &amp; ntilde;ola (RTVE). Through a literature review and interviews with RTVE executives and experts, it reveals the transformative impact of AI on the corporation, highlighting its use to generate new content and verify the authenticity of fake and deepfake videos. In this area, RTVE combines traditional tools have already yielded satisfactory results in detecting these misleading materials, reinforcing RTVE's role as a guarantor of content. Similarly, AI is reinforcing RTVE's identity as a public service by facilitating the generation of automated content, which guarantees access to information in depopulated territories, and others that connect new generations with cultural content. The arrival of artificial intelligence will also generate in a short time a new reality.</t>
  </si>
  <si>
    <t>[Esparza, Marta Sanchez] Univ Int Empresa, Santiago De Compostela, Spain; [Stracuzzi, Santa Phlella] EAE Business Sch, Barcelona, Spain; [Fernandez, Angel Fernandez] Univ Int Empresa, Core Entertainment Sci Sch, Santiago De Compostela, Spain</t>
  </si>
  <si>
    <t>Esparza, MS (corresponding author), Univ Int Empresa, Santiago De Compostela, Spain.</t>
  </si>
  <si>
    <t>msancheze@universidadunie.com; spalella@eae.es; amfernandez@thecoreschool.com</t>
  </si>
  <si>
    <t>Sánchez Esparza, Marta/AAR-7087-2020</t>
  </si>
  <si>
    <t>Fernandez Fernandez, Angel/0000-0003-4264-7788; Sanchez Esparza, Marta/0000-0001-6525-0148; Palella Stracuzzi, Santa/0000-0001-6610-7079</t>
  </si>
  <si>
    <t>10.15581/003.37.2.261-277</t>
  </si>
  <si>
    <t>WOS:001223517200017</t>
  </si>
  <si>
    <t>Kumar, D; Uchoi, E</t>
  </si>
  <si>
    <t>Kumar, Dinesh; Uchoi, Enjula</t>
  </si>
  <si>
    <t>Using artificial intelligence for spiritual well-being: conceptualizing predictive models</t>
  </si>
  <si>
    <t>JOURNAL OF SPIRITUALITY IN MENTAL HEALTH</t>
  </si>
  <si>
    <t>Artificial intelligence; machine learning; spiritual wellbeing; predictive models; ethics in artificial intelligence</t>
  </si>
  <si>
    <t>AI; IMPACT; IOT</t>
  </si>
  <si>
    <t>The aim of this article is to explore how to integrate artificial intelligence (AI) with spiritual well-being. The framework is based on the use of AI to predict and improve spiritual outcomes. The proposed model deals with shortcomings common to most existing evaluations of spiritual well-being. This framework provides dynamic spiritual health insights informed by data. The AI methods include natural language processing, predictive modeling, andreal-timee analytics. Findings reveal the potential for AI to close key gaps in spiritual well-being assessment and treatment. This pioneering study sets a rich foundation for the future of AI and spirituality.</t>
  </si>
  <si>
    <t>[Kumar, Dinesh] Woxsen Univ, Sch Business, Hyderabad, Telangana, India; [Kumar, Dinesh] Lovely Profess Univ, Mittal Sch Business, Jalandhar, Punjab, India; [Uchoi, Enjula] Lovely Profess Univ, Sch Comp Sci &amp; Engn, Jalandhar, India</t>
  </si>
  <si>
    <t>Woxsen University; Lovely Professional University; Lovely Professional University</t>
  </si>
  <si>
    <t>Kumar, D (corresponding author), Woxsen Univ, AI Res Ctr, Sch Business, Hyderabad 502345, Telangana, India.</t>
  </si>
  <si>
    <t>dineshairwarrior@gmail.com</t>
  </si>
  <si>
    <t>School of Computer Science and Engineering, Lovely Professional University</t>
  </si>
  <si>
    <t>Appreciation is expressed to Mittal School of Business, and School of Computer Science and Engineering, Lovely Professional University, and School of Business, Woxsen University for their support in the execution of this study. The first author has done this study during the affiliation with both universities.</t>
  </si>
  <si>
    <t>1934-9637</t>
  </si>
  <si>
    <t>1934-9645</t>
  </si>
  <si>
    <t>J SPIRITUAL MENT HE</t>
  </si>
  <si>
    <t>J. Spiritual. Ment. Health</t>
  </si>
  <si>
    <t>2025 JAN 25</t>
  </si>
  <si>
    <t>10.1080/19349637.2025.2454427</t>
  </si>
  <si>
    <t>T4O4I</t>
  </si>
  <si>
    <t>WOS:001404816900001</t>
  </si>
  <si>
    <t>Qin, M; Hu, W; Qi, XZ; Chang, TY</t>
  </si>
  <si>
    <t>Qin, Meng; Hu, Wei; Qi, Xinzhou; Chang, Tsangyao</t>
  </si>
  <si>
    <t>Do the benefits outweigh the disadvantages? Exploring the role of artificial intelligence in renewable energy</t>
  </si>
  <si>
    <t>Artificial intelligence; Renewable energy; Time-dependant interrelationship; China</t>
  </si>
  <si>
    <t>PARAMETER INSTABILITY; CONSUMPTION; TESTS</t>
  </si>
  <si>
    <t>Probing the essential role of artificial intelligence in the energy market is crucial to improving the development of renewable energy. The research adopts the full and sub sample methodologies to identify the interrelation of artificial intelligence index (AII) and renewable energy indicator (REI) in China. From the quantitative discussions, it is shown that there are favourable and negative impacts from AII to REI, and the positive ones indicate that artificial intelligence plays an incentive role in developing renewable energy. However, this incentive role cannot permanently be established if AII's effect on REI is negative, which is mainly caused by non-renewable energy with less costs. In turn, there is a favourable influence from REI to AII during COVID-19, highlighting that the downturn in renewable energy and stock markets caused by this epidemic impedes the progress of artificial intelligence in China. In the context of a new round of scientific and technological revolution and industrial transformation, the research would offer meaningful recommendations to facilitate the development of artificial intelligence, accelerate the application and promotion of artificial intelligence technology in the field of renewable energy, and build efficient models, processors and data centres through shifting to renewable energy.</t>
  </si>
  <si>
    <t>[Qin, Meng] Qingdao Univ, Sch Marxism, Qingdao 266071, Peoples R China; [Qin, Meng] West Univ Timisoara, Fac Econ &amp; Business Adm, Doctoral Sch Econ, Timisoara 300115, Romania; [Qin, Meng] Lebanese Amer Univ, Adnan Kassar Sch Business, Beirut 11020, Lebanon; [Hu, Wei] Hunan Univ Technol, Sch Foreign Languages, Zhuzhou 412007, Peoples R China; [Qi, Xinzhou] Fudan Univ, Sch Management, Shanghai 200433, Peoples R China; [Chang, Tsangyao] Feng Chia Univ, Taichung 407102, Taiwan</t>
  </si>
  <si>
    <t>Qingdao University; West University of Timisoara; Lebanese American University; Hunan University of Technology; Fudan University</t>
  </si>
  <si>
    <t>Hu, W (corresponding author), Hunan Univ Technol, Sch Foreign Languages, Zhuzhou 412007, Peoples R China.</t>
  </si>
  <si>
    <t>huwei.hut@outlook.com; xzqi20@fudan.edu.cn; tychang@mail.fcu.edu.tw</t>
  </si>
  <si>
    <t>qin, meng/KLZ-3264-2024</t>
  </si>
  <si>
    <t>10.1016/j.eneco.2024.107403</t>
  </si>
  <si>
    <t>LO6S5</t>
  </si>
  <si>
    <t>WOS:001187789800001</t>
  </si>
  <si>
    <t>Salah, M; Abdelfattah, F; Al Halbusi, H</t>
  </si>
  <si>
    <t>Salah, Mohammed; Abdelfattah, Fadi; Al Halbusi, Hussam</t>
  </si>
  <si>
    <t>The good, the bad, and the GPT: Reviewing the impact of generative artificial intelligence on psychology</t>
  </si>
  <si>
    <t>Generative artificial intelligence; Psychology; Ethical considerations; Therapeutic personalization; Natural language processing.</t>
  </si>
  <si>
    <t>This review explores the impact of Generative Artificial Intelligence (GenAI)-a technology capable of autonomously creating new content, ideas, or solutions by learning from extensive data-on psychology. GenAI is changing research methodologies, diagnostics, and treatments by enhancing diagnostic accuracy, personalizing therapeutic interventions, and providing deeper insights into cognitive processes. However, these advancements come with significant ethical concerns, including privacy, bias, and the risk of depersonalization in therapy. By focusing on the current capabilities of GenAI, this study aims to provide a balanced understanding and guide the ethical integration of AI into psychological practices and research. We argue that while GenAI presents profound opportunities, its integration must be approached cautiously using robust ethical frameworks.</t>
  </si>
  <si>
    <t>[Salah, Mohammed] ASharqiyah Univ ASU, Coll Business Adm COBA, Management Dept, Ibra, Oman; [Salah, Mohammed; Abdelfattah, Fadi] Modern Coll Business &amp; Sci MCBS, Muscat, Oman; [Al Halbusi, Hussam] Ahmed Bin Mohammed Mil Coll ABMMC, Doha, Qatar</t>
  </si>
  <si>
    <t>Ahmed Bin Mohammed Military College</t>
  </si>
  <si>
    <t>Salah, M (corresponding author), ASharqiyah Univ ASU, Coll Business Adm COBA, Management Dept, Ibra, Oman.;Salah, M (corresponding author), Modern Coll Business &amp; Sci MCBS, Muscat, Oman.</t>
  </si>
  <si>
    <t>sala142@yahoo.com</t>
  </si>
  <si>
    <t>Halbusi, Hussam/AAL-5836-2020; SALAH, MOHAMMED/GPK-4620-2022; Abdelfattah, Fadi/L-7441-2014</t>
  </si>
  <si>
    <t>Abdelfattah, Fadi/0000-0002-4665-4777; Salah, Mohammed/0000-0002-1742-2790</t>
  </si>
  <si>
    <t>The authors declare that they have no known competing financial interests or personal relationships that could have appeared to influence the work reported in this paper.</t>
  </si>
  <si>
    <t>10.1016/j.copsyc.2024.101872</t>
  </si>
  <si>
    <t>E5B8P</t>
  </si>
  <si>
    <t>WOS:001303163100001</t>
  </si>
  <si>
    <t>Martin, RK; Ley, C; Pareek, A; Groll, A; Tischer, T; Seil, R</t>
  </si>
  <si>
    <t>Martin, R. Kyle; Ley, Christophe; Pareek, Ayoosh; Groll, Andreas; Tischer, Thomas; Seil, Romain</t>
  </si>
  <si>
    <t>Artificial intelligence and machine learning: an introduction for orthopaedic surgeons</t>
  </si>
  <si>
    <t>KNEE SURGERY SPORTS TRAUMATOLOGY ARTHROSCOPY</t>
  </si>
  <si>
    <t>Machine learning; Artificial intelligence; Orthopaedic surgery; Sports medicine</t>
  </si>
  <si>
    <t>CLINICALLY MEANINGFUL OUTCOMES; OSTEOCHONDRAL ALLOGRAFT; CARTILAGE DEFECTS; PREDICTION; CLASSIFICATION; HEALTH</t>
  </si>
  <si>
    <t>The application of artificial intelligence (AI) and machine learning to the field of orthopaedic surgery is rapidly increasing. While this represents an important step in the advancement of our specialty, the concept of AI is rich with statistical jargon and techniques unfamiliar to many clinicians. This knowledge gap may limit the impact and potential of these novel techniques. We aim to narrow this gap in a way that is accessible for all orthopaedic surgeons. With this manuscript, we introduce the concept of AI and machine learning and give examples of how it can impact clinical practice and patient care.</t>
  </si>
  <si>
    <t>[Martin, R. Kyle] Univ Minnesota, Dept Orthoped Surg, Minneapolis, MN 55417 USA; [Ley, Christophe] Univ Ghent, Dept Appl Math Comp Sci &amp; Stat, Ghent, Belgium; [Pareek, Ayoosh] Mayo Clin, Dept Orthopaed Surg, Rochester, MN USA; [Groll, Andreas] TU Dortmund Univ, Dept Stat, Dortmund, Germany; [Tischer, Thomas] Univ Med Rostock, Dept Orthopaed Surg, Rostock, Germany; [Seil, Romain] Ctr Hosp Luxembourg, Dept Orthopaed Surg, Luxembourg, Luxembourg; [Seil, Romain] Luxembourg Inst Hlth, Luxembourg, Luxembourg</t>
  </si>
  <si>
    <t>University of Minnesota System; University of Minnesota Twin Cities; Ghent University; Mayo Clinic; Dortmund University of Technology; University of Rostock; Luxembourg Hospital Center; Luxembourg Institute of Health</t>
  </si>
  <si>
    <t>Martin, RK (corresponding author), Univ Minnesota, Dept Orthoped Surg, Minneapolis, MN 55417 USA.</t>
  </si>
  <si>
    <t>rkylemmartin@gmail.com</t>
  </si>
  <si>
    <t>Ley, Christophe/AAA-2566-2022; Seil, Romain/AAX-7873-2020; Groll, Andreas/AAP-3627-2021; Tischer, Thomas/H-4524-2019; Martin, R Kyle/JJE-4531-2023</t>
  </si>
  <si>
    <t>Ley, Christophe/0000-0002-2290-8437; Groll, Andreas/0000-0001-6787-9118; Martin, R. Kyle/0000-0001-9918-0264; Tischer, Thomas/0000-0002-3942-0235</t>
  </si>
  <si>
    <t>0942-2056</t>
  </si>
  <si>
    <t>1433-7347</t>
  </si>
  <si>
    <t>KNEE SURG SPORT TR A</t>
  </si>
  <si>
    <t>Knee Surg. Sports Traumatol. Arthrosc.</t>
  </si>
  <si>
    <t>10.1007/s00167-021-06741-2</t>
  </si>
  <si>
    <t>Orthopedics; Sport Sciences; Surgery</t>
  </si>
  <si>
    <t>ZG5LM</t>
  </si>
  <si>
    <t>WOS:000696125600001</t>
  </si>
  <si>
    <t>Goergen, SK; Frazer, HML; Reddy, S</t>
  </si>
  <si>
    <t>Goergen, Stacy K.; Frazer, Helen M. L.; Reddy, Sandeep</t>
  </si>
  <si>
    <t>Quality use of artificial intelligence in medical imaging: What do radiologists need to know?</t>
  </si>
  <si>
    <t>JOURNAL OF MEDICAL IMAGING AND RADIATION ONCOLOGY</t>
  </si>
  <si>
    <t>artificial intelligence; medical imaging</t>
  </si>
  <si>
    <t>The application of artificial intelligence, and in particular machine learning, to the practice of radiology, is already impacting the quality of imaging care. It will increasingly do so in the future. Radiologists need to be aware of factors that govern the quality of these tools at the development, regulatory and clinical implementation stages in order to make judicious decisions about their use in daily practice.</t>
  </si>
  <si>
    <t>[Goergen, Stacy K.] Monash Hlth, Monash Imaging, 246 Clayton Rd, Melbourne, Vic 3168, Australia; [Goergen, Stacy K.] Monash Univ, Sch Clin Sci, Dept Imaging, Melbourne, Vic, Australia; [Frazer, Helen M. L.] St Vincents Hosp Melbourne, St Vincents BreastScreen, Melbourne, Vic, Australia; [Frazer, Helen M. L.] BreastScreen Victoria, Melbourne, Vic, Australia; [Reddy, Sandeep] Deakin Univ, Sch Med, Geelong, Vic, Australia</t>
  </si>
  <si>
    <t>Monash Health; Monash University; St Vincent's Health; St Vincent's Hospital Melbourne; Breastscreen Victoria; Breastscreen Victoria; Deakin University</t>
  </si>
  <si>
    <t>Goergen, SK (corresponding author), Monash Hlth, Monash Imaging, 246 Clayton Rd, Melbourne, Vic 3168, Australia.</t>
  </si>
  <si>
    <t>stacy.goergen@monashhealth.org</t>
  </si>
  <si>
    <t>reddy, sandeep/HTT-0221-2023; Reddy, Sandeep/G-7018-2017</t>
  </si>
  <si>
    <t>Goergen, Stacy/0000-0001-9668-6809; Frazer, Helen/0000-0001-9399-8102; Reddy, Sandeep/0000-0002-5824-4900</t>
  </si>
  <si>
    <t>1754-9477</t>
  </si>
  <si>
    <t>1754-9485</t>
  </si>
  <si>
    <t>J MED IMAG RADIAT ON</t>
  </si>
  <si>
    <t>J. Med. Imag. Radiat. Oncol.</t>
  </si>
  <si>
    <t>10.1111/1754-9485.13379</t>
  </si>
  <si>
    <t>ZL5HQ</t>
  </si>
  <si>
    <t>WOS:000763708500009</t>
  </si>
  <si>
    <t>Vilhekar, RS; Rawekar, A</t>
  </si>
  <si>
    <t>Vilhekar, Rohit S.; Rawekar, Alka</t>
  </si>
  <si>
    <t>Artificial Intelligence in Genetics</t>
  </si>
  <si>
    <t>genetic disease; drug repurposing; artificial neural networks; deep learning; machine learning; artificial intelligence</t>
  </si>
  <si>
    <t>HISTORY; FUTURE</t>
  </si>
  <si>
    <t>The simulation of human intelligence in robots that are designed to think and learn like humans is known as artificial intelligence (AI). AI is creating a world that has never been seen before. By applying AI to do jobs that would otherwise take a long time, humans have the chance to improve our planet. AI has great potential in genetic engineering and gene therapy research. AI is a powerful tool for creating new hypotheses and helping with experimental techniques. From the previous data of a gene model, it can help in the detection of heredity and gene-related disorders. AI developments offer an excellent possibility for rational drug discovery and design, eventually impacting humanity. Drug development and discovery depend greatly on AI and machine learning (ML) technology. Genetics is not an exception to this trend, as ML and AI are expected to have an impact on nearly every aspect of the human experience. AI has significantly aided in the treatment of various biomedical conditions, including genetic disorders. In both basic and applied gene research, deep learning - a highly versatile branch of AI that enables autonomous feature extraction - is increasingly exploited. In this review, we cover a broad spectrum of current uses of AI in genetics. AI has enormous potential in the field of genetics, but its advancement in this area may be hampered in the future by a lack of knowledge about the accompanying difficulties that could mask any possible benefits for patients. This paper examines AI's potential significance in advancing precision genetic disease treatment, provides a peek at its use in genetic clinical care, examines a number of existing AI and ML uses in genetics, provides a clinician primer on critical aspects of these technologies, and makes predictions about AI's potential future applications in genetic illnesses.</t>
  </si>
  <si>
    <t>[Vilhekar, Rohit S.] Datta Meghe Inst Higher Educ &amp; Res, Jawaharlal Nehru Med Coll, Med Educ, Wardha, India; [Rawekar, Alka] Datta Meghe Inst Higher Educ &amp; Res, Jawaharlal Nehru Med Coll, Physiol, Wardha, India</t>
  </si>
  <si>
    <t>Datta Meghe Institute of Higher Education &amp; Research (Deemed to be University); Jawaharlal Nehru Medical College Wardha; Datta Meghe Institute of Higher Education &amp; Research (Deemed to be University); Jawaharlal Nehru Medical College Wardha</t>
  </si>
  <si>
    <t>Vilhekar, RS (corresponding author), Datta Meghe Inst Higher Educ &amp; Res, Jawaharlal Nehru Med Coll, Med Educ, Wardha, India.</t>
  </si>
  <si>
    <t>rohit.vilhekar@gmail.com</t>
  </si>
  <si>
    <t>JAN 10</t>
  </si>
  <si>
    <t>e52035</t>
  </si>
  <si>
    <t>10.7759/cureus.52035</t>
  </si>
  <si>
    <t>GN3Z0</t>
  </si>
  <si>
    <t>WOS:001153322200031</t>
  </si>
  <si>
    <t>Forradellas, RFR; Gallastegui, LMG</t>
  </si>
  <si>
    <t>Reier Forradellas, Ricardo Francisco; Garay Gallastegui, Luis Miguel</t>
  </si>
  <si>
    <t>Digital Transformation and Artificial Intelligence Applied to Business: Legal Regulations, Economic Impact and Perspective</t>
  </si>
  <si>
    <t>LAWS</t>
  </si>
  <si>
    <t>digital transformation; organizational change; data analytics; artificial intelligence; regulatory normative</t>
  </si>
  <si>
    <t>MACHINE VISION; DESIGN</t>
  </si>
  <si>
    <t>Digital transformation can be defined as the integration of new technologies into all areas of a company. This technological integration will ultimately imply a need to transform traditional business models. Similarly, artificial intelligence has been one of the most disruptive technologies of recent decades, with a high potential impact on business and people. Cognitive approaches that simulate both human behavior and thinking are leading to advanced analytical models that help companies to boost sales and customer engagement, improve their operational efficiency, improve their services and, in short, generate new relevant information from data. These decision-making models are based on descriptive, predictive and prescriptive analytics. This necessitates the existence of a legal framework that regulates all digital changes with uniformity between countries and helps a proper digital transformation process under a clear regulation. On the other hand, it is essential that this digital disruption is not slowed down by the regulatory framework. This work will demonstrate that AI and digital transformation will be an intrinsic part of many applications and will therefore be universally deployed. However, this implementation will have to be done under common regulations and in line with the new reality.</t>
  </si>
  <si>
    <t>[Reier Forradellas, Ricardo Francisco; Garay Gallastegui, Luis Miguel] Catholic Univ Avila, Dept Econ, Avila 05005, Spain</t>
  </si>
  <si>
    <t>Santa Teresa Jesus Catholic University of Avila</t>
  </si>
  <si>
    <t>Forradellas, RFR; Gallastegui, LMG (corresponding author), Catholic Univ Avila, Dept Econ, Avila 05005, Spain.</t>
  </si>
  <si>
    <t>ricardo.reier@ucavila.es; lmiguel.garay@ucavila.es</t>
  </si>
  <si>
    <t>Garay Gallastegui, Luis Miguel/IUO-9007-2023</t>
  </si>
  <si>
    <t>Garay Gallastegui, Luis Miguel/0000-0002-2119-4532; Reier, Ricardo/0000-0002-4790-0351</t>
  </si>
  <si>
    <t>2075-471X</t>
  </si>
  <si>
    <t>LAWS-BASEL</t>
  </si>
  <si>
    <t>Laws</t>
  </si>
  <si>
    <t>10.3390/laws10030070</t>
  </si>
  <si>
    <t>UX2XP</t>
  </si>
  <si>
    <t>WOS:000700708600001</t>
  </si>
  <si>
    <t>Shin, H; De Gagne, JC; Kim, SS; Hong, MJ</t>
  </si>
  <si>
    <t>Shin, Hyewon; De Gagne, Jennie C.; Kim, Sang Suk; Hong, Minjoo</t>
  </si>
  <si>
    <t>The Impact of Artificial Intelligence-Assisted Learning on Nursing Students' Ethical Decision-making and Clinical Reasoning in Pediatric Care</t>
  </si>
  <si>
    <t>CIN-COMPUTERS INFORMATICS NURSING</t>
  </si>
  <si>
    <t>Artificial intelligence; Critical thinking; Ethical standards; Nursing education; Nursing student</t>
  </si>
  <si>
    <t>The integration of artificial intelligence such as ChatGPT into educational frameworks marks a pivotal transformation in teaching. This quasi-experimental study, conducted in September 2023, aimed to evaluate the effects of artificial intelligence-assisted learning on nursing students' ethical decision-making and clinical reasoning. A total of 99 nursing students enrolled in a pediatric nursing course were randomly divided into two groups: an experimental group that utilized ChatGPT and a control group that used traditional textbooks. The Mann-Whitney U test was employed to assess differences between the groups in two primary outcomes: (a) ethical standards, focusing on the understanding and applying ethical principles, and (b) nursing processes, emphasizing critical thinking skills and integrating evidence-based knowledge. The control group outperformed the experimental group in ethical standards and demonstrated better clinical reasoning in nursing processes. Reflective essays revealed that the experimental group reported lower reliability but higher time efficiency. Despite artificial intelligence's ability to offer diverse perspectives, the findings highlight that educators must supplement artificial intelligence technology with strategies that enhance critical thinking, careful data selection, and source verification. This study suggests a hybrid educational approach combining artificial intelligence with traditional learning methods to bolster nursing students' decision-making processes and clinical reasoning skills.</t>
  </si>
  <si>
    <t>[Shin, Hyewon] Ewha Womans Univ, Coll Nursing, Seoul, South Korea; [De Gagne, Jennie C.] Duke Univ, Sch Nursing, Durham, NC USA; [Kim, Sang Suk] Chung Ang Univ, Red Cross Coll Nursing, Seoul, South Korea; [Hong, Minjoo] Gyeongsang Natl Univ, Inst Hlth Sci, Coll Nursing, Jinju 52727, South Korea</t>
  </si>
  <si>
    <t>Ewha Womans University; Duke University; Chung Ang University; Gyeongsang National University</t>
  </si>
  <si>
    <t>Hong, MJ (corresponding author), Gyeongsang Natl Univ, Inst Hlth Sci, Coll Nursing, Jinju 52727, South Korea.</t>
  </si>
  <si>
    <t>hyeshin@ewha.ac.kr; jennie.degagne@duke.edu; kss0530@cau.ac.kr; mj1225@gnu.ac.kr</t>
  </si>
  <si>
    <t>De Gagne, Jennie/B-1605-2015; Shin, hyewon/AAG-7434-2020</t>
  </si>
  <si>
    <t>De Gagne, Jennie/0000-0001-9814-5942</t>
  </si>
  <si>
    <t>1538-2931</t>
  </si>
  <si>
    <t>1538-9774</t>
  </si>
  <si>
    <t>CIN-COMPUT INFORM NU</t>
  </si>
  <si>
    <t>CIN-Comput. Inform. Nurs.</t>
  </si>
  <si>
    <t>10.1097/CIN.0000000000001177</t>
  </si>
  <si>
    <t>Computer Science, Interdisciplinary Applications; Medical Informatics; Nursing</t>
  </si>
  <si>
    <t>Computer Science; Medical Informatics; Nursing</t>
  </si>
  <si>
    <t>J3R6D</t>
  </si>
  <si>
    <t>WOS:001336270700005</t>
  </si>
  <si>
    <t>Francke, E; Alexander, B</t>
  </si>
  <si>
    <t>Francke, Errol; Alexander, Bennett</t>
  </si>
  <si>
    <t>The Potential Influence of Artificial Intelligence on Plagiarism: A Higher Education Perspective</t>
  </si>
  <si>
    <t>Artificial Intelligence; higher education; assessment; plagiarism; OpenAI; GPT-2</t>
  </si>
  <si>
    <t>The purpose of this paper is to enunciate aspects of Artificial Intelligence (AI) that should be considered for assessments in higher education institutions. A non-profit research company called OpenAI has postponed the release of the comprehensive research of its innovative AI language model, known as GPT-2 to the public to enable further consideration of the consequences of their innovation. GPT-2 is fundamentally a text generator which is so adept at what it is intended to do that OpenAI is gravely concerned about its malicious use. The text generating system has exceeded what was initially thought possible, by way of the quality of its text output, and the eclectic range of probable application. This socio-technical study was motivated by the views that AI is developing at an unparalleled level. While much attention is being given to its positive uses, less attention has been afforded to the negative ways in which AI can be used, with particular reference to higher education institutions. This study would adopt a Case Study research method as it would enable the investigation and consideration of multifaceted factors of the GPT-2 model. Lecturers were invited to participate in two separate focus group sessions. In phase one of the empirical data gathering process, Communication lecturers were requested to assess an article compiled by GPT-2. In the second phase via a semi-structured questionnaire, a series of questions were put to lecturers of the Department of IT Research Committee to determine whether they believed that AI could proliferate plagiarism in assessments and how universities could respond to this threat. The key findings support the existing body of knowledge that suggests that improvements in AI have significantly improved natural language processing models which are able to translate text, analogous to human equivalence. A section of the university academics indicated that they are impressed with the innovation but are concerned about the potential for plagiarism at university.</t>
  </si>
  <si>
    <t>[Francke, Errol; Alexander, Bennett] Cape Peninsula Univ Technol, Cape Town, South Africa</t>
  </si>
  <si>
    <t>Cape Peninsula University of Technology</t>
  </si>
  <si>
    <t>Francke, E (corresponding author), Cape Peninsula Univ Technol, Cape Town, South Africa.</t>
  </si>
  <si>
    <t>franckee@cput.ac.za; alexanderb@cput.ac.za</t>
  </si>
  <si>
    <t>10.34190/ECIAIR.19.043</t>
  </si>
  <si>
    <t>WOS:000539633500015</t>
  </si>
  <si>
    <t>Isaksson, LJ; Mastroleo, F; Vincini, MG; Marvaso, G; Zaffaroni, M; Gola, M; Mazzola, GC; Bergamaschi, L; Gaito, S; Alongi, F; Doyen, J; Fossati, P; Haustermans, K; Hoyer, M; Langendijk, JA; Matute, R; Orlandi, E; Schwarz, M; Troost, EGC; Vondracek, V; La Torre, D; Curigliano, G; Petralia, G; Orecchia, R; Alterio, D; Jereczek-Fossa, BA</t>
  </si>
  <si>
    <t>Isaksson, Lars Johannes; Mastroleo, Federico; Vincini, Maria Giulia; Marvaso, Giulia; Zaffaroni, Mattia; Gola, Michal; Mazzola, Giovanni Carlo; Bergamaschi, Luca; Gaito, Simona; Alongi, Filippo; Doyen, Jerome; Fossati, Piero; Haustermans, Karin; Hoyer, Morten; Langendijk, Johannes Albertus; Matute, Raul; Orlandi, Ester; Schwarz, Marco; Troost, Esther G. C.; Vondracek, Vladimir; La Torre, Davide; Curigliano, Giuseppe; Petralia, Giuseppe; Orecchia, Roberto; Alterio, Daniela; Jereczek-Fossa, Barbara Alicja</t>
  </si>
  <si>
    <t>The emerging role of Artificial Intelligence in proton therapy: A review</t>
  </si>
  <si>
    <t>CRITICAL REVIEWS IN ONCOLOGY HEMATOLOGY</t>
  </si>
  <si>
    <t>Artificial intelligence; Proton therapy; Review</t>
  </si>
  <si>
    <t>DUAL-ENERGY CT; NEURAL-NETWORK; ONLY PHOTON; GENERATION; HEAD</t>
  </si>
  <si>
    <t>Artificial intelligence (AI) has made a tremendous impact in the space of healthcare, and proton therapy is not an exception. Proton therapy has witnessed growing popularity in oncology over recent decades, and researchers are increasingly looking to develop AI and machine learning tools to aid in various steps of the treatment planning and delivery processes. This review delves into the emergent role of AI in proton therapy, evaluating its development, advantages, intended clinical contexts, and areas of application. Through the analysis of 76 studies, we aim to underscore the importance of AI applications in advancing proton therapy and to highlight their prospective influence on clinical practices.</t>
  </si>
  <si>
    <t>[Isaksson, Lars Johannes; Mastroleo, Federico; Vincini, Maria Giulia; Marvaso, Giulia; Zaffaroni, Mattia; Mazzola, Giovanni Carlo; Bergamaschi, Luca; Alterio, Daniela; Jereczek-Fossa, Barbara Alicja] IEO European Inst Oncol IRCCS, Div Radiat Oncol, I-20141 Milan, Italy; [Isaksson, Lars Johannes; Mastroleo, Federico; Marvaso, Giulia; La Torre, Davide; Curigliano, Giuseppe; Petralia, Giuseppe; Jereczek-Fossa, Barbara Alicja] Univ Milan, Dept Oncol &amp; Hemato Oncol, I-20141 Milan, Italy; [Gola, Michal] Univ Warmia &amp; Mazury, Sch Med, Dept Human Histol &amp; Embryol, Coll Med, PL-10082 Olsztyn, Poland; [Gaito, Simona] Christie NHS Proton Beam Therapy Ctr, Proton Clin Outcomes Unit, Manchester M20 4BX, England; [Gaito, Simona] Univ Manchester, Sch Med Sci, Div Clin Canc Sci, Manchester M13 9PL, England; [Alongi, Filippo; Doyen, Jerome] IRCCS Sacro Cuore Don Calabria, Dept Adv Radiat Oncol, I-37024 Negrar Verona, Italy; [Alongi, Filippo; Doyen, Jerome] Univ Brescia, DSMC, Brescia, Italy; [Doyen, Jerome] Univ Cote Azur, Ctr Antoine Lacassagne, F-06189 Nice, France; [Doyen, Jerome; Fossati, Piero; Curigliano, Giuseppe; Petralia, Giuseppe; Orecchia, Roberto; Alterio, Daniela; Jereczek-Fossa, Barbara Alicja] Univ Cote Azur, Inst Res Canc &amp; Aging Nice IRCAN, Ctr Antoine Lacassagne, CNRS,UMR 7284, F-06189 Nice, France; [Fossati, Piero; Curigliano, Giuseppe; Petralia, Giuseppe; Orecchia, Roberto; Alterio, Daniela; Jereczek-Fossa, Barbara Alicja] EBG MedAustron GmbH, Marie Curie Str 5, A-2700 Wiener Neustadt, Austria; [Fossati, Piero; Haustermans, Karin; Curigliano, Giuseppe; Petralia, Giuseppe; Orecchia, Roberto; Alterio, Daniela; Jereczek-Fossa, Barbara Alicja] Karl Landsteiner Univ Hlth Sci, Dept Gen &amp; Translat Oncol &amp; Hematol, Krems An Der Donau, Austria; [Haustermans, Karin; Curigliano, Giuseppe; Petralia, Giuseppe; Orecchia, Roberto; Alterio, Daniela; Jereczek-Fossa, Barbara Alicja] Univ Hosp Leuven, Dept Radiat Oncol, Leuven, Belgium; [Hoyer, Morten; Curigliano, Giuseppe; Petralia, Giuseppe; Orecchia, Roberto; Alterio, Daniela; Jereczek-Fossa, Barbara Alicja] Aarhus Univ AU, Nordre Ringgade 1, DK-8000 Aarhus C, Denmark; [Langendijk, Johannes Albertus; Curigliano, Giuseppe; Petralia, Giuseppe; Orecchia, Roberto; Alterio, Daniela; Jereczek-Fossa, Barbara Alicja] Univ Groningen, Univ Med Ctr Groningen, Dept Radiat Oncol, Groningen, Netherlands; [Matute, Raul] Ctr Protonterapia Quironsalud, Pozuelo De Alarcon 28223, Madrid, Spain; [Orlandi, Ester; Curigliano, Giuseppe; Petralia, Giuseppe; Orecchia, Roberto; Alterio, Daniela; Jereczek-Fossa, Barbara Alicja] CNAO Natl Ctr Oncol Hadrontherapy, Clin Dept, Radiat Oncol Unit, Pavia, Italy; [Orlandi, Ester; Curigliano, Giuseppe; Petralia, Giuseppe; Orecchia, Roberto; Alterio, Daniela; Jereczek-Fossa, Barbara Alicja] Univ Pavia, Dept Clin Surg Diagnost &amp; Pediat Sci, Pavia, Italy; [Schwarz, Marco; Curigliano, Giuseppe; Petralia, Giuseppe; Orecchia, Roberto; Alterio, Daniela; Jereczek-Fossa, Barbara Alicja] Univ Washington, Radiat Oncol Dept, Seattle, WA 98109 USA; [Troost, Esther G. C.; Curigliano, Giuseppe; Petralia, Giuseppe; Orecchia, Roberto; Alterio, Daniela; Jereczek-Fossa, Barbara Alicja] Tech Univ Dresden, Fac Med, OncoRay Natl Ctr Radiat Res Oncol, Helmholtz Zent Dresden Rossendorf, D-01309 Dresden, Germany; [Troost, Esther G. C.; Curigliano, Giuseppe; Petralia, Giuseppe; Orecchia, Roberto; Alterio, Daniela; Jereczek-Fossa, Barbara Alicja] Tech Univ Dresden, Univ Hosp Carl Gustav Carus, Helmholtz Zent Dresden Rossendorf, D-01309 Dresden, Germany; [Troost, Esther G. C.; Curigliano, Giuseppe; Petralia, Giuseppe; Orecchia, Roberto; Alterio, Daniela; Jereczek-Fossa, Barbara Alicja] German Canc Consortium DKTK, Partner Site Dresden, Heidelberg, Germany; [Troost, Esther G. C.; Curigliano, Giuseppe; Petralia, Giuseppe; Orecchia, Roberto; Alterio, Daniela; Jereczek-Fossa, Barbara Alicja] German Canc Res Ctr, Heidelberg, Germany; [Troost, Esther G. C.] Natl Ctr Tumor Dis NCT, Partner Site Dresden, Heidelberg, Germany; [Troost, Esther G. C.] German Canc Res Ctr, Heidelberg, Germany; [Troost, Esther G. C.] Tech Univ Dresden, Fac Med, Dresden, Germany; [Troost, Esther G. C.] Tech Univ Dresden, Univ Hosp Carl Gustav Carus, Dresden, Germany; [Troost, Esther G. C.] Helmholtz Assoc, Helmholtz Zent Dresden Rossendorf HZDR, D-01307 Dresden, Germany; [Troost, Esther G. C.] Tech Univ Dresden, Fac Med, Dept Radiotherapy &amp; Radiat Oncol, D-01309 Dresden, Germany; [Troost, Esther G. C.] Tech Univ Dresden, Univ Hosp Carl Gustav Carus, D-01309 Dresden, Germany; [Troost, Esther G. C.] Helmholtz Zent Dresden Rossendorf, Inst Radiooncol OncoRay, D-01328 Dresden, Germany; [Vondracek, Vladimir] Proton Therapy Ctr Czech, Prague, Czech Republic; [Vondracek, Vladimir] Czech Tech Univ, Fac Biomed Engn, Dept Hlth Care Disciplines &amp; Populat Protect, Kladno, Czech Republic; [La Torre, Davide; Curigliano, Giuseppe; Petralia, Giuseppe; Orecchia, Roberto; Alterio, Daniela; Jereczek-Fossa, Barbara Alicja] Univ Cote d'Azur, SKEMA Business Sch, Azur, Sophia Antipoli, France; [Curigliano, Giuseppe] IRCCS, European Inst Oncol, Div Early Drug Dev Innovat Therapy, I-20141 Milan, Italy; [Petralia, Giuseppe] IEO European Inst Oncol IRCCS, Div Radiol, I-20141 Milan, Italy; [Orecchia, Roberto] IEO European Inst Oncol IRCCS, Sci Directorate, I-20141 Milan, Italy</t>
  </si>
  <si>
    <t>University of Milan; University of Warmia &amp; Mazury; University of Manchester; University of Brescia; Universite Cote d'Azur; UNICANCER; Centre Antoine Lacassagne; Universite Cote d'Azur; Institut National de la Sante et de la Recherche Medicale (Inserm); CHU Nice; Centre National de la Recherche Scientifique (CNRS); CNRS - National Institute for Biology (INSB); UNICANCER; Centre Antoine Lacassagne; EBG MedAustron; KU Leuven; University Hospital Leuven; Aarhus University; University of Groningen; quironsalud Group; Centro Nazionale di Adroterapia Oncologica (CNAO); University of Pavia; University of Washington; University of Washington Seattle; Helmholtz Association; Helmholtz-Zentrum Dresden-Rossendorf (HZDR); Technische Universitat Dresden; Helmholtz Association; Helmholtz-Zentrum Dresden-Rossendorf (HZDR); Technische Universitat Dresden; Carl Gustav Carus University Hospital; Helmholtz Association; German Cancer Research Center (DKFZ); Helmholtz Association; German Cancer Research Center (DKFZ); Helmholtz Association; German Cancer Research Center (DKFZ); Ruprecht Karls University Heidelberg; National Center for Tumor Diseases; Helmholtz Association; German Cancer Research Center (DKFZ); Technische Universitat Dresden; Technische Universitat Dresden; Carl Gustav Carus University Hospital; Technische Universitat Dresden; Technische Universitat Dresden; Carl Gustav Carus University Hospital; Helmholtz Association; Helmholtz-Zentrum Dresden-Rossendorf (HZDR); Czech Technical University Prague; SKEMA Business School; Universite Cote d'Azur; IRCCS European Institute of Oncology (IEO)</t>
  </si>
  <si>
    <t>Vincini, MG; Marvaso, G (corresponding author), IEO European Inst Oncol IRCCS, Div Radiat Oncol, I-20141 Milan, Italy.;Marvaso, G (corresponding author), Univ Milan, Dept Oncol &amp; Hemato Oncol, I-20141 Milan, Italy.</t>
  </si>
  <si>
    <t>mariagiulia.vincini@ieo.it; Giulia.marvaso@ieo.it</t>
  </si>
  <si>
    <t>Vincini, Maria Giulia/HLW-8093-2023; Bergamaschi, Luca/D-2477-2017; Mazzola, Giovanni/AAB-1868-2021; La Torre, Davide/AAB-7935-2022; Mastroleo, Federico/ABD-5902-2020; Gola, Michał/JMQ-0882-2023; Zaffaroni, Mattia/AFL-2409-2022; Høyer, Morten/AAT-7058-2021; Marvaso, Giulia/AAC-1540-2019; Haustermans, Karin/AAB-5912-2021; Curigliano, Giuseppe/D-3371-2018</t>
  </si>
  <si>
    <t>Curigliano, Giuseppe/0000-0003-1781-2518; Haustermans, Karin/0000-0003-0364-682X; Langendijk, Johannes A./0000-0003-1083-372X; Vincini, Maria Giulia/0000-0001-7830-3149</t>
  </si>
  <si>
    <t>IEO: the European Institute of Oncology; Italian Ministry of Health; Accuray Inc.</t>
  </si>
  <si>
    <t>IEO: the European Institute of Oncology; Italian Ministry of Health(Ministry of Health, Italy); Accuray Inc.</t>
  </si>
  <si>
    <t>IEO: the European Institute of Oncology, is partially supported by the Italian Ministry of Health (with Ricerca Corrente and 5 x 1000 funds) and by Institutional grants from Accuray Inc. and Ion Beam Applications (IBA) .</t>
  </si>
  <si>
    <t>1040-8428</t>
  </si>
  <si>
    <t>1879-0461</t>
  </si>
  <si>
    <t>CRIT REV ONCOL HEMAT</t>
  </si>
  <si>
    <t>Crit. Rev. Oncol./Hematol.</t>
  </si>
  <si>
    <t>10.1016/j.critrevonc.2024.104485</t>
  </si>
  <si>
    <t>Oncology; Hematology</t>
  </si>
  <si>
    <t>G9X8U</t>
  </si>
  <si>
    <t>WOS:001320091400001</t>
  </si>
  <si>
    <t>Lin, CQ; Xiao, SP; Tang, PJ</t>
  </si>
  <si>
    <t>Lin, Changqing; Xiao, Shengpeng; Tang, Pingjuan</t>
  </si>
  <si>
    <t>Does Artificial Intelligence Improve Export Technical Complexity Upgrade of Manufacturing Enterprises? Evidence from China</t>
  </si>
  <si>
    <t>SAGE OPEN</t>
  </si>
  <si>
    <t>artificial intelligence; export technical complexity; spillover effects; resource reallocation effects; China</t>
  </si>
  <si>
    <t>ECONOMIC-GROWTH EVIDENCE; SOPHISTICATION; ROBOTS; PRODUCTIVITY; INVESTMENT; INNOVATION; TRADE</t>
  </si>
  <si>
    <t>Export technical complexity is an effective indicator to measure the upgrading of a country's trade structure and high-quality development of trade. This study examines the impact of artificial intelligence on the export technical complexity upgrading of Chinese manufacturing enterprises at the enterprise and industry levels. It analyses matched data from the China Customs and Chinese Industrial Enterprises databases from 2000 to 2015. The results show that artificial intelligence promotes the upgrading of export technical complexity in Chinese manufacturing enterprises. The impact of artificial intelligence on upgrading export technical complexity is dynamic, showing an inverted U-shape. Heterogeneity test results indicate that artificial intelligence has a greater effect on export technical complexity upgrading if it features high-tech complexity, or the enterprises are local or in the eastern region of China. The mechanism results indicate that artificial intelligence significantly promotes labor productivity and innovation to upgrade China's manufacturing enterprises' export technical complexity. Finally, industry-level analysis shows that the application intensity of artificial intelligence substantially affects the average export technical complexity upgrades of Chinese manufacturing enterprises through spillover effects and resource reallocation effects. These findings promote upgrading export technical complexity at the enterprise and industry levels.</t>
  </si>
  <si>
    <t>[Lin, Changqing; Xiao, Shengpeng; Tang, Pingjuan] Hunan Univ Technol, Zhuzhou, Peoples R China</t>
  </si>
  <si>
    <t>Hunan University of Technology</t>
  </si>
  <si>
    <t>Xiao, SP (corresponding author), Hunan Univ Technol, Sch Econ &amp; Trade, Zhuzhou 412007, Peoples R China.</t>
  </si>
  <si>
    <t>macey@hut.edu.cn</t>
  </si>
  <si>
    <t>Natural Science Foundation of Hunan Province [2023JJ30218]; Zhuzhou Social Science Research Project [ZZSK2024135]; Key Scientific Research Project of Hunan Provincial Department of Education [22A0407, 23A0431]</t>
  </si>
  <si>
    <t>Natural Science Foundation of Hunan Province(Natural Science Foundation of Hunan Province); Zhuzhou Social Science Research Project; Key Scientific Research Project of Hunan Provincial Department of Education</t>
  </si>
  <si>
    <t>The author(s) disclosed receipt of the following financial sup-port for the research, authorship, and/or publication of this article: This study was supported by Natural Science Foundation of Hunan Province (Grant No. 2023JJ30218), Zhuzhou Social Science Research Project (Grant No. ZZSK2024135), and Key Scientific Research Project of Hunan Provincial Department of Education (Grant No. 22A0407, 23A0431).</t>
  </si>
  <si>
    <t>2158-2440</t>
  </si>
  <si>
    <t>SAGE Open</t>
  </si>
  <si>
    <t>10.1177/21582440241267126</t>
  </si>
  <si>
    <t>A2F8R</t>
  </si>
  <si>
    <t>WOS:001280749700001</t>
  </si>
  <si>
    <t>Xu, XA; Wen, NJ; Liu, J</t>
  </si>
  <si>
    <t>Xu, Xing'an; Wen, Najuan; Liu, Juan</t>
  </si>
  <si>
    <t>Empathic accuracy in artificial intelligence service recovery</t>
  </si>
  <si>
    <t>Empathic accuracy; Service failure; Artificial intelligence; Service recovery Customer satisfaction</t>
  </si>
  <si>
    <t>ANTHROPOMORPHISM; ROBOTS; LANGUAGE; FAILURE</t>
  </si>
  <si>
    <t>Purpose Artificial intelligence (AI) agents have been increasingly applied in the tourism and hospitality industry. However, AI service failure is inevitable. Thus, AI service recovery merits empirical investigation. This study aims to explore how AI empathic accuracy affects customers' satisfaction in the context of AI service recovery.Design/methodology/approach A moderated mediation model was presented to describe the effect of empathic accuracy on customer satisfaction via four scenario-based experiments.Findings The results reveal the positive impact of AI empathic accuracy on customer satisfaction and the mediating effects of perceived agency and perceived experience. Moreover, anthropomorphism moderates the empathic accuracy effect.Originality/value This paper expanded AI service studies by exploring the significance of empathic accuracy in customer recovery satisfaction. The results provide a novel theoretical viewpoint on retaining customers following AI service failure.</t>
  </si>
  <si>
    <t>[Xu, Xing'an; Wen, Najuan; Liu, Juan] Hainan Univ, Sch Tourism, Haikou, Hainan, Peoples R China</t>
  </si>
  <si>
    <t>Wen, NJ (corresponding author), Hainan Univ, Sch Tourism, Haikou, Hainan, Peoples R China.</t>
  </si>
  <si>
    <t>najuan96@163.com</t>
  </si>
  <si>
    <t>National Natural Science Foundation of China [72262012, 71962006]; Hainan Provincial Natural Science Foundation of China [722RC633, 723MS024]; Hainan Provincial Philosophy and Social Science Project (Hainan Provincial All-for-one Tourism Research Base)</t>
  </si>
  <si>
    <t>National Natural Science Foundation of China(National Natural Science Foundation of China (NSFC)); Hainan Provincial Natural Science Foundation of China; Hainan Provincial Philosophy and Social Science Project (Hainan Provincial All-for-one Tourism Research Base)</t>
  </si>
  <si>
    <t>Funding: This work was jointly supported by the National Natural Science Foundation of China (72262012 and 71962006), the Hainan Provincial Natural Science Foundation of China (722RC633 and 723MS024), and the Hainan Provincial Philosophy and Social Science Project (Hainan Provincial All-for-one Tourism Research Base) (HNSK(JD)23-13).</t>
  </si>
  <si>
    <t>10.1108/TR-06-2023-0394</t>
  </si>
  <si>
    <t>WZ2F6</t>
  </si>
  <si>
    <t>WOS:001110232000001</t>
  </si>
  <si>
    <t>Xu, GQ; Li, X; Li, SY; Tong, Y</t>
  </si>
  <si>
    <t>Xu, Guoquan; Li, Xin; Li, Siyuan; Tong, Yan</t>
  </si>
  <si>
    <t>Artificial intelligence adoption and credit ratings</t>
  </si>
  <si>
    <t>ASIA-PACIFIC JOURNAL OF ACCOUNTING &amp; ECONOMICS</t>
  </si>
  <si>
    <t>Enterprise digital transformation; artificial intelligence adoption; credit rating; bond; capital market</t>
  </si>
  <si>
    <t>MANAGERIAL ABILITY; INFORMATION; MANAGEMENT; EARNINGS; IMPACT; COST</t>
  </si>
  <si>
    <t>Using 6,566 observations of bond credit ratings in China from 2010 to 2022, this paper empirically finds that artificial intelligence (AI) adoption by firms improves bond credit ratings via improving productivity and information transparency. Such a positive relationship is more pronounced when the issuers are non-state-owned enterprises, labor-intensive enterprises, or engage heavily in earnings management. This study enriches the literature of the influencing factors of credit ratings and the economic consequences of AI adoption. Furthermore, this study offers insights for enterprises seeking to leverage AI for reduced financing costs, and sheds light on future digital policy design.</t>
  </si>
  <si>
    <t>[Xu, Guoquan] Beijing Foreign Studies Univ, Int Business Sch, Beijing, Peoples R China; [Li, Xin] Southwest Univ Finance &amp; Econ, Sch Accounting, Chengdu, Peoples R China; [Li, Siyuan] Peking Univ, HSBC Business Sch, Shenzhen, Peoples R China; [Tong, Yan] Beijing Inst Technol, Sch Management, 5 South Zhongguancun St, Beijing 100081, Peoples R China</t>
  </si>
  <si>
    <t>Beijing Foreign Studies University; Southwestern University of Finance &amp; Economics - China; Peking University; Beijing Institute of Technology</t>
  </si>
  <si>
    <t>Tong, Y (corresponding author), Beijing Inst Technol, Sch Management, 5 South Zhongguancun St, Beijing 100081, Peoples R China.</t>
  </si>
  <si>
    <t>tongyan@bit.edu.cn</t>
  </si>
  <si>
    <t>Beijing Social Science Fund [22GLC057]</t>
  </si>
  <si>
    <t>Beijing Social Science Fund</t>
  </si>
  <si>
    <t>The work was supported by the Beijing Social Science Fund [22GLC057].</t>
  </si>
  <si>
    <t>1608-1625</t>
  </si>
  <si>
    <t>2164-2257</t>
  </si>
  <si>
    <t>ASIA-PAC J ACCOUNT E</t>
  </si>
  <si>
    <t>Asia-Pac. J. Account. Econ.</t>
  </si>
  <si>
    <t>2024 NOV 9</t>
  </si>
  <si>
    <t>10.1080/16081625.2024.2425852</t>
  </si>
  <si>
    <t>L6Q9G</t>
  </si>
  <si>
    <t>WOS:001351953700001</t>
  </si>
  <si>
    <t>Su, FG; Liu, WH; Xiong, KH; Zeng, Q</t>
  </si>
  <si>
    <t>Su, Fangguo; Liu, Wenhao; Xiong, Kehan; Zeng, Qi</t>
  </si>
  <si>
    <t>How and when artificial intelligence usage facilitates task performance</t>
  </si>
  <si>
    <t>SOCIAL BEHAVIOR AND PERSONALITY</t>
  </si>
  <si>
    <t>artificial intelligence usage; future work self; work; engagement; task; performance</t>
  </si>
  <si>
    <t>JOB DEMANDS; ENGAGEMENT; SELF; PREDICTORS; RESOURCES</t>
  </si>
  <si>
    <t>This study investigated how the increasing usage of artificial intelligence (AI) in diverse business applications has affected task performance. Building on the job demands-resources model, we employed moderated mediation modeling to investigate the association between AI usage and the task performance of delivery drivers. Participants comprised 251 delivery drivers who completed online surveys over a 1-month period. Hierarchical regression analysis revealed that work engagement played a mediating role in the association between AI usage and the task performance of delivery drivers. Moreover, the mediating role of work engagement was moderated by an individual's concept of their future work self. When an individual had a stronger sense of their future work self, the mediating role of work engagement became more pronounced. This study has introduced a new mediating mechanism linking artificial intelligence with employee performance and has identified boundary conditions that increase its beneficial impact on employee performance, thus contributing theoretically to the extant literatures. The study findings can help companies improve employee engagement and performance.</t>
  </si>
  <si>
    <t>[Su, Fangguo; Liu, Wenhao; Xiong, Kehan] Shenzhen Univ, Coll Management, 1066 Xueyuan Ave, Shenzhen 518061, Peoples R China; [Zeng, Qi] City Univ Macau, Fac Business, Taipa 999078, Macao, Peoples R China</t>
  </si>
  <si>
    <t>Shenzhen University; City University of Macau</t>
  </si>
  <si>
    <t>Xiong, KH (corresponding author), Shenzhen Univ, Coll Management, 1066 Xueyuan Ave, Shenzhen 518061, Peoples R China.;Zeng, Q (corresponding author), City Univ Macau, Fac Business, Taipa 999078, Macao, Peoples R China.</t>
  </si>
  <si>
    <t>635693751@qq.com; zengqi0107@gmail.com</t>
  </si>
  <si>
    <t>Philosophy and Social Science Planning Project of Shenzhen [2022 (SZ2022B017)]; National Natural Science Foundation of China [71772128]; Guangdong Philosophy and Social Sciences Planning Project [GD24XGL064]</t>
  </si>
  <si>
    <t>Philosophy and Social Science Planning Project of Shenzhen; National Natural Science Foundation of China(National Natural Science Foundation of China (NSFC)); Guangdong Philosophy and Social Sciences Planning Project</t>
  </si>
  <si>
    <t>This study was supported by the Philosophy and Social Science Planning Project of Shenzhen 2022 (SZ2022B017) , the National Natural Science Foundation of China (71772128) , and the Guangdong Philosophy and Social Sciences Planning Project (GD24XGL064) .</t>
  </si>
  <si>
    <t>SOC PERSONALITY RES INC</t>
  </si>
  <si>
    <t>PALMERSTON NORTH</t>
  </si>
  <si>
    <t>P O BOX 1539, PALMERSTON NORTH 5330, NEW ZEALAND</t>
  </si>
  <si>
    <t>0301-2212</t>
  </si>
  <si>
    <t>1179-6391</t>
  </si>
  <si>
    <t>SOC BEHAV PERSONAL</t>
  </si>
  <si>
    <t>Soc. Behav. Pers.</t>
  </si>
  <si>
    <t>e13634</t>
  </si>
  <si>
    <t>10.2224/sbp.13634</t>
  </si>
  <si>
    <t>Psychology, Social</t>
  </si>
  <si>
    <t>J1P5J</t>
  </si>
  <si>
    <t>WOS:001334860900014</t>
  </si>
  <si>
    <t>Ibn-Mohammed, T; Mustapha, KB; Abdulkareem, M; Fuensanta, AU; Pecunia, V; Dancer, CEJ</t>
  </si>
  <si>
    <t>Ibn-Mohammed, T.; Mustapha, K. B.; Abdulkareem, M.; Fuensanta, A. Ucles; Pecunia, V.; Dancer, C. E. J.</t>
  </si>
  <si>
    <t>Toward artificial intelligence and machine learning-enabled frameworks for improved predictions of lifecycle environmental impacts of functional materials and devices</t>
  </si>
  <si>
    <t>MRS COMMUNICATIONS</t>
  </si>
  <si>
    <t>Artificial intelligence; Machine learning; Life cycle assessment; Environmental impact; Functional ceramic; Critical materials</t>
  </si>
  <si>
    <t>FUZZY INFERENCE SYSTEM; TECHNOECONOMIC ANALYSIS; TOXICITY PREDICTION; PROFILE EVALUATIONS; UNRESOLVED PROBLEMS; NEURAL-NETWORKS; ENERGY; TECHNOLOGIES; CHALLENGES; INVENTORY</t>
  </si>
  <si>
    <t>The application of functional materials and devices (FM&amp;Ds) underpins numerous products and services, facilitating improved quality of life, but also constitutes a huge environmental burden on the natural ecosystem, prompting the need to quantify their value-chain impact using the bottom-up life cycle assessment (LCA) framework. As the volume of FM&amp;Ds manufactured increases, the LCA calculation speed is constrained due to the time-consuming nature of data collection and processing. Moreover, the bottom-up LCA framework is limited in scope, being typically static or retrospective, and laced with data gap challenges, resulting in the use of proxy values, thus limiting the relevance, accuracy, and quality of results. In this prospective article, we explore how these challenges across all phases of the bottom-up LCA framework can be overcome by harnessing new insights garnered from computationally guided parameterized models enabled by artificial intelligence (AI) methods, such as machine learning (ML), applicable to all products in general and specifically to FM&amp;Ds, for which adoption remains underexplored.</t>
  </si>
  <si>
    <t>[Ibn-Mohammed, T.; Fuensanta, A. Ucles; Dancer, C. E. J.] Univ Warwick, WMG, Coventry CV4 7AL, W Midlands, England; [Mustapha, K. B.] Univ Nottingham, Dept Mech Mat &amp; Mfg Engn, Malaysia Campus, Semenyih 43500, Malaysia; [Abdulkareem, M.] Queen Mary Univ, William Harvey Res Inst, London EC1M 6BQ, England; [Pecunia, V.] Simon Fraser Univ, Sch Sustainable Energy Engn, Surrey, BC V3T 0N1, Canada</t>
  </si>
  <si>
    <t>University of Warwick; University of Nottingham Malaysia; University of London; Queen Mary University London; Simon Fraser University</t>
  </si>
  <si>
    <t>Ibn-Mohammed, T (corresponding author), Univ Warwick, WMG, Coventry CV4 7AL, W Midlands, England.</t>
  </si>
  <si>
    <t>t.ibn-mohammed@warwick.ac.uk</t>
  </si>
  <si>
    <t>Pecunia, Vincenzo/D-2588-2016; Ibn-Mohammed, Taofeeq/AAE-3181-2021</t>
  </si>
  <si>
    <t>Ibn-Mohammed, Taofeeq/0000-0003-2454-0303; Pecunia, Vincenzo/0000-0003-3244-1620; Ucles Fuensanta, Aitana/0009-0003-8532-111X</t>
  </si>
  <si>
    <t>2159-6859</t>
  </si>
  <si>
    <t>2159-6867</t>
  </si>
  <si>
    <t>MRS COMMUN</t>
  </si>
  <si>
    <t>MRS Commun.</t>
  </si>
  <si>
    <t>10.1557/s43579-023-00480-w</t>
  </si>
  <si>
    <t>W0VU6</t>
  </si>
  <si>
    <t>WOS:001079877700001</t>
  </si>
  <si>
    <t>Baxter, SL; Lee, AY</t>
  </si>
  <si>
    <t>Baxter, Sally L.; Lee, Aaron Y.</t>
  </si>
  <si>
    <t>Gaps in standards for integrating artificial intelligence technologies into ophthalmic practice</t>
  </si>
  <si>
    <t>artificial intelligence; imaging; informatics; interoperability; ophthalmology; standards</t>
  </si>
  <si>
    <t>PREDICTIVE ANALYTICS; CARE; ADOPTION; IMPACT</t>
  </si>
  <si>
    <t>Purpose of review The purpose of this review is to provide an overview of healthcare standards and their relevance to multiple ophthalmic workflows, with a specific emphasis on describing gaps in standards development needed for improved integration of artificial intelligence technologies into ophthalmic practice. Recent findings Healthcare standards are an essential component of data exchange and critical for clinical practice, research, and public health surveillance activities. Standards enable interoperability between clinical information systems, healthcare information exchange between institutions, and clinical decision support in a complex health information technology ecosystem. There are several gaps in standards in ophthalmology, including relatively low adoption of imaging standards, lack of use cases for integrating apps providing artificial intelligence -based decision support, lack of common data models to harmonize big data repositories, and no standards regarding interfaces and algorithmic outputs. These gaps in standards represent opportunities for future work to develop improved data flow between various elements of the digital health ecosystem. This will enable more widespread adoption and integration of artificial intelligence-based tools into clinical practice. Engagement and support from the ophthalmology community for standards development will be important for advancing this work.</t>
  </si>
  <si>
    <t>[Baxter, Sally L.] Univ Calif San Diego, Shiley Eye Inst, La Jolla, CA USA; [Baxter, Sally L.] Univ Calif San Diego, Viterbi Family Dept Ophthalmol, La Jolla, CA 92093 USA; [Baxter, Sally L.] Univ Calif San Diego, Hlth Dept Biomed Informat, La Jolla, CA 92093 USA; [Lee, Aaron Y.] Univ Washington, Dept Ophthalmol, Seattle, WA 98195 USA</t>
  </si>
  <si>
    <t>University of California System; University of California San Diego; University of California System; University of California San Diego; University of California System; University of California San Diego; University of Washington; University of Washington Seattle</t>
  </si>
  <si>
    <t>Lee, AY (corresponding author), Box 359608,325 Ninth Ave, Seattle, WA 98104 USA.</t>
  </si>
  <si>
    <t>leeay@uw.edu</t>
  </si>
  <si>
    <t>Lee, Aaron/AAT-2839-2020</t>
  </si>
  <si>
    <t>Lee, Aaron/0000-0002-7452-1648</t>
  </si>
  <si>
    <t>National Institutes of Health Office of the Director Grant [1DP5OD029610]; Research to Prevent Blindness</t>
  </si>
  <si>
    <t>National Institutes of Health Office of the Director Grant; Research to Prevent Blindness(Research to Prevent Blindness (RPB))</t>
  </si>
  <si>
    <t>S.L.B. is supported by the National Institutes of Health Office of the Director Grant 1DP5OD029610 (Bethesda, MD) and an unrestricted grant from Research to Prevent Blindness. A.Y.L. reports support from the US Food and Drug Administration, grants from Santen, Regeneron, Carl Zeiss Meditec, and Novartis, personal fees from Genentech, Topcon, Gyroscope, Johnson and Johnson, and Verana Health, outside of the submitted work. This article does not reflect the opinions of the Food and Drug Administration.</t>
  </si>
  <si>
    <t>10.1097/ICU.0000000000000781</t>
  </si>
  <si>
    <t>TT8AN</t>
  </si>
  <si>
    <t>WOS:000680565900007</t>
  </si>
  <si>
    <t>Li, W; Shi, HY; Chen, XL; Lan, JZ; Rehman, AU; Ge, MW; Shen, LT; Hu, FH; Jia, YJ; Li, XM; Chen, HL</t>
  </si>
  <si>
    <t>Li, Wei; Shi, Hai-Yan; Chen, Xiao-Ling; Lan, Jian-Zeng; Rehman, Attiq-Ur; Ge, Meng-Wei; Shen, Lu-Ting; Hu, Fei-Hong; Jia, Yi-Jie; Li, Xiao-Min; Chen, Hong-Lin</t>
  </si>
  <si>
    <t>Application of artificial intelligence in medical education: A meta-ethnographic synthesis</t>
  </si>
  <si>
    <t>MEDICAL TEACHER</t>
  </si>
  <si>
    <t>Artificial intelligence; medical education; meta-synthesis</t>
  </si>
  <si>
    <t>CHATGPT; CHALLENGES; STROKE; CARE</t>
  </si>
  <si>
    <t>BackgroundWith the advancement of Artificial Intelligence (AI), it has had a profound impact on medical education. Understanding the advantages and issues of AI in medical education, providing guidance for educators, and overcoming challenges in the implementation process is particularly important.ObjectiveThe objective of this study is to explore the current state of AI applications in medical education.MethodsA systematic search was conducted across databases such as PsycINFO, CINAHL, Scopus, PubMed, and Web of Science to identify relevant studies. The Critical Appraisal Skills Programme (CASP) was employed for the quality assessment of these studies, followed by thematic synthesis to analyze the themes from the included research.ResultsUltimately, 21 studies were identified, establishing four themes: (1) Shaping the Future: Current Trends in AI within Medical Education; (2) Advancing Medical Instruction: The Transformative Power of AI; (3) Navigating the Ethical Landscape of AI in Medical Education; (4) Fostering Synergy: Integrating Artificial Intelligence in Medical Curriculum.ConclusionArtificial intelligence's role in medical education, while not yet extensive, is impactful and promising. Despite challenges, including ethical concerns over privacy, responsibility, and humanistic care, future efforts should focus on integrating AI through targeted courses to improve educational quality.</t>
  </si>
  <si>
    <t>[Li, Wei; Lan, Jian-Zeng; Rehman, Attiq-Ur; Ge, Meng-Wei; Shen, Lu-Ting; Hu, Fei-Hong; Jia, Yi-Jie; Chen, Hong-Lin] Nantong Univ, Sch Nursing &amp; Rehabil, Nantong, Jiangsu, Peoples R China; [Shi, Hai-Yan] Nantong Univ, Affiliated Rugao Hosp, Rugao Peoples Hosp, Nantong, Jiangsu, Peoples R China; [Chen, Xiao-Ling] Dongtai Peoples Hosp, Dept Resp Med, Yancheng, Jiangsu, Peoples R China; [Rehman, Attiq-Ur] Avicenna Hosp Bedian, Gulfreen Nursing Coll, Lahore, Pakistan; [Li, Xiao-Min] Nantong Univ, Affiliated Hosp 2, Nantong Peoples Hosp 1, Nantong, Jiangsu, Peoples R China</t>
  </si>
  <si>
    <t>Nantong University; Nantong University; Nantong University</t>
  </si>
  <si>
    <t>Chen, HL (corresponding author), Nantong Univ, Sch Nursing &amp; Rehabil, Nantong, Jiangsu, Peoples R China.;Li, XM (corresponding author), Nantong Univ, Affiliated Hosp 2, Nantong Peoples Hosp 1, Nantong, Jiangsu, Peoples R China.</t>
  </si>
  <si>
    <t>jsmmxm@163.com; honglinyjs@126.com</t>
  </si>
  <si>
    <t>Shi, Haiyan/K-4665-2019; Chen, Hong-Lin/E-5418-2010; Li, Xiaomin/AGF-5568-2022; Hu, Fei-Hong/JBS-3062-2023</t>
  </si>
  <si>
    <t>Nantong Municipal Health Commission Youth Project</t>
  </si>
  <si>
    <t>We thank the editor and anonymous reviewers for several insightful comments that significantly improved the paper.</t>
  </si>
  <si>
    <t>0142-159X</t>
  </si>
  <si>
    <t>1466-187X</t>
  </si>
  <si>
    <t>MED TEACH</t>
  </si>
  <si>
    <t>Med. Teach.</t>
  </si>
  <si>
    <t>2024 OCT 29</t>
  </si>
  <si>
    <t>10.1080/0142159X.2024.2418936</t>
  </si>
  <si>
    <t>Education, Scientific Disciplines; Health Care Sciences &amp; Services</t>
  </si>
  <si>
    <t>Education &amp; Educational Research; Health Care Sciences &amp; Services</t>
  </si>
  <si>
    <t>K9J0C</t>
  </si>
  <si>
    <t>WOS:001346974500001</t>
  </si>
  <si>
    <t>Alnaser, FM; Rahi, S; Alghizzawi, M; Ngah, AH</t>
  </si>
  <si>
    <t>Alnaser, Feras Mi; Rahi, Samar; Alghizzawi, Mahmoud; Ngah, Abdul Hafaz</t>
  </si>
  <si>
    <t>Does artificial intelligence (AI) boost digital banking user satisfaction? Integration of expectation confirmation model and antecedents of artificial intelligence enabled digital banking</t>
  </si>
  <si>
    <t>Artificial intelligence; Consumer expectations; Corporate reputation; Trendiness; Customization; Visual attractiveness; Problem solving; Communication quality; Acceptance of AI enabled banking</t>
  </si>
  <si>
    <t>CORPORATE REPUTATION; RECOMMENDATION; PERFORMANCE; SERVICES; INDUSTRY</t>
  </si>
  <si>
    <t>In the era disruptive technology the emergence of artificial intelligence has fundamentally improved banking operations. The execution of artificial intelligence is no longer discretionary for financial institutions and now it is considered an essential tool to meet customer expectations. Although artificial intelligence enabled digital banking is faster efficient and effective however user acceptance of digital banking driven by artificial intelligence is in its initial stages. Therefore, current study develops and integrated research framework with expectation confirmation model and examines digital banking user satisfaction and acceptance of AI enabled digital banking. Data were collected from digital banking user through structured questionnaire. Overall, 320 respondents were approached and requested to participate in digital banking survey. In return 251 valid responses were received and analyzed with structural equation modeling. Findings of the structural model indicate that satisfaction is jointly determined by expectation confirmation, perceived performance, trendiness, visual attractiveness, problem solving, customization, communication quality and revealed substantial variance R2 51.1% in digital banking user satisfaction. Therefore, satisfaction and corporate reputation have shown considerable variance R2 48.3 in user acceptance of AI enabled digital banking. Moreover, the research framework has revealed substantial predictive power Q2 0.449 to predict digital banking user satisfaction and Q2 0.493 user acceptance of artificial intelligence enabled digital banking. Concerning with hypotheses relationships exogenous factors have shown positive and significant impact user satisfaction except trendiness and customization. Practically, this research has suggested that policy makers should pay attention in improving user expectation confirmation, perceived performance, visual attractiveness, communication quality and corporate reputation which in turn enhance satisfaction and boost digital banking user's confidence to accept artificial intelligence enabled digital banking. This study is original as it integrates expectation confirmation model with the antecedents of artificial intelligence and examines user behavior towards acceptance of artificial intelligence enabled digital banking.</t>
  </si>
  <si>
    <t>[Alnaser, Feras Mi] An Najah Natl Univ Palestine, Nablus, Palestine; [Rahi, Samar] Univ Punjab, Hailey Coll Banking &amp; Finance, Lahore, Pakistan; [Alghizzawi, Mahmoud] Amman Arab Univ, Amman, Jordan; [Ngah, Abdul Hafaz] Univ Malaysia Terengganu UMT, Terengganu, Malaysia</t>
  </si>
  <si>
    <t>University of Punjab; Universiti Malaysia Terengganu</t>
  </si>
  <si>
    <t>Rahi, S (corresponding author), Univ Punjab, Hailey Coll Banking &amp; Finance, Lahore, Pakistan.</t>
  </si>
  <si>
    <t>f.alnaser@najah.edu; sr_adroit@yahoo.com; dr.alghzawi87@gmail.com; hafaz.ngah@umt.edu.my</t>
  </si>
  <si>
    <t>Alghizzawi, Mahmoud/AAP-5145-2020; Ngah, Abdul/AAP-8386-2021; Alnaser, Feras/AAR-5699-2020; Rahi, Samar/J-8472-2016; Ngah, Abdul Hafaz/G-5470-2016</t>
  </si>
  <si>
    <t>Rahi, Samar/0000-0003-1211-1229; Ngah, Abdul Hafaz/0000-0002-9928-1708; , Firas Alnasr/0000-0001-8569-6753</t>
  </si>
  <si>
    <t>e18930</t>
  </si>
  <si>
    <t>10.1016/j.heliyon.2023.e18930</t>
  </si>
  <si>
    <t>Q7RF5</t>
  </si>
  <si>
    <t>WOS:001059452100001</t>
  </si>
  <si>
    <t>Chiu, WA; Newman, G; Sansom, G; Ye, XY; Rusyn, A; Wu, HT; Winckelman, T; Rusyn, I</t>
  </si>
  <si>
    <t>Chiu, Weihsueh A.; Newman, Galen; Sansom, Garett; Ye, Xinyue; Rusyn, Andriy; Wu, Haotian; Winckelman, Tom; Rusyn, Ivan</t>
  </si>
  <si>
    <t>MyEcoReporter: a prototype for artificial intelligence-facilitated pollution reporting</t>
  </si>
  <si>
    <t>JOURNAL OF EXPOSURE SCIENCE AND ENVIRONMENTAL EPIDEMIOLOGY</t>
  </si>
  <si>
    <t>Artificial intelligence; Large language models; ChatGPT; Environmental justice; Community health; Pollution</t>
  </si>
  <si>
    <t>BackgroundMany chemical releases are first noticed by community members, but reporting these concerns often involves considerable hurdles. Artificial Intelligence (AI)-enabled technologies, especially large language models (LLMs), can potentially reduce these barriers.ObjectiveWe hypothesized that AI-powered chatbots can facilitate reporting of pollution incidents through text messaging.MethodsWe created an AI-powered chatbot, MyEcoReporter, that enables communities to report environmental incidents to government authorities. Eschewing traditional web-based forms, users text concerns via SMS to the LLM-powered application, engaging in a natural conversation through which required information is collected. The application was built using Python, AWS Lambda, DynamoDB, and Twilio, and deployed via Serverless.ResultsThis architecture allowed rapid customization for various use cases, which successfully facilitated conversations and stored structured data for formal submission.Impact statementMyEcoReporter showcases the potential of Artificial Intelligence/Large Language Models to create user-friendly tools that translate community environmental concerns into actionable information for reporting to government authorities.</t>
  </si>
  <si>
    <t>[Chiu, Weihsueh A.; Wu, Haotian; Winckelman, Tom; Rusyn, Ivan] Texas A&amp;M Univ, Dept Vet Physiol &amp; Pharmacol, College Stn, TX 77840 USA; [Newman, Galen; Ye, Xinyue] Texas A&amp;M Univ, Dept Landscape Architecture &amp; Urban Planning, College Stn, TX USA; [Sansom, Garett] Texas A&amp;M Univ, Dept Environm &amp; Occupat Hlth, College Stn, TX USA</t>
  </si>
  <si>
    <t>Chiu, WA (corresponding author), Texas A&amp;M Univ, Dept Vet Physiol &amp; Pharmacol, College Stn, TX 77840 USA.</t>
  </si>
  <si>
    <t>wchiu@tamu.edu</t>
  </si>
  <si>
    <t>Chiu, Weihsueh/HSF-0222-2023</t>
  </si>
  <si>
    <t>Chiu, Weihsueh A./0000-0002-7575-2368</t>
  </si>
  <si>
    <t>Texas A&amp;M Division of Research; National Institute for Environmental Health Sciences [P42 ES027704, P30 ES029067]</t>
  </si>
  <si>
    <t>Texas A&amp;M Division of Research; National Institute for Environmental Health Sciences(United States Department of Health &amp; Human ServicesNational Institutes of Health (NIH) - USANIH National Institute of Environmental Health Sciences (NIEHS))</t>
  </si>
  <si>
    <t>This work was supported, in part, by institutional support from the Texas A&amp;M Division of Research and grants from the National Institute for Environmental Health Sciences (P42 ES027704, P30 ES029067). The use of trade names and services mentioned in this manuscript does not constitute endorsement by the funding agencies.</t>
  </si>
  <si>
    <t>1559-0631</t>
  </si>
  <si>
    <t>1559-064X</t>
  </si>
  <si>
    <t>J EXPO SCI ENV EPID</t>
  </si>
  <si>
    <t>J. Expo. Sci. Environ. Epidemiol.</t>
  </si>
  <si>
    <t>2025 JAN 20</t>
  </si>
  <si>
    <t>10.1038/s41370-025-00747-5</t>
  </si>
  <si>
    <t>Environmental Sciences; Public, Environmental &amp; Occupational Health; Toxicology</t>
  </si>
  <si>
    <t>Environmental Sciences &amp; Ecology; Public, Environmental &amp; Occupational Health; Toxicology</t>
  </si>
  <si>
    <t>S8O5W</t>
  </si>
  <si>
    <t>WOS:001400750400001</t>
  </si>
  <si>
    <t>Ling, YF; Jin, Z; Li, YX; Huang, JY</t>
  </si>
  <si>
    <t>Ling, Yingfei; Jin, Zhou; Li, Yingxin; Huang, Jieya</t>
  </si>
  <si>
    <t>Learner satisfaction-based research on the application of artificial intelligence science popularization kits</t>
  </si>
  <si>
    <t>maker education; learners' satisfaction; influencing factors; artificial intelligence; science kit</t>
  </si>
  <si>
    <t>The application of artificial intelligence science popularization kits in maker courses has promoted the rapid development of maker education. However, there exist few theoretical and empirical studies on the application of artificial intelligence science popularization kits in maker education. The theory of learner satisfaction can be used to explain learner motivation and outcomes with regard to participation in maker education using the artificial intelligence suite. Therefore, taking advantage of the opportunity the Zhejiang Action Plan for Promoting the Development of New Generation Artificial Intelligence (2019-2022) has provided, this study first conducted semi-structured interviews based on the results of a literature review and a questionnaire survey and then performed Pearson correlation analysis and regression analysis using SPSS 24.0 to explore the influencing factors of students' satisfaction with the use of artificial intelligence science popularization kits in education. The following results were obtained. (1) The correlation between grades and learners' satisfaction is not significant. (2) The use of a high-quality artificial intelligence science suite in the classroom will positively impact learners' satisfaction. (3) The degree of interaction with the artificial intelligence suite is negatively correlated with learners' satisfaction. (4) Teaching adaptability is significantly positively correlated with learner satisfaction. (5) Learners' individual characteristics have no significant positive correlation with learner satisfaction. Therefore, this study recommends focusing on suite quality, improving human-computer interaction, adopting a student-centered strategy, and aiming at improving the suitability of the curriculum.</t>
  </si>
  <si>
    <t>[Ling, Yingfei] Ningbo Univ, Coll Sci &amp; Technol, Cixi, Peoples R China; [Jin, Zhou; Li, Yingxin; Huang, Jieya] Zhejiang Univ Technol, Coll Educ Sci &amp; Technol, Hangzhou, Peoples R China</t>
  </si>
  <si>
    <t>Ningbo University; Zhejiang University of Technology</t>
  </si>
  <si>
    <t>Jin, Z (corresponding author), Zhejiang Univ Technol, Coll Educ Sci &amp; Technol, Hangzhou, Peoples R China.</t>
  </si>
  <si>
    <t>718098410@qq.com</t>
  </si>
  <si>
    <t>JUL 19</t>
  </si>
  <si>
    <t>10.3389/fpsyg.2022.901191</t>
  </si>
  <si>
    <t>3L9RZ</t>
  </si>
  <si>
    <t>WOS:000835098700001</t>
  </si>
  <si>
    <t>Schmitt, M; Flechais, I</t>
  </si>
  <si>
    <t>Schmitt, Marc; Flechais, Ivan</t>
  </si>
  <si>
    <t>Digital deception: generative artificial intelligence in social engineering and phishing</t>
  </si>
  <si>
    <t>Artificial intelligence; Machine learning; Social engineering; Phishing; ChatGPT; Large language models</t>
  </si>
  <si>
    <t>The advancement of Artificial Intelligence (AI) and Machine Learning (ML) has profound implications for both the utility and security of our digital interactions. This paper investigates the transformative role of Generative AI in Social Engineering (SE) attacks. We conduct a systematic review of social engineering and AI capabilities and use a theory of social engineering to identify three pillars where Generative AI amplifies the impact of SE attacks: Realistic Content Creation, Advanced Targeting and Personalization, and Automated Attack Infrastructure. We integrate these elements into a conceptual model designed to investigate the complex nature of AI-driven SE attacks-the Generative AI Social Engineering Framework. We further explore human implications and potential countermeasures to mitigate these risks. Our study aims to foster a deeper understanding of the risks, human implications, and countermeasures associated with this emerging paradigm, thereby contributing to a more secure and trustworthy human-computer interaction.</t>
  </si>
  <si>
    <t>[Schmitt, Marc; Flechais, Ivan] Univ Oxford, Dept Comp Sci, Oxford, England</t>
  </si>
  <si>
    <t>Schmitt, M (corresponding author), Univ Oxford, Dept Comp Sci, Oxford, England.</t>
  </si>
  <si>
    <t>marcschmitt@hotmail.de</t>
  </si>
  <si>
    <t>Schmitt, Marc/0000-0003-4550-2963</t>
  </si>
  <si>
    <t>10.1007/s10462-024-10973-2</t>
  </si>
  <si>
    <t>J3X2X</t>
  </si>
  <si>
    <t>WOS:001336421600003</t>
  </si>
  <si>
    <t>Mukherjee, S; Baral, MM; Nagariya, R; Chittipaka, V; Pal, SK</t>
  </si>
  <si>
    <t>Mukherjee, Subhodeep; Baral, Manish Mohan; Nagariya, Ramji; Chittipaka, Venkataiah; Pal, Surya Kant</t>
  </si>
  <si>
    <t>Artificial intelligence-based supply chain resilience for improving firm performance in emerging markets</t>
  </si>
  <si>
    <t>JOURNAL OF GLOBAL OPERATIONS AND STRATEGIC SOURCING</t>
  </si>
  <si>
    <t>Firm performance; Supply chain resilience strategies; Artificial intelligence; MSMEs</t>
  </si>
  <si>
    <t>RISK-MANAGEMENT; COMPETITIVE ADVANTAGE; ANALYTICS CAPABILITY; BIG DATA; INTEGRATION; INTERNET; STRATEGY; ADOPTION; AGILITY; THINGS</t>
  </si>
  <si>
    <t>PurposeThis paper aims to investigate the firm performance of micro, small and medium enterprises (MSMEs) by using artificial intelligence-based supply chain resilience strategies. A theoretical framework shows the relationship between artificial intelligence, supply chain resilience strategy and firm performance.Design/methodology/approachA questionnaire is developed to survey the MSMEs of India. A sample size of 307 is considered for the survey. The employees working in MSMEs are targeted responses. The conceptual model developed is tested empirically.FindingsThe study found that eight hypotheses were accepted and two were rejected. There are five mediating variables in the current study. Artificial intelligence, the independent variable, positively affects all five mediators. Then, according to the survey and analysis of the final 307 responses from MSMEs, the mediating variables significantly impact the dependent variable, firm performance.Research limitations/implicationsThis study is limited to emerging markets only. Also this study used only cross sectional data collection methods.Practical implicationsThis study is essential for supply chain managers and top management willing to adopt the latest technology in their organisation or firmfor a better efficient supply chain process.Originality/valueThis study investigated artificial intelligence-based supply chain resilience for improving firm performance in emerging countries like India. This study tried to fill the research gap in artificial intelligence and supply chain resilience.</t>
  </si>
  <si>
    <t>[Mukherjee, Subhodeep; Baral, Manish Mohan] GITAM Univ, GITAM Sch Business, Dept Operat, Visakhapatnam, India; [Nagariya, Ramji] Christ Inst Management Ghaziabad, Sch Business &amp; Management, Ghaziabad, India; [Chittipaka, Venkataiah] Indira Gandhi Natl Open Univ, Sch Management Studies, New Delhi, India; [Pal, Surya Kant] Sharda Univ, Dept Math, Greater Noida, India</t>
  </si>
  <si>
    <t>Gandhi Institute of Technology &amp; Management (GITAM); Sharda University</t>
  </si>
  <si>
    <t>Pal, SK (corresponding author), Sharda Univ, Dept Math, Greater Noida, India.</t>
  </si>
  <si>
    <t>suryakantpal6676@gmail.com</t>
  </si>
  <si>
    <t>Mukherjee, Subhodeep/ACR-9295-2022; Pal, Dr. Surya/ABF-6931-2020; Nagariya, Ramji/IUQ-1380-2023; Chittipaka, Venkataiah/AAV-9109-2020</t>
  </si>
  <si>
    <t>Since acceptance of this article, the following author has updated their affiliation: Ramji Nagariya is at the School of Business and Management, Christ (Deemed to be University), Bengaluru, India.; School of Business and Management, Christ (Deemed to be University), Bengaluru, India</t>
  </si>
  <si>
    <t>Conflict of interest declaration: The authors declare that they have no known competing financial interests or personal relationships that could have appeared to influence the work reported in this paper.r Since acceptance of this article, the following author has updated their affiliation: Ramji Nagariya is at the School of Business and Management, Christ (Deemed to be University), Bengaluru, India.</t>
  </si>
  <si>
    <t>2398-5364</t>
  </si>
  <si>
    <t>J GLOB OPER STRATEG</t>
  </si>
  <si>
    <t>J. Glob. Oper. Strateg. Sourc.</t>
  </si>
  <si>
    <t>AUG 27</t>
  </si>
  <si>
    <t>10.1108/JGOSS-06-2022-0049</t>
  </si>
  <si>
    <t>D5S9C</t>
  </si>
  <si>
    <t>WOS:001079358300001</t>
  </si>
  <si>
    <t>Kong, SC; Korte, SM; Burton, S; Keskitalo, P; Turunen, T; Smith, D; Wang, LX; Lee, JCK; Beaton, MC</t>
  </si>
  <si>
    <t>Kong, Siu-Cheung; Korte, Satu-Maarit; Burton, Steve; Keskitalo, Pigga; Turunen, Tuija; Smith, David; Wang, Lixun; Lee, John Chi-Kin; Beaton, Mhairi C.</t>
  </si>
  <si>
    <t>Artificial Intelligence (AI) literacy - an argument for AI literacy in education</t>
  </si>
  <si>
    <t>INNOVATIONS IN EDUCATION AND TEACHING INTERNATIONAL</t>
  </si>
  <si>
    <t>Artificial Intelligence (AI) literacy; capacity building; sustainable development; societal change; educational equity; education</t>
  </si>
  <si>
    <t>'Perhaps we should all stop for a moment and focus not only on making our AI better and more successful but also on the benefit of humanity'. - S. Hawkins, Web Summit, 2017 This international collaborative piece argues for a paradigm shift in our use and understanding of Artificial Intelligence (AI) in education, and in the development of Artificial Intelligence Literacy amongst our learners and professional colleagues. The main premises are: AI can change societal practices, and aid competency and capacity building within society, thereby having a positive impact on education. AI in education can support equity, inclusiveness and lifelong learning, through customisable and tailored learning experiences, while building up future professions and societies according to sustainable development premises. Education ought to equip learners with the knowledge, competency and mindset required to use AI to solve professional and societal challenges and improve day-to-day practices</t>
  </si>
  <si>
    <t>[Kong, Siu-Cheung; Wang, Lixun] Educ Univ Hong Kong, Artificial Intelligence &amp; Digital Competency Educ, Hong Kong, Peoples R China; [Korte, Satu-Maarit; Keskitalo, Pigga; Turunen, Tuija] Univ Lapland, Fac Educ, Rovaniemi, Finland; [Burton, Steve; Beaton, Mhairi C.] Leeds Beckett Univ, Carnegie Sch Educ, Leeds, England; [Smith, David] Charles Sturt Univ, Div Learning &amp; Teaching, Wagga Wagga, NSW, Australia; [Wang, Lixun] Educ Univ Hong Kong, Dept Linguist Modern Language Studies, Hong Kong, Peoples R China; [Lee, John Chi-Kin] Educ Univ Hong Kong, Dept Curriculum &amp; Instruct, Hong Kong, Peoples R China; [Korte, Satu-Maarit] Univ Lapland, Fac Educ, Yliopistonkatu 8, Rovaniemi, Finland</t>
  </si>
  <si>
    <t>Education University of Hong Kong (EdUHK); University of Lapland; Leeds Beckett University; Charles Sturt University; Education University of Hong Kong (EdUHK); Education University of Hong Kong (EdUHK); University of Lapland</t>
  </si>
  <si>
    <t>Korte, SM (corresponding author), Univ Lapland, Fac Educ, Yliopistonkatu 8, Rovaniemi, Finland.</t>
  </si>
  <si>
    <t>satu-maarit.korte@ulapland.fi</t>
  </si>
  <si>
    <t>; Korte, Satu-Maarit/KHX-2146-2024; Turunen, Tuija/W-1536-2019</t>
  </si>
  <si>
    <t>Kong, Siu-Cheung/0000-0002-8691-3016; LEE, Chi Kin John/0000-0002-3235-0967; Korte, Satu-Maarit/0000-0001-9768-3431; Smith, David/0000-0001-8759-593X; Beaton, Mhairi/0000-0001-9041-1070; Turunen, Tuija/0000-0001-8214-6035; Keskitalo, Pigga/0000-0002-7722-9482; Burton, Steven/0000-0002-7529-4280</t>
  </si>
  <si>
    <t>University of the Arctic Thematic Network on Teacher Education for Social Justice</t>
  </si>
  <si>
    <t>The article is based on a collaboration between the University of the Arctic Thematic Network on Teacher Education for Social Justice and Diversity and the UNITWIN/UNESCO Network on Teacher Education for Social Justice and Diversity in Education, which are coordinated by the University of Lapland.</t>
  </si>
  <si>
    <t>1470-3297</t>
  </si>
  <si>
    <t>1470-3300</t>
  </si>
  <si>
    <t>INNOV EDUC TEACH INT</t>
  </si>
  <si>
    <t>Innov. Educ. Teach. Int.</t>
  </si>
  <si>
    <t>2024 MAR 22</t>
  </si>
  <si>
    <t>10.1080/14703297.2024.2332744</t>
  </si>
  <si>
    <t>LZ9J1</t>
  </si>
  <si>
    <t>WOS:001190752200001</t>
  </si>
  <si>
    <t>Jatoba, M; Gutierriz, I; Fernandes, PO; Teixeira, JP; Moscon, D</t>
  </si>
  <si>
    <t>Ribiero, H; Costa, M; Cerovic, L</t>
  </si>
  <si>
    <t>Jatoba, Mariana; Gutierriz, Ives; Fernandes, Paula Odete; Teixeira, Joao Paulo; Moscon, Daniela</t>
  </si>
  <si>
    <t>ARTIFICIAL INTELLIGENCE IN THE RECRUITMENT &amp; SELECTION: INNOVATION AND IMPACTS FOR THE HUMAN RESOURCES MANAGEMENT</t>
  </si>
  <si>
    <t>ECONOMIC AND SOCIAL DEVELOPMENT: 43RD INTERNATIONAL SCIENTIFIC CONFERENCE ON ECONOMIC AND SOCIAL DEVELOPMENT RETHINKING MANAGEMENT IN THE DIGITAL ERA: CHALLENGES FROM INDUSTRY 4.0 TO RETAIL MANAGEMENT</t>
  </si>
  <si>
    <t>International Scientific Conference on Economic and Social Development</t>
  </si>
  <si>
    <t>43rd International Scientific Conference on Economic and Social Development - Rethinking Management in the Digital Era - Challenges from Industry 4.0 to Retail Management</t>
  </si>
  <si>
    <t>JUL 15-16, 2019</t>
  </si>
  <si>
    <t>Aveiro, PORTUGAL</t>
  </si>
  <si>
    <t>Varazdin Dev &amp; Entrepreneurship Agcy,Univ Aveiro,Univ N,Univ Warsaw, Fac Management,Mohammed V Univ Rabat, Fac Law Econ &amp; Social Sci Sale</t>
  </si>
  <si>
    <t>Artificial Intelligence; Human Resource Management; Recruitment and Selection</t>
  </si>
  <si>
    <t>The objective of the article was to investigate the use of Artificial Intelligence (AI) in recruitment and selection (R&amp;S) and impacts on Human Resource Management (HRM). The study used a survey of scientific papers and conferences materials indexed to the database of Web of Science and Scopus and published between the period 2000 and 2018. In addition, it was decided to make an opinion survey conducted with professionals and managers on the use of the tool as facilitator of the recruitment and selection process and impacts on HRM, contributing to the strategic positioning of the area within the organizations. Data was collected, through survey questionnaires applied between March and May 2019. A total of 150 questionnaires were collected. A quantitative descriptive analysis was performed to analyse the perception of the professionals about AI in HR, as well as the use of this technology in the automation of processes and contributions when used in R&amp;S processes. Of the 150 respondents, 74% are female, 61% are over 36 years old, 67.3% works in the service sector, and about 49% perform functions in the area of Human Resources. It was also observed that around 63% of respondents' companies have never used AI and about 19% use or have already used AI in the area of customer service. The lack of solid research lines in the subject was verified and it was concluded that the practice is still very embryonic, although the view of the respondents, ones is positive about the benefits that the AI can bring to the recruitment and selection of candidates. It is hoped that the questions pointed out in this essay elicit new theoretical and empirical studies that show the interactions between AI and HR.</t>
  </si>
  <si>
    <t>[Jatoba, Mariana; Gutierriz, Ives; Fernandes, Paula Odete; Teixeira, Joao Paulo] Inst Politecn Braganca, Braganca, Portugal; [Fernandes, Paula Odete; Teixeira, Joao Paulo] UNIAG, Braganca, Portugal; [Teixeira, Joao Paulo] CeDRI, Braganca, Portugal; [Moscon, Daniela] Unifacs Laureate, Salvador, BA, Brazil</t>
  </si>
  <si>
    <t>Instituto Politecnico de Braganca; Universidade Salvador (UNIFACS)</t>
  </si>
  <si>
    <t>Jatoba, M (corresponding author), Inst Politecn Braganca, Braganca, Portugal.</t>
  </si>
  <si>
    <t>marianajatoba@gmail.com; ivesgutierriz@hotmail.com; pof@ipb.pt; joaopt@ipb.pt; daniela.moscon@unifacs.br</t>
  </si>
  <si>
    <t>Moscon, Daniela/AEQ-5857-2022; Teixeira, Joao/N-6576-2013; Fernandes, Paula Odete/N-3804-2013</t>
  </si>
  <si>
    <t>Moscon, Daniela/0000-0002-2933-2880; Teixeira, Joao/0000-0002-6679-5702; Fernandes, Paula Odete/0000-0001-8714-4901</t>
  </si>
  <si>
    <t>National Funds through the Foundation for Science and Technology [UID/GES/04752/2019]; Coordenacao de Aperfeicoamento de Pessoal de Nivel Superior -Brasil (CAPES) [001]</t>
  </si>
  <si>
    <t>National Funds through the Foundation for Science and Technology; Coordenacao de Aperfeicoamento de Pessoal de Nivel Superior -Brasil (CAPES)(Coordenacao de Aperfeicoamento de Pessoal de Nivel Superior (CAPES))</t>
  </si>
  <si>
    <t>This work is funded by National Funds through the Foundation for Science and Technology under the project UID/GES/04752/2019. And by the Coordenacao de Aperfeicoamento de Pessoal de Nivel Superior -Brasil (CAPES) -Finance Code 001.</t>
  </si>
  <si>
    <t>VARAZDIN DEVELOPMENT &amp; ENTREPRENEURSHIP AGENCY</t>
  </si>
  <si>
    <t>VARAZDIN</t>
  </si>
  <si>
    <t>MIHANOVICEVA 4, VARAZDIN, 00000, CROATIA</t>
  </si>
  <si>
    <t>1849-6903</t>
  </si>
  <si>
    <t>1849-7535</t>
  </si>
  <si>
    <t>EC SOC DEVELOP</t>
  </si>
  <si>
    <t>Development Studies; Economics; Regional &amp; Urban Planning</t>
  </si>
  <si>
    <t>Development Studies; Business &amp; Economics; Public Administration</t>
  </si>
  <si>
    <t>BP8TM</t>
  </si>
  <si>
    <t>WOS:000567298100011</t>
  </si>
  <si>
    <t>Nguyen, A; Ngo, H; Hong, Y; Dang, B; Nguyen, BPT</t>
  </si>
  <si>
    <t>Andy Nguyen; Ngo, Ha Ngan; Hong, Yvonne; Dang, Belle; Bich-Phuong Thi Nguyen</t>
  </si>
  <si>
    <t>Ethical principles for artificial intelligence in education</t>
  </si>
  <si>
    <t>Artificial Intelligence; AIED; Ethics; Policies; Privacy</t>
  </si>
  <si>
    <t>PRIVACY PRINCIPLES</t>
  </si>
  <si>
    <t>The advancement of artificial intelligence in education (AIED) has the potential to transform the educational landscape and influence the role of all involved stakeholders. In recent years, the applications of AIED have been gradually adopted to progress our understanding of students' learning and enhance learning performance and experience. However, the adoption of AIED has led to increasing ethical risks and concerns regarding several aspects such as personal data and learner autonomy. Despite the recent announcement of guidelines for ethical and trustworthy AIED, the debate revolves around the key principles underpinning ethical AIED. This paper aims to explore whether there is a global consensus on ethical AIED by mapping and analyzing international organizations' current policies and guidelines. In this paper, we first introduce the opportunities offered by AI in education and potential ethical issues. Then, thematic analysis was conducted to conceptualize and establish a set of ethical principles by examining and synthesizing relevant ethical policies and guidelines for AIED. We discuss each principle and associated implications for relevant educational stakeholders, including students, teachers, technology developers, policymakers, and institutional decision-makers. The proposed set of ethical principles is expected to serve as a framework to inform and guide educational stakeholders in the development and deployment of ethical and trustworthy AIED as well as catalyze future development of related impact studies in the field.</t>
  </si>
  <si>
    <t>[Andy Nguyen; Dang, Belle] Univ Oulu, Learning &amp; Educ Technol Res Unit LET, Oulu, Finland; [Ngo, Ha Ngan] Victoria Univ Wellington, Fac Educ, Wellington, New Zealand; [Hong, Yvonne] Victoria Univ Wellington, Sch Informat Management, Wellington, New Zealand; [Bich-Phuong Thi Nguyen] VNU Univ Languages &amp; Int Studies, Fac English Language Teacher Educ, Hanoi, Vietnam</t>
  </si>
  <si>
    <t>University of Oulu; Victoria University Wellington; Victoria University Wellington; Vietnam National University Hanoi (VNU Hanoi) System; VNU University of Languages &amp; International Studies (VNU-ULIS)</t>
  </si>
  <si>
    <t>Nguyen, A (corresponding author), Univ Oulu, Learning &amp; Educ Technol Res Unit LET, Oulu, Finland.</t>
  </si>
  <si>
    <t>andy.nguyen@oulu.fi</t>
  </si>
  <si>
    <t>Thi Nguyen, Bich-Phuong/0000-0003-1836-4403; Dang, Belle/0009-0006-8734-6697; Ngo, Ha Ngan/0000-0002-4275-3620; Nguyen, Andy/0000-0002-0759-9656; Hong, Yvonne/0000-0002-0046-3983</t>
  </si>
  <si>
    <t>University of Oulu; Finnish Academy [350249]; Oulu University Hospital</t>
  </si>
  <si>
    <t>University of Oulu; Finnish Academy(Research Council of Finland); Oulu University Hospital</t>
  </si>
  <si>
    <t>Open Access funding provided by University of Oulu including Oulu University Hospital. This work was funded in part by Finnish Academy project no. 350249</t>
  </si>
  <si>
    <t>10.1007/s10639-022-11316-w</t>
  </si>
  <si>
    <t>F7WX6</t>
  </si>
  <si>
    <t>WOS:000867578100004</t>
  </si>
  <si>
    <t>Sung, JJY; Poon, NCH</t>
  </si>
  <si>
    <t>Sung, Joseph J. Y.; Poon, Nicholas C. H.</t>
  </si>
  <si>
    <t>Artificial intelligence in gastroenterology: where are we heading?</t>
  </si>
  <si>
    <t>FRONTIERS OF MEDICINE</t>
  </si>
  <si>
    <t>artificial intelligence; endoscopy; robotics; gastrointestinal diseases</t>
  </si>
  <si>
    <t>DISEASE</t>
  </si>
  <si>
    <t>Artificial intelligence (AI) is coming to medicine in a big wave. From making diagnosis in various medical conditions, following the latest advancements in scientific literature, suggesting appropriate therapies, to predicting prognosis and outcome of diseases and conditions, AI is offering unprecedented possibilities to improve care for patients. Gastroenterology is a field that AI can make a significant impact. This is partly because the diagnosis of gastrointestinal conditions relies a lot on image-based investigations and procedures (endoscopy and radiology). AI-assisted image analysis can make accurate assessment and provide more information than conventional analysis. AI integration of genomic, epigenetic, and metagenomic data may offer new classifications of gastrointestinal cancers and suggest optimal personalized treatments. In managing relapsing and remitting diseases such as inflammatory bowel disease, irritable bowel syndrome, and peptic ulcer bleeding, convoluted neural network may formulate models to predict disease outcome, enhancing treatment efficacy. AI and surgical robots can also assist surgeons in conducting gastrointestinal operations. While the advancement and new opportunities are exciting, the responsibility and liability issues of AI-assisted diagnosis and management need much deliberations.</t>
  </si>
  <si>
    <t>[Sung, Joseph J. Y.] Chinese Univ Hong Kong, Fac Med, Inst Digest Dis, Hong Kong, Peoples R China; [Poon, Nicholas C. H.] Chinese Univ Hong Kong, Big Data Decis Analyt Canc, Hong Kong, Peoples R China</t>
  </si>
  <si>
    <t>Chinese University of Hong Kong; Chinese University of Hong Kong</t>
  </si>
  <si>
    <t>Sung, JJY (corresponding author), Chinese Univ Hong Kong, Fac Med, Inst Digest Dis, Hong Kong, Peoples R China.</t>
  </si>
  <si>
    <t>jjysung@cuhk.edu.hk</t>
  </si>
  <si>
    <t>SUNG, Joseph J Y/R-3203-2018</t>
  </si>
  <si>
    <t>SUNG, Joseph J Y/0000-0003-3125-5199</t>
  </si>
  <si>
    <t>2095-0217</t>
  </si>
  <si>
    <t>2095-0225</t>
  </si>
  <si>
    <t>FRONT MED-PRC</t>
  </si>
  <si>
    <t>10.1007/s11684-020-0742-4</t>
  </si>
  <si>
    <t>MAY 2020</t>
  </si>
  <si>
    <t>Oncology; Medicine, Research &amp; Experimental</t>
  </si>
  <si>
    <t>Oncology; Research &amp; Experimental Medicine</t>
  </si>
  <si>
    <t>NF9ZD</t>
  </si>
  <si>
    <t>WOS:000535671400001</t>
  </si>
  <si>
    <t>Chen, MR; Cui, DX; Haick, H; Tang, N</t>
  </si>
  <si>
    <t>Chen, Mingrui; Cui, Daxiang; Haick, Hossam; Tang, Ning</t>
  </si>
  <si>
    <t>Artificial Intelligence-Based Medical Sensors for Healthcare System</t>
  </si>
  <si>
    <t>ADVANCED SENSOR RESEARCH</t>
  </si>
  <si>
    <t>artificial intelligence; clinical decision support system; early diagnosis; medical sensors</t>
  </si>
  <si>
    <t>DECISION-SUPPORT-SYSTEM; SILICON NANOWIRE; WEARABLE SENSORS; CANCER; DIAGNOSIS; CLASSIFICATION; VALIDATION; PREDICTION; SEVERITY; DISEASES</t>
  </si>
  <si>
    <t>The aging population and the prevalence of infectious diseases have impacted the traditional medical order, significantly increasing the burden on healthcare and adversely affecting the socio-economic system. Medical sensors based on artificial intelligence (AI) provide new ideas for modern medical data collection to monitor the health status of individuals and environmental changes. Meanwhile, with the aid of AI algorithms, the big data processing capabilities of sensor systems have been greatly improved, further realizing early predictions and timely diagnoses. In this paper, a brief overview is offered on the development status of AI-enabled medical sensors for off-body detection, near-body monitoring, disease prediction, and clinical decision support system, and the ongoing challenges and future prospects to move from concept to implementation are discussed. In the foreseeable future, breakthroughs in the combination of medical sensors and AI algorithms are expected to pave the way for early detection and clinical decision support and improve the accuracy and efficiency for disease diagnosis. Artificial intelligence (AI)-based medical sensors have been gaining more attention in the contet of the healthcare system. With the development of micromachine technologies and intelligent algorithms, AI-enabled medical sensors have greatly improved clinical performance to further achieve early prediction and timely diagnosis. In the foreseeable future, the combination of AI and medical sensors has the potential to enhance nearly every aspect of healthcare management. image</t>
  </si>
  <si>
    <t>[Chen, Mingrui; Cui, Daxiang; Tang, Ning] Shanghai Jiao Tong Univ, Sch Elect Informat &amp; Elect Engn, Shanghai 200240, Peoples R China; [Haick, Hossam] Technion Israel Inst Technol, Dept Chem Engn, IL-3200003 H_efa, Israel; [Haick, Hossam] Technion Israel Inst Technol, Russell Berrie Nanotechnol, IL-3200003 H_efa, Israel</t>
  </si>
  <si>
    <t>Shanghai Jiao Tong University; Technion Israel Institute of Technology; Technion Israel Institute of Technology</t>
  </si>
  <si>
    <t>Tang, N (corresponding author), Shanghai Jiao Tong Univ, Sch Elect Informat &amp; Elect Engn, Shanghai 200240, Peoples R China.;Haick, H (corresponding author), Technion Israel Inst Technol, Dept Chem Engn, IL-3200003 H_efa, Israel.;Haick, H (corresponding author), Technion Israel Inst Technol, Russell Berrie Nanotechnol, IL-3200003 H_efa, Israel.</t>
  </si>
  <si>
    <t>hhossam@technion.ac.il; ntang@sjtu.edu.cn</t>
  </si>
  <si>
    <t>National Foundational Basic Research Project of China; National Nature Scientific Foundation [81921002, 8202010801]; Project of Thousand Youth Talents from China; National Natural Science Foundation of China [81903169]; Natural Science Foundation of Shanghai [22ZR1467600]; Startup Fund at SJTU, China [WH220503026]; Shanghai Engineering Research Center for Intelligent Diagnosis and Treatment Instrument [15DZ2252000]; [2017YFA0205301]; [2017YFC1200904]</t>
  </si>
  <si>
    <t>National Foundational Basic Research Project of China; National Nature Scientific Foundation; Project of Thousand Youth Talents from China; National Natural Science Foundation of China(National Natural Science Foundation of China (NSFC)); Natural Science Foundation of Shanghai(Natural Science Foundation of Shanghai); Startup Fund at SJTU, China; Shanghai Engineering Research Center for Intelligent Diagnosis and Treatment Instrument; ;</t>
  </si>
  <si>
    <t>The authors appreciate the financial support of the National Foundational Basic Research Project of China (2017YFA0205301 and 2017YFC1200904), the National Nature Scientific Foundation (81921002 and 8202010801), and the Project of Thousand Youth Talents from China. The authors also appreciate the support of the National Natural Science Foundation of China (No. 81903169), the Natural Science Foundation of Shanghai (No. 22ZR1467600), the Startup Fund at SJTU, China (No. WH220503026), and the Shanghai Engineering Research Center for Intelligent Diagnosis and Treatment Instrument (No. 15DZ2252000).</t>
  </si>
  <si>
    <t>2751-1219</t>
  </si>
  <si>
    <t>ADV SENSOR RES</t>
  </si>
  <si>
    <t>Adv. Sensor Res.</t>
  </si>
  <si>
    <t>10.1002/adsr.202300009</t>
  </si>
  <si>
    <t>Chemistry, Analytical; Instruments &amp; Instrumentation</t>
  </si>
  <si>
    <t>Chemistry; Instruments &amp; Instrumentation</t>
  </si>
  <si>
    <t>UH4O7</t>
  </si>
  <si>
    <t>WOS:001247154900006</t>
  </si>
  <si>
    <t>Tafazzoli, A; Mayo, AN</t>
  </si>
  <si>
    <t>Klein, C; Donnellan, B; Helfert, M</t>
  </si>
  <si>
    <t>Tafazzoli, Afshin; Novoa Mayo, Alvaro</t>
  </si>
  <si>
    <t>Smart Wind Turbine: Artificial Intelligence based Condition Monitoring System</t>
  </si>
  <si>
    <t>PROCEEDINGS OF THE 8TH INTERNATIONAL CONFERENCE ON SMART CITIES AND GREEN ICT SYSTEMS (SMARTGREENS)</t>
  </si>
  <si>
    <t>8th International Conference on Smart Cities and Green ICT Systems (SMARTGREENS)</t>
  </si>
  <si>
    <t>MAY 03-05, 2019</t>
  </si>
  <si>
    <t>Wind Turbine Generator (WTG); Artificial Intelligence (AI); Condition Monitoring System (CMS)</t>
  </si>
  <si>
    <t>This project is motivated by the importance of wind energy and reducing the financial and operational impact of faults in wind turbine generator using artificial intelligence based condition monitoring system. It is to classify the fault alarms and diagnose smart solutions at level zero to resolve the faults without service expert's intervention. Big data analysis of the large historical data pool results in the intelligent algorithms that can power the diagnostic models. For maximum efficiency, wind turbines tend to be located in remote locations such as on offshore platforms. However, this remoteness leads to high maintenance costs and high downtime when faults occur. These factors highlight the importance of early fault detection and fast resolution in great extent. The aim of the project has been to have smart wind turbines integrated with artificial intelligence. The condition monitoring system should have the capability to detect, identify, and locate a fault in a wind turbine and remotely reset the turbines whenever possible.</t>
  </si>
  <si>
    <t>[Tafazzoli, Afshin] Siemens Gamesa Renewable Energy, Global Serv, Calle Ramirez Arellano 37, Madrid 28043, Spain; [Novoa Mayo, Alvaro] KPMG, Paseo Castellana 259C, Madrid 28046, Spain</t>
  </si>
  <si>
    <t>Tafazzoli, A (corresponding author), Siemens Gamesa Renewable Energy, Global Serv, Calle Ramirez Arellano 37, Madrid 28043, Spain.</t>
  </si>
  <si>
    <t>SCITEPRESS</t>
  </si>
  <si>
    <t>SETUBAL</t>
  </si>
  <si>
    <t>AV D MANUELL, 27A 2 ESQ, SETUBAL, 2910-595, PORTUGAL</t>
  </si>
  <si>
    <t>978-989-758-373-5</t>
  </si>
  <si>
    <t>10.5220/0007767701940198</t>
  </si>
  <si>
    <t>Computer Science, Artificial Intelligence; Green &amp; Sustainable Science &amp; Technology; Engineering, Electrical &amp; Electronic</t>
  </si>
  <si>
    <t>Computer Science; Science &amp; Technology - Other Topics; Engineering</t>
  </si>
  <si>
    <t>BP9QK</t>
  </si>
  <si>
    <t>WOS:000570489100021</t>
  </si>
  <si>
    <t>Gupta, S; Amaba, B; McMahon, M; Gupta, K</t>
  </si>
  <si>
    <t>Gupta, Shuchita; Amaba, Ben; McMahon, Mike; Gupta, Kunal</t>
  </si>
  <si>
    <t>The Evolution of Artificial Intelligence in the Automotive Industry</t>
  </si>
  <si>
    <t>67TH ANNUAL RELIABILITY &amp; MAINTAINABILITY SYMPOSIUM (RAMS 2021)</t>
  </si>
  <si>
    <t>Reliability and Maintainability Symposium</t>
  </si>
  <si>
    <t>67th Annual Reliability and Maintainability Symposium (RAMS)</t>
  </si>
  <si>
    <t>MAY 24-27, 2021</t>
  </si>
  <si>
    <t>Artificial Intelligence; Supply Chain; Connected Vehicles; Autonomous Vehicles</t>
  </si>
  <si>
    <t>For many companies and institutions, the supply chain model for reliability &amp; maintainability (R&amp;M) of systems can either act as their competitive advantage or weakest link. Big data and analytics play an instrumental role within the supply chain, especially for companies using R&amp;M principles, where these practices were born and matured. The automotive industry has led many initiatives to increase the adoption of such supply chain architectures within their vehicle ecosystems allowing big data and analytics to play the driving role to insure the performance of the vehicles. The automotive industry continues to use these practices to deal with disruptions within autonomous driving, self-healing efficient batteries, robotics, insurance risk assessments, and exceptional customer experiences. Whether it be automotive manufacturers, dealers, drivers, or insurance companies, R&amp;M have had positive results. Today, however, another technology is surfacing fast, changing the face of R&amp;M standard practices and applications. Artificial Intelligence (AI) is impacting and changing the entire automotive industry ecosystem. While advancements in chipsets, edge technology, 5th generation mobile network (5G), Internet of Things (IoT) and cloud have been acting as enablers, data and AI is at the heart of R&amp;M future advances. As per VynZ Research, Global Artificial Intelligence (AI) Market for Automotive and Transportation Industry is Set to Reach USD 45.1 billion by 2024, Observing a CAGR of 17.7% during 2019-2024 [1]. In this paper, we will share the impact of AI &amp; trust on the auto industries R&amp;M programs, broken down across four pillars: in-vehicle experience, connected vehicles, auto manufacturing, and autonomous vehicle with examples, and use-cases.</t>
  </si>
  <si>
    <t>[Gupta, Shuchita] IBM Corp, 1001 E Hillsdale Blvd, Foster City, CA 94404 USA; [Amaba, Ben] IBM Corp, Bldg 045,11400 Burnet Rd, Austin, TX 78758 USA; [McMahon, Mike] IBM Corp, 6303 Barfield Rd NE, Sandy Springs, GA 30328 USA; [Gupta, Kunal] Striim Inc, 575 Middlefield Rd, Palo Alto, CA 94301 USA</t>
  </si>
  <si>
    <t>International Business Machines (IBM); IBM USA; International Business Machines (IBM); IBM USA; International Business Machines (IBM); IBM USA</t>
  </si>
  <si>
    <t>Gupta, S (corresponding author), IBM Corp, 1001 E Hillsdale Blvd, Foster City, CA 94404 USA.</t>
  </si>
  <si>
    <t>shugupta@us.ibm.com; baamaba@us.ibm.com; msmcmaho@us.ibm.com; kunal@striim.com</t>
  </si>
  <si>
    <t>gupta, shuchita/IXN-2869-2023</t>
  </si>
  <si>
    <t>0149-144X</t>
  </si>
  <si>
    <t>978-1-7281-8017-5</t>
  </si>
  <si>
    <t>P REL MAINT S</t>
  </si>
  <si>
    <t>10.1109/RAMS48097.2021.9605795</t>
  </si>
  <si>
    <t>Engineering, Multidisciplinary; Engineering, Industrial; Operations Research &amp; Management Science</t>
  </si>
  <si>
    <t>BS9UH</t>
  </si>
  <si>
    <t>WOS:000784131300093</t>
  </si>
  <si>
    <t>Kather, JN</t>
  </si>
  <si>
    <t>Kather, Jakob Nikolas</t>
  </si>
  <si>
    <t>Artificial intelligence in oncology: chances and pitfalls</t>
  </si>
  <si>
    <t>JOURNAL OF CANCER RESEARCH AND CLINICAL ONCOLOGY</t>
  </si>
  <si>
    <t>Artificial intelligence; Hematology; Oncology; Large language models</t>
  </si>
  <si>
    <t>Artificial intelligence (AI) has been available in rudimentary forms for many decades. Early AI programs were successful in niche areas such as chess or handwriting recognition. However, AI methods had little practical impact on the practice of medicine until recently. Beginning around 2012, AI has emerged as an increasingly important tool in healthcare, and AI-based devices are now approved for clinical use. These devices are capable of processing image data, making diagnoses, and predicting biomarkers for solid tumors, among other applications. Despite this progress, the development of AI in medicine is still in its early stages, and there have been exponential technical advancements since 2022, with some AI programs now demonstrating human-level understanding of image and text data. In the past, technical advances have led to new medical applications with a delay of a few years. Therefore, now we might be at the beginning of a new era in which AI will become even more important in clinical practice. It is essential that this transformation is humane and evidence based, and physicians must take a leading role in ensuring this, particularly in hematology and oncology.</t>
  </si>
  <si>
    <t>[Kather, Jakob Nikolas] Tech Univ Dresden, Else Kroner Fresenius Zentrum Digitale Gesundheit, Univ Klinikum Carl Gustav Carus, Fetscherstr 74, D-01307 Dresden, Germany; [Kather, Jakob Nikolas] Tech Univ Dresden, Med Klin &amp; Poliklin 1, Univ Klinkum Carl Gustav Carus, Fetscherstr 74, D-01307 Dresden, Germany</t>
  </si>
  <si>
    <t>Technische Universitat Dresden; Carl Gustav Carus University Hospital; Technische Universitat Dresden</t>
  </si>
  <si>
    <t>Kather, JN (corresponding author), Tech Univ Dresden, Else Kroner Fresenius Zentrum Digitale Gesundheit, Univ Klinikum Carl Gustav Carus, Fetscherstr 74, D-01307 Dresden, Germany.;Kather, JN (corresponding author), Tech Univ Dresden, Med Klin &amp; Poliklin 1, Univ Klinkum Carl Gustav Carus, Fetscherstr 74, D-01307 Dresden, Germany.</t>
  </si>
  <si>
    <t>jakob-nikolas.kather@alumni.dkfz.de</t>
  </si>
  <si>
    <t>Kather, Jakob Nikolas/D-4279-2015</t>
  </si>
  <si>
    <t>Kather, Jakob Nikolas/0000-0002-3730-5348</t>
  </si>
  <si>
    <t>Projekt DEAL</t>
  </si>
  <si>
    <t>Open Access funding enabled and organized by Projekt DEAL</t>
  </si>
  <si>
    <t>0171-5216</t>
  </si>
  <si>
    <t>1432-1335</t>
  </si>
  <si>
    <t>J CANCER RES CLIN</t>
  </si>
  <si>
    <t>J. Cancer Res. Clin. Oncol.</t>
  </si>
  <si>
    <t>10.1007/s00432-023-04666-6</t>
  </si>
  <si>
    <t>LJ8Q7</t>
  </si>
  <si>
    <t>WOS:000950059800002</t>
  </si>
  <si>
    <t>Kras, A; Celi, LA; Miller, JB</t>
  </si>
  <si>
    <t>Kras, Ashley; Celi, Leo A.; Miller, John B.</t>
  </si>
  <si>
    <t>Accelerating ophthalmic artificial intelligence research: the role of an open access data repository</t>
  </si>
  <si>
    <t>artificial intelligence; open-source; translational big data</t>
  </si>
  <si>
    <t>HEALTH-CARE PROFESSIONALS; DEEP LEARNING ALGORITHM; DIABETIC-RETINOPATHY; RISK-FACTORS; PREDICTION; CLASSIFICATION; SEGMENTATION; INFORMATION; PHOTOGRAPHY; PERFORMANCE</t>
  </si>
  <si>
    <t>Purpose of review Artificial intelligence has already provided multiple clinically relevant applications in ophthalmology. Yet, the explosion of nonstandardized reporting of high-performing algorithms are rendered useless without robust and streamlined implementation guidelines. The development of protocols and checklists will accelerate the translation of research publications to impact on patient care. Recent findings Beyond technological scepticism, we lack uniformity in analysing algorithmic performance generalizability, and benchmarking impacts across clinical settings. No regulatory guardrails have been set to minimize bias or optimize interpretability; no consensus clinical acceptability thresholds or systematized postdeployment monitoring has been set. Moreover, stakeholders with misaligned incentives deepen the landscape complexity especially when it comes to the requisite data integration and harmonization to advance the field. Therefore, despite increasing algorithmic accuracy and commoditization, the infamous 'implementation gap' persists. Open clinical data repositories have been shown to rapidly accelerate research, minimize redundancies and disseminate the expertise and knowledge required to overcome existing barriers. Drawing upon the longstanding success of existing governance frameworks and robust data use and sharing agreements, the ophthalmic community has tremendous opportunity in ushering artificial intelligence into medicine. By collaboratively building a powerful resource of open, anonymized multimodal ophthalmic data, the next generation of clinicians can advance data-driven eye care in unprecedented ways. This piece demonstrates that with readily accessible data, immense progress can be achieved clinically and methodologically to realize artificial intelligence's impact on clinical care. Exponentially progressive network effects can be seen by consolidating, curating and distributing data amongst both clinicians and data scientists.</t>
  </si>
  <si>
    <t>[Kras, Ashley; Miller, John B.] Harvard Med Sch, Dept Ophthalmol, Massachusetts Eye &amp; Ear, Harvard Retinal Imaging Lab, Boston, MA 02115 USA; [Celi, Leo A.] Harvard Med Sch, MIT, Harvard MIT Div Hlth Sci &amp; Technol, Cambridge, MA USA; [Celi, Leo A.] Harvard Med Sch, Beth Israel Deaconess Med Ctr, Dept Med, Boston, MA 02115 USA; [Miller, John B.] Harvard Med Sch, Dept Ophthalmol, Massachusetts Eye &amp; Ear, Retina Serv, Boston, MA 02115 USA</t>
  </si>
  <si>
    <t>Harvard University; Harvard University Medical Affiliates; Massachusetts Eye &amp; Ear Infirmary; Harvard Medical School; Harvard University; Massachusetts Institute of Technology (MIT); Harvard University; Harvard Medical School; Harvard University Medical Affiliates; Beth Israel Deaconess Medical Center; Harvard University; Harvard Medical School; Harvard University Medical Affiliates; Massachusetts Eye &amp; Ear Infirmary</t>
  </si>
  <si>
    <t>Miller, JB (corresponding author), Harvard Med Sch, Massachusetts Eye &amp; Ear, Retinal Imaging, 243 Charles St, Boston, MA 02114 USA.;Miller, JB (corresponding author), Harvard Med Sch, Ophthalmol, 243 Charles St, Boston, MA 02114 USA.</t>
  </si>
  <si>
    <t>john_miller@meei.harvard.edu</t>
  </si>
  <si>
    <t>National Institute of Health through NIBIB [R01 EB017205]</t>
  </si>
  <si>
    <t>National Institute of Health through NIBIB</t>
  </si>
  <si>
    <t>L.A.C. is funded by the National Institute of Health through NIBIB R01 EB017205.</t>
  </si>
  <si>
    <t>10.1097/ICU.0000000000000678</t>
  </si>
  <si>
    <t>WOS:000570190900006</t>
  </si>
  <si>
    <t>Mallikarjuna, C</t>
  </si>
  <si>
    <t>Mallikarjuna, C.</t>
  </si>
  <si>
    <t>An Analysis of Integrating Artificial Intelligence in Academic Libraries</t>
  </si>
  <si>
    <t>DESIDOC JOURNAL OF LIBRARY &amp; INFORMATION TECHNOLOGY</t>
  </si>
  <si>
    <t>Artificial intelligence; Academic libraries; Machine learning (ML); IoT; Predictive analytics; Chatbots</t>
  </si>
  <si>
    <t>This article presents a literature review on integrating artificial intelligence (AI) in academic libraries, focusing on the transformative impact of AI -based tools and services on library management, resource utilisation, and research experience. While AI offers promising solutions to increase efficiency and effectiveness, the review identifies several challenges and concerns that need to be addressed, such as ethical and privacy considerations, staff training and development, and a user -centered approach. To integrate AI successfully, libraries must collaborate with professionals, researchers, and policymakers and adopt a continuing education approach to AI. Overcoming resistance to technological change, communicating efforts, and engaging staff are essential for libraries to leverage AI's potential benefits and enhance their services and operations.</t>
  </si>
  <si>
    <t>[Mallikarjuna, C.] Indian Inst Technol, IIT Lib, Hyderabad 721302, India</t>
  </si>
  <si>
    <t>Indian Institute of Technology System (IIT System); Indian Institute of Technology (IIT) - Hyderabad</t>
  </si>
  <si>
    <t>Mallikarjuna, C (corresponding author), Indian Inst Technol, IIT Lib, Hyderabad 721302, India.</t>
  </si>
  <si>
    <t>mallikarjuna.c@admin.iith.ac.in</t>
  </si>
  <si>
    <t>DEFENCE SCIENTIFIC INFORMATION DOCUMENTATION CENTRE</t>
  </si>
  <si>
    <t>DELHI</t>
  </si>
  <si>
    <t>METCALFE HOUSE, DELHI 110054, INDIA</t>
  </si>
  <si>
    <t>0974-0643</t>
  </si>
  <si>
    <t>0976-4658</t>
  </si>
  <si>
    <t>DESIDOC J LIB INF TE</t>
  </si>
  <si>
    <t>DESIDOC J. Lib. Inf. Technol.</t>
  </si>
  <si>
    <t>10.14429/djlit.44.02.18958</t>
  </si>
  <si>
    <t>NW7G9</t>
  </si>
  <si>
    <t>WOS:001203551800002</t>
  </si>
  <si>
    <t>Lu, YY; Zhou, YX</t>
  </si>
  <si>
    <t>Lu, Yingying; Zhou, Yixiao</t>
  </si>
  <si>
    <t>A review on the economics of artificial intelligence</t>
  </si>
  <si>
    <t>artificial intelligence; development of economics; literature review</t>
  </si>
  <si>
    <t>DECLINE; PRODUCTIVITY; TECHNOLOGY; EMPLOYMENT; GROWTH; RISE; JOBS</t>
  </si>
  <si>
    <t>The rapid development of artificial intelligence (AI) not only represents a scientific breakthrough but also has impacts on human society and economies, as well as on the development of economics. This paper focuses on the macroeconomic perspective, reviewing recent literature in order to answer three key questions. First, what approaches are being used to represent AI in economic models? Second, will AI technology have an impact on the economy different from that of previous new technologies? Third, in which aspects will AI have an impact, and what is the empirical evidence for these effects of AI? On the first question, our review reveals that the incorporation of AI into economic models raises fundamental questions on economics and economic models. On the second question, while most empirical studies cannot deny the existence of the Solow Paradox for AI technology, some studies find that AI would have a different and broader impact than previous technologies. On the third question, studies on the labor market seem to suggest a stylized fact regarding the impact of AI on employment on different levels, and income inequality across skill levels and between developing and developed countries. The impacts of AI on international trade and education have been largely neglected and are worth further research in the future. It is also important for both theoretical and empirical studies to have a clear and accurate definition of AI so that the results are not misinterpreted.</t>
  </si>
  <si>
    <t>[Lu, Yingying] CSIRO, Land &amp; Water Flagship, Bldg 101,Clunies Ross St, Canberra, ACT 2601, Australia; [Lu, Yingying] Australian Natl Univ, Ctr Appl Macroecon Anal CAMA, Crawford Sch Publ Policy, Canberra, ACT, Australia; [Zhou, Yixiao] Curtin Univ, Sch Econ Finance &amp; Property, Perth, WA, Australia; [Zhou, Yixiao] Australian Natl Univ, Crawford Sch Publ Policy, Canberra, ACT, Australia</t>
  </si>
  <si>
    <t>Commonwealth Scientific &amp; Industrial Research Organisation (CSIRO); Australian National University; Curtin University; Australian National University</t>
  </si>
  <si>
    <t>Lu, YY (corresponding author), CSIRO, Land &amp; Water Flagship, Bldg 101,Clunies Ross St, Canberra, ACT 2601, Australia.</t>
  </si>
  <si>
    <t>yingying.lu@csiro.au</t>
  </si>
  <si>
    <t>Lu, Yingying/M-8460-2019</t>
  </si>
  <si>
    <t>Zhou, Yixiao/0000-0001-7712-2776; Lu, Yingying/0000-0002-0199-0662</t>
  </si>
  <si>
    <t>10.1111/joes.12422</t>
  </si>
  <si>
    <t>UH1UO</t>
  </si>
  <si>
    <t>WOS:000643576800001</t>
  </si>
  <si>
    <t>Arias, MDD; Rivero, CAP; Márquez, OC</t>
  </si>
  <si>
    <t>De Obesso Arias, Maria de las Mercedes; Rivero, Carlos Alberto Perez; Marquez, Oliver Carrero</t>
  </si>
  <si>
    <t>Artificial intelligence to manage workplace bullying</t>
  </si>
  <si>
    <t>JOURNAL OF BUSINESS RESEARCH</t>
  </si>
  <si>
    <t>Artificial Intelligence; Robots; Human resources; Mobbing; Work environment</t>
  </si>
  <si>
    <t>JOB-SATISFACTION; ORGANIZATIONAL-CLIMATE; SOCIAL-RESPONSIBILITY; WORK; QUESTIONNAIRE; COMPETENCE; AUTOMATION; CHALLENGES; EMOTION; IMPACT</t>
  </si>
  <si>
    <t>This research links the efficiency of artificial intelligence (AI) to the work climate. The aim is to compare whether workers would feel comfortable dealing with a case of harassment at work with an AI system, or whether they prefer to deal with people. This is a pioneering study, unanswered in the literature. A questionnaire has been applied and a sample of 329 workers was obtained, from which it has been possible to conclude, that in cases where there is a good working environment, they feel more comfortable talking to people than to robots, and vice versa when the working environment is bad. Moreover, it is concluded that when workers trust their human resources (HR) departments, they prefer to deal with people regarding a problem such as bullying and that when they trust AI systems, there is a greater preference to interact with robots than when they do not trust them.</t>
  </si>
  <si>
    <t>[De Obesso Arias, Maria de las Mercedes; Rivero, Carlos Alberto Perez] ESIC Univ, ESIC Business &amp; Mkt Sch, Business Adm Dept, Madrid, Spain; [Marquez, Oliver Carrero] ESIC Univ, ESIC Business &amp; Mkt Sch, Commun Dept, Madrid, Spain</t>
  </si>
  <si>
    <t>ESIC; ESIC University; ESIC Business &amp; Marketing School; ESIC; ESIC University; ESIC Business &amp; Marketing School</t>
  </si>
  <si>
    <t>Arias, MDD (corresponding author), ESIC Univ, ESIC Business &amp; Mkt Sch, Business Adm Dept, Madrid, Spain.</t>
  </si>
  <si>
    <t>mdelasmercedes.deobesso@esic.univer; carlosalberto.perez@esic.univer; oliver.carrero@esic.univer</t>
  </si>
  <si>
    <t>Márquez, Oliver/HNR-9676-2023; DE OBESSO ARIAS, MARÍA DE LAS MERCEDES/JXL-6518-2024; Perez Rivero, Carlos Alberto/HGD-0334-2022</t>
  </si>
  <si>
    <t>Afonin, Dmitriy/0009-0005-0665-6216; Perez Rivero, Carlos Alberto/0000-0002-9739-5023; Carrero Marquez, Oliver/0000-0001-9380-1445; de Obesso Arias, Maria de las Mercedes/0000-0003-2165-7856</t>
  </si>
  <si>
    <t>0148-2963</t>
  </si>
  <si>
    <t>1873-7978</t>
  </si>
  <si>
    <t>J BUS RES</t>
  </si>
  <si>
    <t>J. Bus. Res.</t>
  </si>
  <si>
    <t>10.1016/j.jbusres.2023.113813</t>
  </si>
  <si>
    <t>A4ZW4</t>
  </si>
  <si>
    <t>WOS:000955232700001</t>
  </si>
  <si>
    <t>Gyory, JT; Kotovsky, K; McComb, C; Cagan, J</t>
  </si>
  <si>
    <t>Gyory, Joshua T.; Kotovsky, Kenneth; McComb, Christopher; Cagan, Jonathan</t>
  </si>
  <si>
    <t>Comparing the Impacts on Team Behaviors Between Artificial Intelligence and Human Process Management in Interdisciplinary Design Teams</t>
  </si>
  <si>
    <t>JOURNAL OF MECHANICAL DESIGN</t>
  </si>
  <si>
    <t>artificial intelligence; cognitive-based design; collaborative design; design teams</t>
  </si>
  <si>
    <t>This brief extends prior research by the authors on studying the impacts of interventions provided by either a human or an artificial intelligence (AI) process manager on team behaviors. Our earlier research found that a created AI process manager matched the capabilities of human process management. Here, these data are studied further to identify the impact of different types of interventions on team behaviors and outcomes. This deeper dive is done via two unique perspectives: comparing teams' problem-solving processes before and after interventions are provided, and through a regression analysis between intervention counts and performance. Results show overall mixed adherence to the provided interventions, and that this adherence also depends on the intervention type. The most significant impact on the team process arises from the communication frequency interventions. Furthermore, a regression analysis identifies the interventions with the greatest correlation with team performance, indicating a better selection of interventions from the AI process manager. Paired together, the results show the feasibility of automated process management via AI and shed light on the effective implementation of intervention strategies for future development and deployment.</t>
  </si>
  <si>
    <t>[Gyory, Joshua T.; McComb, Christopher; Cagan, Jonathan] Carnegie Mellon Univ, Dept Mech Engn, Pittsburgh, PA 15213 USA; [Kotovsky, Kenneth] Carnegie Mellon Univ, Dept Psychol, Pittsburgh, PA 15213 USA</t>
  </si>
  <si>
    <t>Carnegie Mellon University; Carnegie Mellon University</t>
  </si>
  <si>
    <t>Gyory, JT (corresponding author), Carnegie Mellon Univ, Dept Mech Engn, Pittsburgh, PA 15213 USA.</t>
  </si>
  <si>
    <t>jgyory@andrew.cmu.edu; kotovsky@cmu.edu; ccm@cmu.edu; cagan@cmu.edu</t>
  </si>
  <si>
    <t>McComb, Christopher/I-8322-2019</t>
  </si>
  <si>
    <t>Cagan, Jonathan/0000-0002-3935-9219; Gyory, Joshua/0000-0001-9946-4179</t>
  </si>
  <si>
    <t>Air Force Office of Scientific Research [FA9550-18-1-0088]; Defense Advanced Research Projects Agency [N66001-17-1-4064]</t>
  </si>
  <si>
    <t>Air Force Office of Scientific Research(United States Department of DefenseAir Force Office of Scientific Research (AFOSR)); Defense Advanced Research Projects Agency(United States Department of DefenseDefense Advanced Research Projects Agency (DARPA))</t>
  </si>
  <si>
    <t>The authors would like to acknowledge Nicolas F. Soria Zurita for his help running the study, and Jay Martin and Corey Balon for their assistance and support with the HyForm platform. This work was supported by the Air Force Office of Scientific Research under Grant No. FA9550-18-1-0088 and by the Defense Advanced Research Projects Agency through cooperative agreement N66001-17-1-4064. Any opinions, findings, conclusions, or recommendations expressed in this paper are those of the authors and do not necessarily reflect the views of the sponsors.</t>
  </si>
  <si>
    <t>ASME</t>
  </si>
  <si>
    <t>TWO PARK AVE, NEW YORK, NY 10016-5990 USA</t>
  </si>
  <si>
    <t>1050-0472</t>
  </si>
  <si>
    <t>1528-9001</t>
  </si>
  <si>
    <t>J MECH DESIGN</t>
  </si>
  <si>
    <t>J. Mech. Des.</t>
  </si>
  <si>
    <t>10.1115/1.4054723</t>
  </si>
  <si>
    <t>Engineering, Mechanical</t>
  </si>
  <si>
    <t>4I0RZ</t>
  </si>
  <si>
    <t>WOS:000850286700008</t>
  </si>
  <si>
    <t>Jungherr, A; Schroeder, R</t>
  </si>
  <si>
    <t>Jungherr, Andreas; Schroeder, Ralph</t>
  </si>
  <si>
    <t>Artificial intelligence and the public arena</t>
  </si>
  <si>
    <t>COMMUNICATION THEORY</t>
  </si>
  <si>
    <t>public sphere; public arena; artificial intelligence (AI); large language models (LLMs); ChatGPT</t>
  </si>
  <si>
    <t>MEDIA</t>
  </si>
  <si>
    <t>The public arena relies on artificial intelligence (AI) to ever greater degrees. Media structures hosting the public arena-such as Facebook, TikTok, Twitter, and YouTube-increasingly rely on AI-enabled applications to shape information environments, autonomously generate content, and communicate with people. These applications affect the public arena's functions: make society visible to itself and provide spaces for the formation of publics and counterpublics. We offer a framework that allows for the conceptualization and empirical examination of AI's structural impact on the public arena. Based on this perspective, we argue that the growing uses of AI will lead to a strengthening of intermediary structures that can exercise a greater degree of control over the public arena. In addition, the data-driven nature of most AI-applications threatens to push challenges to the political status quo out of sight and obstruct the assessability of AI-enabled interventions.</t>
  </si>
  <si>
    <t>[Jungherr, Andreas] Univ Bamberg, Inst Polit Sci, Bamberg, Germany; [Schroeder, Ralph] Univ Oxford, Oxford Internet Inst, Oxford, England</t>
  </si>
  <si>
    <t>Otto Friedrich University Bamberg; University of Oxford</t>
  </si>
  <si>
    <t>Jungherr, A (corresponding author), Univ Bamberg, Inst Polit Sci, Bamberg, Germany.</t>
  </si>
  <si>
    <t>andreas.jungherr@uni-bamberg.de</t>
  </si>
  <si>
    <t>OXFORD UNIV PRESS INC</t>
  </si>
  <si>
    <t>CARY</t>
  </si>
  <si>
    <t>JOURNALS DEPT, 2001 EVANS RD, CARY, NC 27513 USA</t>
  </si>
  <si>
    <t>1050-3293</t>
  </si>
  <si>
    <t>1468-2885</t>
  </si>
  <si>
    <t>COMMUN THEOR</t>
  </si>
  <si>
    <t>Commun. Theory</t>
  </si>
  <si>
    <t>JUL 28</t>
  </si>
  <si>
    <t>10.1093/ct/qtad006</t>
  </si>
  <si>
    <t>N0CP2</t>
  </si>
  <si>
    <t>WOS:001008157600001</t>
  </si>
  <si>
    <t>Mishra, S; Ewing, MT; Cooper, HB</t>
  </si>
  <si>
    <t>Mishra, Sagarika; Ewing, Michael T.; Cooper, Holly B.</t>
  </si>
  <si>
    <t>Artificial intelligence focus and firm performance</t>
  </si>
  <si>
    <t>JOURNAL OF THE ACADEMY OF MARKETING SCIENCE</t>
  </si>
  <si>
    <t>Firm performance; Firm efficiency; Artificial intelligence; Marketing metrics</t>
  </si>
  <si>
    <t>DECISION-MAKING; MANAGEMENT; MACHINES; IMPACT; TECHNOLOGY; AUTOMATION; PRINCIPLES; REVOLUTION; FRAMEWORK; SOCIETY</t>
  </si>
  <si>
    <t>Artificial Intelligence is poised to transform all facets of marketing. In this study, we examine the link between firms' focus on AI in their 10-K reports and their gross and net operating efficiency. 10-K reports are a salient source of insight into an array of issues in accounting and finance research, yet remain relatively overlooked in marketing. Drawing upon economic and marketing theory, we develop a guiding framework to show how firms' AI focus could be related to gross and net operating efficiency. We then use a system of simultaneous equations to empirically test the relationship between AI focus and operating efficiency. Our findings confirm that US-listed firms are in a state of impending transformation with regards to AI. We show how AI focus is associated with improvements in net profitability, net operating efficiency and return on marketing-related investment while reducing adspend and creating jobs.</t>
  </si>
  <si>
    <t>[Mishra, Sagarika] Deakin Univ, Dept Finance, Burwood, Australia; [Ewing, Michael T.; Cooper, Holly B.] Deakin Univ, Fac Business &amp; Law, Burwood, Vic 3125, Australia</t>
  </si>
  <si>
    <t>Deakin University; Deakin University</t>
  </si>
  <si>
    <t>Cooper, HB (corresponding author), Deakin Univ, Fac Business &amp; Law, Burwood, Vic 3125, Australia.</t>
  </si>
  <si>
    <t>sagarika.mishra@deakin.edu.au; michael.ewing@deakin.edu.au; h.cooper@deakin.edu.au</t>
  </si>
  <si>
    <t>Cooper, Holly/0000-0003-0608-5239</t>
  </si>
  <si>
    <t>CAUL</t>
  </si>
  <si>
    <t>Open Access funding enabled and organized by CAUL and its Member Institutions</t>
  </si>
  <si>
    <t>0092-0703</t>
  </si>
  <si>
    <t>1552-7824</t>
  </si>
  <si>
    <t>J ACAD MARKET SCI</t>
  </si>
  <si>
    <t>J. Acad. Mark. Sci.</t>
  </si>
  <si>
    <t>10.1007/s11747-022-00876-5</t>
  </si>
  <si>
    <t>6C4NE</t>
  </si>
  <si>
    <t>WOS:000807966000001</t>
  </si>
  <si>
    <t>Shrifan, NHMM; Akbar, MF; Isa, NAM</t>
  </si>
  <si>
    <t>Shrifan, Nawaf H. M. M.; Akbar, Muhammad Firdaus; Isa, Nor Ashidi Mat</t>
  </si>
  <si>
    <t>Prospect of Using Artificial Intelligence for Microwave Nondestructive Testing Technique: A Review</t>
  </si>
  <si>
    <t>Microwave nondestructive testing; open-ended rectangular waveguides; artificial intelligence</t>
  </si>
  <si>
    <t>REINFORCED POLYMER COMPOSITES; DAMAGE; CLASSIFICATION; INSPECTION; DEFECTS; SENSITIVITY; ULTRASOUND; ALGORITHM; CRACKS; MODEL</t>
  </si>
  <si>
    <t>The development in materials technology has produced stronger, lighter, stiffer, and more durable electrically insulating composites which are replacing metals in many applications. These composites require alternative inspection techniques because the conventional nondestructive testing (NDT) techniques such as thermography, eddy currents, ultrasonic, X-ray and magnetic particles have limitations of inspecting them. Microwave NDT technique employing open-ended rectangular waveguides (OERW) has emerged as a promising approach to detect the defects in both metal and composite materials. Despite its promising results over conventional NDT techniques, OERW microwave NDT technique has shown numerous limitations in terms of poor spatial resolution due to the stand-off distance variations, inspection area irregularities and quantitative estimation in imaging the size of defects. Microwave NDT employing OERW in conjunction with robust artificial intelligence approaches have tremendous potential and viability for evaluating composite structures for the purpose mentioned here. Artificial intelligence techniques with signal processing techniques are highly possible to enhance the efficiency and resolution of microwave NDT technique because the impact of artificial intelligence approaches is proven in various conventional NDT techniques. This paper provides a comprehensive review of NDT techniques as well as the prospect of using artificial intelligence approaches in microwave NDT technique with regards to other conventional NDT techniques.</t>
  </si>
  <si>
    <t>[Shrifan, Nawaf H. M. M.; Akbar, Muhammad Firdaus; Isa, Nor Ashidi Mat] Univ Sains Malaysia, Sch Elect &amp; Elect Engn, George Town 14300, Malaysia; [Shrifan, Nawaf H. M. M.] Univ Aden, Fac Oil &amp; Minerals, Shabwah, Yemen</t>
  </si>
  <si>
    <t>Universiti Sains Malaysia</t>
  </si>
  <si>
    <t>Isa, NAM (corresponding author), Univ Sains Malaysia, Sch Elect &amp; Elect Engn, George Town 14300, Malaysia.</t>
  </si>
  <si>
    <t>ashidi@usm.my</t>
  </si>
  <si>
    <t>Shrifan, Nawaf/HKM-6057-2023; Mat Isa, Nor Ashidi/I-7826-2017</t>
  </si>
  <si>
    <t>Mat Isa, Nor Ashidi/0000-0002-2675-4914; Shrifan, Nawaf/0000-0001-7266-9270</t>
  </si>
  <si>
    <t>USM Short-Term [304/PELECT/6315298]</t>
  </si>
  <si>
    <t>USM Short-Term</t>
  </si>
  <si>
    <t>This work was supported by the USM Short-Term under Grant 304/PELECT/6315298.</t>
  </si>
  <si>
    <t>10.1109/ACCESS.2019.2934143</t>
  </si>
  <si>
    <t>IT1GC</t>
  </si>
  <si>
    <t>WOS:000482593100001</t>
  </si>
  <si>
    <t>Dien, J</t>
  </si>
  <si>
    <t>Dien, Joseph</t>
  </si>
  <si>
    <t>Editorial: Generative artificial intelligence as a plagiarism problem</t>
  </si>
  <si>
    <t>BIOLOGICAL PSYCHOLOGY</t>
  </si>
  <si>
    <t>Plagiarism; Large language models; ChatGPT; Artificial intelligence; Academic misconduct</t>
  </si>
  <si>
    <t>There is increasing concern and consternation about generative artificial intelligence (AI) programs and its potential impact on academia. This editorial addresses the potential impact of such programs on scientific publishing as it relates to the journal Biological Psychology. Using chatGPT as an example, it makes the case that a prime concern is its implications for facilitating plagiarism. It briefly outlines what is known about the algorithm of the GPT text model, and also the implications of its chatGPT front end, on being able to establish appropriate credit for ideas in text that it outputs. It is concluded that, at least for Biological Psychology, the expectation is that authors will be transparent about AI usage, will declare when AI is the source of an idea, and will redouble efforts to seek out and cite prior claims to ideas in the published literature when AI is involved.</t>
  </si>
  <si>
    <t>[Dien, Joseph] Univ Maryland, Dept Human Dev &amp; Quantitat Methodol, 3304 Benjamin Bldg, College Pk, MD 20742 USA</t>
  </si>
  <si>
    <t>University System of Maryland; University of Maryland College Park</t>
  </si>
  <si>
    <t>Dien, J (corresponding author), Univ Maryland, Dept Human Dev &amp; Quantitat Methodol, 3304 Benjamin Bldg, College Pk, MD 20742 USA.</t>
  </si>
  <si>
    <t>jdien07@mac.com</t>
  </si>
  <si>
    <t>Dien, Joseph/0000-0001-6908-2612</t>
  </si>
  <si>
    <t>0301-0511</t>
  </si>
  <si>
    <t>1873-6246</t>
  </si>
  <si>
    <t>BIOL PSYCHOL</t>
  </si>
  <si>
    <t>Biol. Psychol.</t>
  </si>
  <si>
    <t>10.1016/j.biopsycho.2023.108621</t>
  </si>
  <si>
    <t>Psychology, Biological; Behavioral Sciences; Psychology; Psychology, Experimental</t>
  </si>
  <si>
    <t>Psychology; Behavioral Sciences</t>
  </si>
  <si>
    <t>FR1B3</t>
  </si>
  <si>
    <t>WOS:001147476500001</t>
  </si>
  <si>
    <t>Kumawat, E; Datta, A; Prentice, C; Leung, R</t>
  </si>
  <si>
    <t>Kumawat, Ekta; Datta, Amit; Prentice, Catherine; Leung, Rosanna</t>
  </si>
  <si>
    <t>Artificial intelligence through the lens of hospitality employees: A systematic review</t>
  </si>
  <si>
    <t>Hospitality; Employees; TCCM; Bibliometric; PRISMA; Artificial Intelligence; AI</t>
  </si>
  <si>
    <t>TECHNOLOGY ACCEPTANCE MODEL; SELF-DETERMINATION THEORY; SERVICE; TOURISM; MOTIVATION; INDUSTRY</t>
  </si>
  <si>
    <t>The hospitality industry has undergone a comprehensive transformation with the infusion of artificial intelligence into its processes, but the employees' adoption of artificial intelligence has been scantly studied. This systematic review comprises 80 empirical articles listed in the Scopus database that study hospitality employees as key participants, which were selected using the PRISMA approach. We used bibliometric analysis to identify the most prominent countries, journals, authors, and keywords and then applied the TCCM framework to gain a deeper understanding. The synthesis draws upon various theories, characteristics, contexts, and methodologies. The prominent antecedents, outcomes, mediators, and moderators are identified while highlighting their linkage. This study will help managers, policymakers, and owners comprehensively understand AI adoption and its impact on hospitality employees. The future research agenda provides theoretical, contextual, empirical, and methodological directions paving the way for hospitality to move toward the achievement of Sustainable Development Goals (SDGs).</t>
  </si>
  <si>
    <t>[Kumawat, Ekta] Manipal Univ Jaipur, Fac Management &amp; Commerce, TAPMI Sch Business, Jaipur 303007, Rajasthan, India; [Datta, Amit] Manipal Univ Jaipur, Sch Hospitality &amp; Tourism Management, Jaipur 303007, Rajasthan, India; [Prentice, Catherine] Univ Southern Queensland, Sch Business, Springfield Campus, Springfield Cent, Australia; [Leung, Rosanna] Natl Kaohsiung Univ Hospitality &amp; Tourism, Grad Inst Hospitality Management, Kaohsiung, Taiwan</t>
  </si>
  <si>
    <t>Manipal University Jaipur; Manipal University Jaipur; University of Southern Queensland; National Kaohsiung University of Hospitality &amp; Tourism</t>
  </si>
  <si>
    <t>Datta, A (corresponding author), Manipal Univ Jaipur, Sch Hospitality &amp; Tourism Management, Jaipur 303007, Rajasthan, India.</t>
  </si>
  <si>
    <t>asiwalekta@gmail.com; amitdatta.amit@gmail.com; cathyjournalarticles@gmail.com; rosannaleung@mail.nkuht.edu.tw</t>
  </si>
  <si>
    <t>Kumawat, Ekta/KVZ-2896-2024; Prentice, Catherine/A-6403-2014; Datta, Amit/N-2784-2019</t>
  </si>
  <si>
    <t>Datta, Amit/0000-0003-3516-7970; Kumawat, Ekta/0009-0000-2329-8768</t>
  </si>
  <si>
    <t>Manipal University Jaipur, Rajasthan, India</t>
  </si>
  <si>
    <t>This work received financial support from the Manipal University Jaipur, Rajasthan, India.</t>
  </si>
  <si>
    <t>10.1016/j.ijhm.2024.103986</t>
  </si>
  <si>
    <t>M0J8X</t>
  </si>
  <si>
    <t>WOS:001354504600001</t>
  </si>
  <si>
    <t>Seligman, H; Patel, SB; Alloula, A; Howard, JP; Cook, CM; Ahmad, Y; de Waard, GA; Pinto, ME; van de Hoef, TP; Rahman, H; Kelshiker, MA; Rajkumar, CA; Foley, M; Nowbar, AN; Mehta, S; Toulemonde, M; Tang, MX; Al-Lamee, R; Sen, S; Cole, G; Nijjer, S; Escaned, J; Van Royen, N; Francis, DP; Shun-Shin, MJ; Petraco, R</t>
  </si>
  <si>
    <t>Seligman, Henry; Patel, Sapna B.; Alloula, Anissa; Howard, James P.; Cook, Christopher M.; Ahmad, Yousif; de Waard, Guus A.; Pinto, Mauro Echavarria; van de Hoef, Tim P.; Rahman, Haseeb; Kelshiker, Mihir A.; Rajkumar, Christopher A.; Foley, Michael; Nowbar, Alexandra N.; Mehta, Samay; Toulemonde, Mathieu; Tang, Meng-Xing; Al-Lamee, Rasha; Sen, Sayan; Cole, Graham; Nijjer, Sukhjinder; Escaned, Javier; Van Royen, Niels; Francis, Darrel P.; Shun-Shin, Matthew J.; Petraco, Ricardo</t>
  </si>
  <si>
    <t>Development of artificial intelligence tools for invasive Doppler-based coronary microvascular assessment</t>
  </si>
  <si>
    <t>Coronary; Doppler; Invasive; Artificial intelligence; Angina; Diagnosis</t>
  </si>
  <si>
    <t>AUTOMATED-ANALYSIS; VALIDATION; ANGINA; IMPACT</t>
  </si>
  <si>
    <t>Aims Coronary flow reserve (CFR) assessment has proven clinical utility, but Doppler-based methods are sensitive to noise and operator bias, limiting their clinical applicability. The objective of the study is to expand the adoption of invasive Doppler CFR, through the development of artificial intelligence (AI) algorithms to automatically quantify coronary Doppler quality and track flow velocity.Methods and results A neural network was trained on images extracted from coronary Doppler flow recordings to score signal quality and derive values for coronary flow velocity and CFR. The outputs were independently validated against expert consensus. Artificial intelligence successfully quantified Doppler signal quality, with high agreement with expert consensus (Spearman's rho: 0.94), and within individual experts. Artificial intelligence automatically tracked flow velocity with superior numerical agreement against experts, when compared with the current console algorithm [AI flow vs. expert flow bias -1.68 cm/s, 95% confidence interval (CI) -2.13 to -1.23 cm/s, P &lt; 0.001 with limits of agreement (LOA) -4.03 to 0.68 cm/s; console flow vs. expert flow bias -2.63 cm/s, 95% CI -3.74 to -1.52, P &lt; 0.001, 95% LOA -8.45 to -3.19 cm/s]. Artificial intelligence yielded more precise CFR values [median absolute difference (MAD) against expert CFR: 4.0% for AI and 7.4% for console]. Artificial intelligence tracked lower-quality Doppler signals with lower variability (MAD against expert CFR 8.3% for AI and 16.7% for console).Conclusion An AI-based system, trained by experts and independently validated, could assign a quality score to Doppler traces and derive coronary flow velocity and CFR. By making Doppler CFR more automated, precise, and operator-independent, AI could expand the clinical applicability of coronary microvascular assessment. [Graphical Abstract]</t>
  </si>
  <si>
    <t>[Seligman, Henry; Patel, Sapna B.; Alloula, Anissa; Howard, James P.; Kelshiker, Mihir A.; Rajkumar, Christopher A.; Foley, Michael; Nowbar, Alexandra N.; Mehta, Samay; Al-Lamee, Rasha; Sen, Sayan; Cole, Graham; Nijjer, Sukhjinder; Francis, Darrel P.; Shun-Shin, Matthew J.; Petraco, Ricardo] Imperial Coll London, Hammersmith Hosp, Natl Heart &amp; Lung Inst, B Block, London W12 0HS, England; [Seligman, Henry] Royal Brompton Hosp, Guys &amp; St Thomas NHS Fdn Trust, London, England; [Seligman, Henry] Harefield Hosp, Guys &amp; St Thomas NHS Fdn Trust, London, England; [Howard, James P.; Kelshiker, Mihir A.; Rajkumar, Christopher A.; Foley, Michael; Al-Lamee, Rasha; Sen, Sayan; Cole, Graham; Nijjer, Sukhjinder; Francis, Darrel P.; Shun-Shin, Matthew J.; Petraco, Ricardo] Hammersmith Hosp, Imperial Coll Healthcare NHS Trust, London W12 0HS, England; [Cook, Christopher M.] Essex Cardiothorac Ctr, Basildon, Essex, England; [Cook, Christopher M.] Anglia Ruskin Univ, Chelmsford, England; [Ahmad, Yousif] Yale Univ, Yale Sch Med, New Haven, CT USA; [de Waard, Guus A.; van de Hoef, Tim P.] Amsterdam Univ Med Ctr, Heart Ctr, Amsterdam, Netherlands; [Pinto, Mauro Echavarria] Autonomous Univ Queretaro, Hosp Gen ISSSTE Queretaro, Fac Med, Queretaro, Mexico; [Rahman, Haseeb] Kings Coll London, St Thomas Hosp, British Heart Fdn Ctr Excellence, Sch Cardiovasc Med &amp; Sci,Med Sch, London, England; [Rahman, Haseeb] Kings Coll London, St Thomas Hosp, Natl Inst Hlth &amp; Care Res, Biomed Res Ctr Sch Cardiovasc Med &amp; Sci,Med Sch, London, England; [Toulemonde, Mathieu; Tang, Meng-Xing] Imperial Coll London, Dept Bioengn, London, England; [Escaned, Javier] Hosp Clin San Carlos IDISSC, Madrid, Spain; [Escaned, Javier] Univ Complutense Madrid, Madrid, Spain; [Van Royen, Niels] Radboud Univ Nijmegen, Med Ctr, Radboud Inst Mol Life Sci, Nijmegen, Netherlands</t>
  </si>
  <si>
    <t>Imperial College London; Guy's &amp; St Thomas' NHS Foundation Trust; Royal Brompton Hospital; Royal Brompton &amp; Harefield NHS Foundation Trust; Harefield Hospital; Guy's &amp; St Thomas' NHS Foundation Trust; Imperial College London; Anglia Ruskin University; Yale University; Universidad Autonoma de Queretaro; University of London; King's College London; Guy's &amp; St Thomas' NHS Foundation Trust; Guy's &amp; St Thomas' NHS Foundation Trust; University of London; King's College London; Imperial College London; Hospital Clinico San Carlos; Complutense University of Madrid; Radboud University Nijmegen</t>
  </si>
  <si>
    <t>Petraco, R (corresponding author), Imperial Coll London, Hammersmith Hosp, Natl Heart &amp; Lung Inst, B Block, London W12 0HS, England.;Petraco, R (corresponding author), Hammersmith Hosp, Imperial Coll Healthcare NHS Trust, London W12 0HS, England.</t>
  </si>
  <si>
    <t>r.petraco@imperial.ac.uk</t>
  </si>
  <si>
    <t>Howard, James/B-8582-2012; Tang, Mengxing/N-3417-2014; Shun-Shin, Matthew/ABU-4488-2022; Ahmad, Yousif/AAX-5548-2021</t>
  </si>
  <si>
    <t>Alloula, Anissa/0000-0003-1525-3994; Tang, Meng-Xing/0000-0003-2511-1287; Shun-Shin, Matthew/0000-0002-1179-0867; JAVIER, ESCANED/0000-0003-4932-0112; Francis, Darrel/0000-0002-3410-0814</t>
  </si>
  <si>
    <t>Medical Research Council (United Kingdom) [MR/S021108/1, MR/V001620/1]; NIHR Academy; British Heart Foundation [FS/11/46/28861, FS 04/ 079, FS/ICRF/22/26039, FS/14/27/30752]; Imperial NIHR Biomedical Research Centre [PA3065]; MRC [MR/V001620/1, MR/S021108/1] Funding Source: UKRI</t>
  </si>
  <si>
    <t>Medical Research Council (United Kingdom)(UK Research &amp; Innovation (UKRI)Medical Research Council UK (MRC)); NIHR Academy; British Heart Foundation(British Heart Foundation); Imperial NIHR Biomedical Research Centre(National Institutes of Health Research (NIHR)); MRC(UK Research &amp; Innovation (UKRI)Medical Research Council UK (MRC))</t>
  </si>
  <si>
    <t>C.A.R. (MR/S021108/1) and M.F. (MR/V001620/1) are supported by the Medical Research Council (United Kingdom). A.N.N. was supported by the NIHR Academy. R.P. (FS/11/46/28861), D.P.F. (FS 04/ 079), J.P.H. (FS/ICRF/22/26039) and M.J.S.-S. (FS/14/27/30752) were supported by the British Heart Foundation. H.S. was supported by the Imperial NIHR Biomedical Research Centre (PA3065). The authors are grateful to the Imperial NIHR Biomedical Research Centre for infrastructural support.</t>
  </si>
  <si>
    <t>AUG 2</t>
  </si>
  <si>
    <t>10.1093/ehjdh/ztad030</t>
  </si>
  <si>
    <t>DE6H7</t>
  </si>
  <si>
    <t>WOS:001130388000003</t>
  </si>
  <si>
    <t>Arslan, J; Benke, KK</t>
  </si>
  <si>
    <t>Arslan, Janan; Benke, Kurt K.</t>
  </si>
  <si>
    <t>Artificial Intelligence and Telehealth may Provide Early Warning of Epidemics</t>
  </si>
  <si>
    <t>artificial intelligence; COVID-19; telehealth; virus; digital disease detection; epidemiology; pattern recognition</t>
  </si>
  <si>
    <t>SURVEILLANCE TOOLS; SOCIAL MEDIA; DISEASE</t>
  </si>
  <si>
    <t>The COVID-19 pandemic produced a very sudden and serious impact on public health around the world, greatly adding to the burden of overloaded professionals and national medical systems. Recent medical research has demonstrated the value of using online systems to predict emerging spatial distributions of transmittable diseases. Concerned internet users often resort to online sources in an effort to explain their medical symptoms. This raises the prospect that incidence of COVID-19 may be tracked online by search queries and social media posts analyzed by advanced methods in data science, such as Artificial Intelligence. Online queries can provide early warning of an impending epidemic, which is valuable information needed to support planning timely interventions. Identification of the location of clusters geographically helps to support containment measures by providing information for decision-making and modeling.</t>
  </si>
  <si>
    <t>[Arslan, Janan] Univ Melbourne, Ctr Eye Res Australia, Royal Victorian Eye &amp; Ear Hosp, East Melbourne, Vic, Australia; [Arslan, Janan] Univ Melbourne, Ophthalmol, Dept Surg, Melbourne, Vic, Australia; [Benke, Kurt K.] Univ Melbourne, Sch Engn, Parkville, Vic, Australia</t>
  </si>
  <si>
    <t>University of Melbourne; Centre for Eye Research Australia; Royal Victorian Eye &amp; Ear Hospital; University of Melbourne; University of Melbourne</t>
  </si>
  <si>
    <t>Arslan, J (corresponding author), Univ Melbourne, Ctr Eye Res Australia, Royal Victorian Eye &amp; Ear Hosp, East Melbourne, Vic, Australia.;Arslan, J (corresponding author), Univ Melbourne, Ophthalmol, Dept Surg, Melbourne, Vic, Australia.</t>
  </si>
  <si>
    <t>janan.arslan@unimelb.edu.au</t>
  </si>
  <si>
    <t>Arslan, Janan/AAA-7160-2022</t>
  </si>
  <si>
    <t>Arslan, Janan/0000-0003-2683-3775</t>
  </si>
  <si>
    <t>RB McComas Research Scholarship in Ophthalmology from the University of Melbourne</t>
  </si>
  <si>
    <t>JA is supported by the RB McComas Research Scholarship in Ophthalmology from the University of Melbourne.</t>
  </si>
  <si>
    <t>10.3389/frai.2021.556848</t>
  </si>
  <si>
    <t>WOS:000751704800007</t>
  </si>
  <si>
    <t>Uchikov, P; Khalid, U; Vankov, N; Kraeva, M; Kraev, K; Hristov, B; Sandeva, M; Dragusheva, S; Chakarov, D; Petrov, P; Dobreva-Yatseva, B; Novakov, I</t>
  </si>
  <si>
    <t>Uchikov, Petar; Khalid, Usman; Vankov, Nikola; Kraeva, Maria; Kraev, Krasimir; Hristov, Bozhidar; Sandeva, Milena; Dragusheva, Snezhanka; Chakarov, Dzhevdet; Petrov, Petko; Dobreva-Yatseva, Bistra; Novakov, Ivan</t>
  </si>
  <si>
    <t>The Role of Artificial Intelligence in the Diagnosis and Treatment of Ulcerative Colitis</t>
  </si>
  <si>
    <t>artificial intelligence; ulcerative colitis; diagnosis; inflammatory bowel disease; artificial neural networks</t>
  </si>
  <si>
    <t>INFLAMMATORY-BOWEL-DISEASE; CLASSIFICATION</t>
  </si>
  <si>
    <t>Background and objectives: This review aims to delve into the role of artificial intelligence in medicine. Ulcerative colitis (UC) is a chronic, inflammatory bowel disease (IBD) characterized by superficial mucosal inflammation, rectal bleeding, diarrhoea and abdominal pain. By identifying the challenges inherent in UC diagnosis, we seek to highlight the potential impact of artificial intelligence on enhancing both diagnosis and treatment methodologies for this condition. Method: A targeted, non-systematic review of literature relating to ulcerative colitis was undertaken. The PubMed and Scopus databases were searched to categorize a well-rounded understanding of the field of artificial intelligence and its developing role in the diagnosis and treatment of ulcerative colitis. Articles that were thought to be relevant were included. This paper only included articles published in English. Results: Artificial intelligence (AI) refers to computer algorithms capable of learning, problem solving and decision-making. Throughout our review, we highlighted the role and importance of artificial intelligence in modern medicine, emphasizing its role in diagnosis through AI-assisted endoscopies and histology analysis and its enhancements in the treatment of ulcerative colitis. Despite these advances, AI is still hindered due to its current lack of adaptability to real-world scenarios and its difficulty in widespread data availability, which hinders the growth of AI-led data analysis. Conclusions: When considering the potential of artificial intelligence, its ability to enhance patient care from a diagnostic and therapeutic perspective shows signs of promise. For the true utilization of artificial intelligence, some roadblocks must be addressed. The datasets available to AI may not truly reflect the real-world, which would prevent its impact in all clinical scenarios when dealing with a spectrum of patients with different backgrounds and presenting factors. Considering this, the shift in medical diagnostics and therapeutics is coinciding with evolving technology. With a continuous advancement in artificial intelligence programming and a perpetual surge in patient datasets, these networks can be further enhanced and supplemented with a greater cohort, enabling better outcomes and prediction models for the future of modern medicine.</t>
  </si>
  <si>
    <t>[Uchikov, Petar; Novakov, Ivan] Med Univ Plovdiv, Fac Med, Dept Special Surg, Plovdiv 4000, Bulgaria; [Khalid, Usman] Med Univ Plovdiv, Fac Med, Plovdiv 4000, Bulgaria; [Vankov, Nikola] Univ Multiprofile Hosp Act Treatment St George, Plovdiv 4000, Bulgaria; [Kraeva, Maria] Med Univ Plovdiv, Med Fac, Dept Otorhynolaryngol, Plovdiv 4000, Bulgaria; [Kraev, Krasimir] Med Univ Plovdiv, Med Fac, Dept Propedeut Internal Dis, Plovdiv 4000, Bulgaria; [Hristov, Bozhidar] Med Univ Plovdiv, Med Fac, Dept Internal Dis 2, Sect Gastroenterol, Plovdiv 4000, Bulgaria; [Sandeva, Milena] Med Univ Plovdiv, Fac Publ Hlth, Dept Midwifery, Plovdiv 4000, Bulgaria; [Dragusheva, Snezhanka] Med Univ Plovdiv, Fac Publ Hlth, Dept Nursing Care, Plovdiv 4000, Bulgaria; [Dragusheva, Snezhanka] Med Univ Plovdiv, Med Fac, Dept Anesthesiol Emergency &amp; Intens Care Med, Plovdiv 4000, Bulgaria; [Chakarov, Dzhevdet] Med Univ Plovdiv, Fac Med, Dept Propaedeut Surg Dis, Sect Gen Surg, Plovdiv 4002, Bulgaria; [Petrov, Petko] Med Univ Plovdiv, Fac Dent Med, Dept Maxillofacial Surg, Plovdiv 4000, Bulgaria; [Dobreva-Yatseva, Bistra] Med Univ Plovdiv, Med Fac, Dept Internal Dis 1, Sect Cardiol, Plovdiv 4000, Bulgaria</t>
  </si>
  <si>
    <t>Medical University Plovdiv; Medical University Plovdiv; Medical University Plovdiv; Medical University Plovdiv; Medical University Plovdiv; Medical University Plovdiv; Medical University Plovdiv; Medical University Plovdiv; Medical University Plovdiv; Medical University Plovdiv; Medical University Plovdiv; Medical University Plovdiv</t>
  </si>
  <si>
    <t>Kraev, K (corresponding author), Med Univ Plovdiv, Med Fac, Dept Propedeut Internal Dis, Plovdiv 4000, Bulgaria.</t>
  </si>
  <si>
    <t>puchikov@yahoo.com; usmankhalid957@gmail.com; nikola.vankov@mail.bg; kraevamaria93@gmail.com; kkraev@hotmail.com; hristov.bozhidar@abv.bg; sandewa@abv.bg; sdragusheva68@gmail.com; dchakarov@mail.bg; petkogpetrov0@gmail.com; bistra.yatseva@mu-plovdiv.bg; inovakov2003@yahoo.com</t>
  </si>
  <si>
    <t>Kraeva, Maria/LUY-6860-2024; Kraev, Krasimir/AAU-7544-2020; Dinkova, Atanaska/H-3630-2016</t>
  </si>
  <si>
    <t>Kraev, Krasimir/0000-0002-1155-117X; Dinkova, Atanaska/0000-0003-2790-9356; Khalid, Usman/0009-0004-9425-2539; Hristov, Bozhidar/0000-0002-2943-1766</t>
  </si>
  <si>
    <t>10.3390/diagnostics14101004</t>
  </si>
  <si>
    <t>SF4W7</t>
  </si>
  <si>
    <t>WOS:001233039500001</t>
  </si>
  <si>
    <t>Yang, YL</t>
  </si>
  <si>
    <t>Yang, Yanli</t>
  </si>
  <si>
    <t>Research on the New Capability Structure of University Accounting Talents under the Background of Artificial Intelligence and Blockchain</t>
  </si>
  <si>
    <t>2020 3RD INTERNATIONAL CONFERENCE ON SMART BLOCKCHAIN (SMARTBLOCK)</t>
  </si>
  <si>
    <t>3rd International Conference on Smart BlockChain (IEEE SmartBlock)</t>
  </si>
  <si>
    <t>OCT 23-25, 2020</t>
  </si>
  <si>
    <t>Zhengzhou, PEOPLES R CHINA</t>
  </si>
  <si>
    <t>IEEE,IEEE Comp Soc,IEEE TCSC,IEEE STC Smart Comp,Zhengzhou Normal Univ,China Comp Federat,Alliance Emerging Engn Educ Informat Technologies,Longxiang High Tech Grp Inc,N Amer Chinese Talents Assoc,Henan Blockchain Res Inst,Min Meng Henan Comm</t>
  </si>
  <si>
    <t>Artificial intelligence; Blockchain; College Accounting; Capability structure</t>
  </si>
  <si>
    <t>The widespread application of blockchain technology and artificial intelligence in the field of accounting will replace many manual tasks, which will have a great impact on the training of accounting professionals in colleges and universities, mainly focused on training skilled personnel. Therefore, it is of great significance to study the impact of blockchain and artificial intelligence on the accounting professionals in universities and their corresponding ability structure. Defining the application stage of artificial intelligence and blockchain in the field of finance and accounting from the perspective of technology implementation, we can clarify the functional characteristics of artificial intelligence and blockchain in this field; By analyzing the development process of artificial intelligence and blockchain in the field of finance and accounting with non-technical factors, it can be judged that it has an achievable development stage. And on this basis, the author put forward specific suggestions for the ability structure training of future accounting professionals.</t>
  </si>
  <si>
    <t>[Yang, Yanli] Zhengzhou Normal Univ, Zhengzhou 450044, Peoples R China</t>
  </si>
  <si>
    <t>Zhengzhou Normal University</t>
  </si>
  <si>
    <t>Yang, YL (corresponding author), Zhengzhou Normal Univ, Zhengzhou 450044, Peoples R China.</t>
  </si>
  <si>
    <t>1019398616@qq.com</t>
  </si>
  <si>
    <t>978-1-6654-4073-8</t>
  </si>
  <si>
    <t>10.1109/SmartBlock52591.2020.00018</t>
  </si>
  <si>
    <t>Computer Science, Artificial Intelligence; Computer Science, Information Systems; Computer Science, Interdisciplinary Applications; Computer Science, Theory &amp; Methods</t>
  </si>
  <si>
    <t>BT7HC</t>
  </si>
  <si>
    <t>WOS:000848522000011</t>
  </si>
  <si>
    <t>Akazawa, M; Hashimoto, K</t>
  </si>
  <si>
    <t>Akazawa, Munetoshi; Hashimoto, Kazunori</t>
  </si>
  <si>
    <t>Prediction of preterm birth using artificial intelligence: a systematic review</t>
  </si>
  <si>
    <t>JOURNAL OF OBSTETRICS AND GYNAECOLOGY</t>
  </si>
  <si>
    <t>Artificial intelligence; preterm birth; preterm labour; probability learning; systematic review; prediction</t>
  </si>
  <si>
    <t>QUANTITATIVE FETAL FIBRONECTIN; RISK; VALIDATION; ALGORITHM; LENGTH; TOOL</t>
  </si>
  <si>
    <t>Preterm birth is the leading cause of neonatal death. It is challenging to predict preterm birth. We elucidated the state of artificial intelligence research on the prediction of preterm birth, clarifying the predictive values and accuracy. We performed a systematic review using three databases (PubMed, Web of Science, and Scopus) in August 2020, with keywords as 'artificial intelligence,' 'deep learning,' 'machine learning,' and 'neural network' combined with 'preterm birth'. We included 22 publications between 2010 and 2020. Regarding the predictive values, electrohysterogram images were mostly used, followed by the biological profiles, the metabolic panel in amniotic fluid or maternal blood, and the cervical images on the ultrasound examination. The size of dataset in most studies was hundred cases and too small for learning, although only three studies used the medical database over a hundred thousand cases. The accuracy was better in the studies using the metabolic panel and electrohysterogram images. Impact statement What is already known on this subject? Preterm birth is the leading cause of newborn morbidity and mortality. Presently, the prediction of preterm birth in individual cases is still challenging. What the results of this study add? Using artificial intelligence such as deep learning and machine learning models, clinical data could lead to accurate prediction of preterm birth. What the implications are of these findings for clinical practice and/or further research? The size of the datasets was too small for the models using artificial intelligence in the previous studies. Big data should be prepared for the future studies.</t>
  </si>
  <si>
    <t>[Akazawa, Munetoshi; Hashimoto, Kazunori] Tokyo Womens Med Univ, Dept Obstet &amp; Gynecol, Med Ctr East, Tokyo, Japan</t>
  </si>
  <si>
    <t>Tokyo Women's Medical University</t>
  </si>
  <si>
    <t>Akazawa, M (corresponding author), Nishiogu 2-1-10,Arakawa Ku, Tokyo, Japan.</t>
  </si>
  <si>
    <t>navirez@yahoo.co.jp</t>
  </si>
  <si>
    <t>0144-3615</t>
  </si>
  <si>
    <t>1364-6893</t>
  </si>
  <si>
    <t>J OBSTET GYNAECOL</t>
  </si>
  <si>
    <t>J. Obstet. Gynaecol.</t>
  </si>
  <si>
    <t>AUG 18</t>
  </si>
  <si>
    <t>10.1080/01443615.2022.2056828</t>
  </si>
  <si>
    <t>4W1YA</t>
  </si>
  <si>
    <t>WOS:000804611000001</t>
  </si>
  <si>
    <t>Ryzhkova, M; Soboleva, E; Sazonova, A; Chikov, M</t>
  </si>
  <si>
    <t>Vankevich, A; Ilina, T</t>
  </si>
  <si>
    <t>Ryzhkova, Marina; Soboleva, Ekaterina; Sazonova, Anastasia; Chikov, Mikhail</t>
  </si>
  <si>
    <t>Consumers' Perception of Artificial Intelligence in Banking Sector</t>
  </si>
  <si>
    <t>XVII INTERNATIONAL CONFERENCE OF STUDENTS AND YOUNG SCIENTISTS PROSPECTS OF FUNDAMENTAL SCIENCES DEVELOPMENT (PFSD-2020)</t>
  </si>
  <si>
    <t>SHS Web of Conferences</t>
  </si>
  <si>
    <t>17th International Conference of Students and Young Scientists - Prospects of Fundamental Sciences Development (PFSD)</t>
  </si>
  <si>
    <t>APR 24-27, 2020</t>
  </si>
  <si>
    <t>artificial intelligence; banking; resistance to digitalization</t>
  </si>
  <si>
    <t>In the article, we analyze the impact of artificial intelligence (AI) on banking development. Banks implement AI to provide digital assistance and financial advice to clients, measure their financial standing etc. The paper also includes cases of the AI solutions marketing and some ideas of brand-new banking AI-based services. Despite the rapid spreading of AI across the different spheres, its efficiency is based, primarily, on consumers' attitude and loyalty to this technology. Our research shows that Russian business and consumers perceive AI in a positive light. Sberbank specialists have a positive attitude to the AI implementation in their work, consider these solutions as assistance in performing routine operations and are not afraid of dismissals. They use AI solutions both at work and in everyday life. The emerging fears are associated with possible technical failure, unauthorized transmission of personal data, lack of privacy, and unexpected consequences of AI implementation. However, in general, experts understand that the future of the financial sector is connected with this technology. According to Sberbank employees, consumers tend to demonstrate a certain level of mistrust to AI, which could result from misunderstanding of how this technology works, and what impact it has on their ways of life. Meanwhile, the level of AI resistance from both sides decreases with time. Therefore, state and financial mediators could create necessary conditions for banking development based on modern technologies.</t>
  </si>
  <si>
    <t>[Ryzhkova, Marina; Soboleva, Ekaterina; Sazonova, Anastasia; Chikov, Mikhail] Natl Res Tomsk State Univ, 36 Lenin Ave, Tomsk 634050, Russia; [Ryzhkova, Marina] Natl Res Tomsk Polytech Univ, 30 Lenin Ave, Tomsk 634050, Russia</t>
  </si>
  <si>
    <t>Tomsk State University; Tomsk Polytechnic University</t>
  </si>
  <si>
    <t>Ryzhkova, M (corresponding author), Natl Res Tomsk State Univ, 36 Lenin Ave, Tomsk 634050, Russia.;Ryzhkova, M (corresponding author), Natl Res Tomsk Polytech Univ, 30 Lenin Ave, Tomsk 634050, Russia.</t>
  </si>
  <si>
    <t>marybox@inbox.ru</t>
  </si>
  <si>
    <t>Chikov, Mikhail/U-3606-2019; Soboleva, Ekaterina/O-6895-2014; Ryzhkova, Marina/P-2172-2015</t>
  </si>
  <si>
    <t>Ryzhkova, Marina/0000-0002-0107-8016</t>
  </si>
  <si>
    <t>RFBR [19-010-00352]</t>
  </si>
  <si>
    <t>The reported study was funded by RFBR according to the research project. 19-010-00352: Scenarios of overcoming the consumer digitalization resistance on digital platforms market.</t>
  </si>
  <si>
    <t>E D P SCIENCES</t>
  </si>
  <si>
    <t>CEDEX A</t>
  </si>
  <si>
    <t>17 AVE DU HOGGAR PARC D ACTIVITES COUTABOEUF BP 112, F-91944 CEDEX A, FRANCE</t>
  </si>
  <si>
    <t>2261-2424</t>
  </si>
  <si>
    <t>SHS WEB CONF</t>
  </si>
  <si>
    <t>10.1051/shsconf/20208001019</t>
  </si>
  <si>
    <t>Business; Development Studies; Economics</t>
  </si>
  <si>
    <t>BR0XR</t>
  </si>
  <si>
    <t>WOS:000631256200019</t>
  </si>
  <si>
    <t>Jiang, MLD; Lam, A; Lam, L; Kovoor, J; Inglis, J; Shakib, S; Smith, W; Abou-Hamden, A; Bacchi, S</t>
  </si>
  <si>
    <t>Jiang, Melinda; Lam, Antoinette; Lam, Lydia; Kovoor, Joshua; Inglis, Joshua; Shakib, Sepehr; Smith, William; Abou-Hamden, Amal; Bacchi, Stephen</t>
  </si>
  <si>
    <t>Artificial intelligence and the potential for perioperative delabeling of penicillin allergies for neurosurgery inpatients</t>
  </si>
  <si>
    <t>BRITISH JOURNAL OF NEUROSURGERY</t>
  </si>
  <si>
    <t>Artificial intelligence; neurosurgery; penicillin; allergy; delabeling</t>
  </si>
  <si>
    <t>Purpose of the articlePatients with penicillin allergy labels are more likely to have postoperative wound infections. When penicillin allergy labels are interrogated, a significant number of individuals do not have penicillin allergies and may be delabeled. This study was conducted to gain preliminary evidence into the potential role of artificial intelligence in assisting with perioperative penicillin adverse reaction (AR) evaluation.Material and methodsA single-centre retrospective cohort study of consecutive emergency and elective neurosurgery admissions was conducted over a two-year period. Previously derived artificial intelligence algorithms for the classification of penicillin AR were applied to the data.ResultsThere were 2063 individual admissions included in the study. The number of individuals with penicillin allergy labels was 124; one patient had a penicillin intolerance label. Of these labels, 22.4% were not consistent with classifications using expert criteria. When the artificial intelligence algorithm was applied to the cohort, the algorithm maintained a high level of classification performance (classification accuracy 98.1% for allergy versus intolerance classification).ConclusionsPenicillin allergy labels are common among neurosurgery inpatients. Artificial intelligence can accurately classify penicillin AR in this cohort, and may assist in identifying patients suitable for delabeling.</t>
  </si>
  <si>
    <t>[Jiang, Melinda; Lam, Antoinette; Lam, Lydia; Kovoor, Joshua; Smith, William] Royal Adelaide Hosp, Dept Immunol, Adelaide, SA, Australia; [Jiang, Melinda; Lam, Antoinette; Lam, Lydia; Kovoor, Joshua; Inglis, Joshua; Shakib, Sepehr; Smith, William; Abou-Hamden, Amal; Bacchi, Stephen] Univ Adelaide, Fac Hlth &amp; Med Sci, Adelaide, SA, Australia; [Inglis, Joshua; Shakib, Sepehr] Royal Adelaide Hosp, Dept Clin Pharmacol, Adelaide, SA, Australia; [Abou-Hamden, Amal] Flinders Med Ctr, Dept Neurosurg, Adelaide, SA, Australia; [Bacchi, Stephen] Flinders Med Ctr, Dept Neurol, Adelaide, SA, Australia; [Bacchi, Stephen] Royal Adelaide Hosp, Dept Neurol, Adelaide, SA, Australia</t>
  </si>
  <si>
    <t>Royal Adelaide Hospital; University of Adelaide; Royal Adelaide Hospital; Flinders Medical Centre; Flinders Medical Centre; Royal Adelaide Hospital</t>
  </si>
  <si>
    <t>Jiang, MLD (corresponding author), Royal Adelaide Hosp, Immunol Dept, Port Rd, Adelaide, SA 5000, Australia.</t>
  </si>
  <si>
    <t>Smith, William/JND-9465-2023</t>
  </si>
  <si>
    <t>Bacchi, Stephen/0000-0001-5130-8628</t>
  </si>
  <si>
    <t>0268-8697</t>
  </si>
  <si>
    <t>1360-046X</t>
  </si>
  <si>
    <t>BRIT J NEUROSURG</t>
  </si>
  <si>
    <t>Br. J. Neurosurg.</t>
  </si>
  <si>
    <t>2023 FEB 15</t>
  </si>
  <si>
    <t>10.1080/02688697.2023.2173724</t>
  </si>
  <si>
    <t>Clinical Neurology; Surgery</t>
  </si>
  <si>
    <t>Neurosciences &amp; Neurology; Surgery</t>
  </si>
  <si>
    <t>9A8IS</t>
  </si>
  <si>
    <t>WOS:000934295500001</t>
  </si>
  <si>
    <t>Fernández, JMM; Moreno, JJG; Vergara-González, EP; Iglesias, GA</t>
  </si>
  <si>
    <t>Mesa Fernandez, Jose Manuel; Gonzalez Moreno, Juan Jose; Vergara-Gonzalez, Eliseo P.; Alonso Iglesias, Guillermo</t>
  </si>
  <si>
    <t>Bibliometric Analysis of the Application of Artificial Intelligence Techniques to the Management of Innovation Projects</t>
  </si>
  <si>
    <t>research; innovation; artificial intelligence; project management</t>
  </si>
  <si>
    <t>Due to their specific characteristics, innovation projects are developed in contexts with great volatility, uncertainty, complexity, and even ambiguity. Project management has needed to adopt changes to ensure success in this type of project. Artificial intelligence (AI) techniques are being used in these changing environments to increase productivity. This work collected and analyzed those areas of technological innovation project management, such as risk management, costs, and deadlines, in which the application of artificial-intelligence techniques is having the greatest impact. With this objective, a search was carried out in the Scopus database including the three areas involved, that is, artificial intelligence, project management, and research and innovation. The resulting document set was analyzed using the co-word bibliographic method. Then, the results obtained were analyzed first from a global point of view and then specifically for each of the domains that the Project Management Institute (PMI) defines in project management. Some of the findings obtained indicate that sectors such as construction, software and product development, and systems such as knowledge management or decision-support systems have studied and applied the possibilities of artificial intelligence more intensively.</t>
  </si>
  <si>
    <t>[Mesa Fernandez, Jose Manuel; Gonzalez Moreno, Juan Jose; Vergara-Gonzalez, Eliseo P.; Alonso Iglesias, Guillermo] Univ Oviedo, Dept Min Exploitat &amp; Prospecting, Project Engn Area, Independencia St 13, Oviedo 33004, Spain</t>
  </si>
  <si>
    <t>University of Oviedo</t>
  </si>
  <si>
    <t>Fernández, JMM (corresponding author), Univ Oviedo, Dept Min Exploitat &amp; Prospecting, Project Engn Area, Independencia St 13, Oviedo 33004, Spain.</t>
  </si>
  <si>
    <t>jmmesa@uniovi.es</t>
  </si>
  <si>
    <t>Ruiz-Moreno, José/E-4644-2016; Mesa Fernandez, Jose Manuel/A-4994-2010</t>
  </si>
  <si>
    <t>Mesa Fernandez, Jose Manuel/0000-0002-0754-7426; Alonso Iglesias, Guillermo/0000-0003-4282-0376</t>
  </si>
  <si>
    <t>Regional Ministry of Science and Innovation; University of the Principality of Asturias [AYUD/2021/50953]</t>
  </si>
  <si>
    <t>Regional Ministry of Science and Innovation(Ministry of Science and Innovation, Spain (MICINN)); University of the Principality of Asturias</t>
  </si>
  <si>
    <t>This study was funded by the Regional Ministry of Science and Innovation and the University of the Principality of Asturias (grant number AYUD/2021/50953).</t>
  </si>
  <si>
    <t>10.3390/app122211743</t>
  </si>
  <si>
    <t>6J8OV</t>
  </si>
  <si>
    <t>WOS:000887078700001</t>
  </si>
  <si>
    <t>Zhang, QP; Yang, JN</t>
  </si>
  <si>
    <t>Zhang, Qingpeng; Yang, Jiannan</t>
  </si>
  <si>
    <t>Knowledge-enhanced Artificial Intelligence in Drug Discovery (KAIDD)</t>
  </si>
  <si>
    <t>PROCEEDINGS OF THE 32ND ACM INTERNATIONAL CONFERENCE ON INFORMATION AND KNOWLEDGE MANAGEMENT, CIKM 2023</t>
  </si>
  <si>
    <t>32nd ACM International Conference on Information and Knowledge Management (CIKM)</t>
  </si>
  <si>
    <t>OCT 21-25, 2023</t>
  </si>
  <si>
    <t>Birmingham, ENGLAND</t>
  </si>
  <si>
    <t>Assoc Comp Machinery,ACM Special Interest Grp Informat Retrieval,ACM SIGWEB</t>
  </si>
  <si>
    <t>Artificial intelligence; Drug discovery; Knowledge-enhanced model; Explainable deep learning model</t>
  </si>
  <si>
    <t>Artificial Intelligence (AI) in drug discovery is a rapidly evolving field that combines computational methods with biological knowledge and applications. Traditionally, the process of developing a new drug has been time-consuming and expensive, spanning several years and costing billions of dollars. The emergence of AI technologies offers the potential to significantly reduce both the timeline and cost involved in this critical endeavour. However, it is crucial to acknowledge that AI applications in pharmacy and drug discovery require a high degree of interpretability and transparency. The integration of domain knowledge into AI models becomes paramount to ensure the reliability and trustworthiness of the generated results. In light of these considerations, we propose a workshop on Knowledge-enhanced Artificial Intelligence in Drug Discovery (KAIDD). This workshop aims to explore the profound impact of incorporating various knowledge databases into the development of explainable AI models for drug discovery. Participants will have the opportunity to delve into cutting-edge research, methodologies, and practical applications that leverage the fusion of AI techniques with domain-specific knowledge. Authors of accepted papers will have the opportunity to submit extended versions of their work for a full-paper review process and potential publication in Philosophical Transactions of the Royal Society B.</t>
  </si>
  <si>
    <t>[Zhang, Qingpeng; Yang, Jiannan] Univ Hong Kong, Hong Kong, Peoples R China</t>
  </si>
  <si>
    <t>University of Hong Kong</t>
  </si>
  <si>
    <t>Zhang, QP (corresponding author), Univ Hong Kong, Hong Kong, Peoples R China.</t>
  </si>
  <si>
    <t>qpzhang@hku.hk; jiannan.yang@my.cityu.edu.hk</t>
  </si>
  <si>
    <t>Yang, Jiannan/LFV-5687-2024; Zhang, Qingpeng/D-4682-2011</t>
  </si>
  <si>
    <t>YANG, Jiannan/0000-0002-0964-3462; Zhang, Qingpeng/0000-0002-6819-0686</t>
  </si>
  <si>
    <t>979-8-4007-0124-5</t>
  </si>
  <si>
    <t>10.1145/3583780.3615309</t>
  </si>
  <si>
    <t>BW5IO</t>
  </si>
  <si>
    <t>WOS:001161549505078</t>
  </si>
  <si>
    <t>Ciet, P; Eade, C; Ho, ML; Laborie, LB; Mahomed, N; Naidoo, J; Pace, E; Segal, B; Toso, S; Tschauner, S; Vamyanmane, DK; Wagner, MW; Shelmerdine, SC</t>
  </si>
  <si>
    <t>Ciet, Pierluigi; Eade, Christine; Ho, Mai-Lan; Laborie, Lene Bjerke; Mahomed, Nasreen; Naidoo, Jaishree; Pace, Erika; Segal, Bradley; Toso, Seema; Tschauner, Sebastian; Vamyanmane, Dhananjaya K.; Wagner, Matthias W.; Shelmerdine, Susan C.</t>
  </si>
  <si>
    <t>The unintended consequences of artificial intelligence in paediatric radiology</t>
  </si>
  <si>
    <t>Artificial intelligence; Child; Machine learning; Radiology</t>
  </si>
  <si>
    <t>IMAGING DATA</t>
  </si>
  <si>
    <t>Over the past decade, there has been a dramatic rise in the interest relating to the application of artificial intelligence (AI) in radiology. Originally only 'narrow' AI tasks were possible; however, with increasing availability of data, teamed with ease of access to powerful computer processing capabilities, we are becoming more able to generate complex and nuanced prediction models and elaborate solutions for healthcare. Nevertheless, these AI models are not without their failings, and sometimes the intended use for these solutions may not lead to predictable impacts for patients, society or those working within the healthcare profession. In this article, we provide an overview of the latest opinions regarding AI ethics, bias, limitations, challenges and considerations that we should all contemplate in this exciting and expanding field, with a special attention to how this applies to the unique aspects of a paediatric population. By embracing AI technology and fostering a multidisciplinary approach, it is hoped that we can harness the power AI brings whilst minimising harm and ensuring a beneficial impact on radiology practice.</t>
  </si>
  <si>
    <t>[Ciet, Pierluigi] Erasmus MC, Sophias Childrens Hosp, Dept Radiol &amp; Nucl Med, Rotterdam, Netherlands; [Ciet, Pierluigi] Univ Cagliari, Dept Med Sci, Cagliari, Italy; [Eade, Christine] Royal Cornwall Hosp Trust, Truro, Cornwall, England; [Ho, Mai-Lan] Univ Missouri, Columbia, MO USA; [Laborie, Lene Bjerke] Haukeland Hosp, Sect Paediat, Dept Radiol, Bergen, Norway; [Laborie, Lene Bjerke] Univ Bergen, Dept Clin Med, Bergen, Norway; [Mahomed, Nasreen; Segal, Bradley] Univ Witwatersrand, Dept Radiol, Johannesburg, South Africa; [Naidoo, Jaishree] Dr J Naidoo Inc, Paediat Diagnost Imaging, Johannesburg, South Africa; [Naidoo, Jaishree] Envisionit Deep Ltd, Coveham House,Downside Bridge Rd, Cobham, England; [Pace, Erika] Royal Marsden NHS Fdn Trust, Dept Diagnost Radiol, London, England; [Toso, Seema] Univ Hosp Geneva, Childrens Hosp, Pediat Radiol, Geneva, Switzerland; [Tschauner, Sebastian] Med Univ Graz, Div Paediat Radiol, Dept Radiol, Graz, Austria; [Vamyanmane, Dhananjaya K.] Indira Gandhi Inst Child Hlth, Dept Pediat Radiol, Bangalore, India; [Wagner, Matthias W.] Hosp Sick Children, Div Neuroradiol, Dept Diagnost Imaging, Toronto, ON, Canada; [Wagner, Matthias W.] Univ Toronto, Dept Med Imaging, Toronto, ON, Canada; [Wagner, Matthias W.] Univ Hosp Augsburg, Dept Neuroradiol, Augsburg, Germany; [Shelmerdine, Susan C.] Great Ormond St Hosp Children NHS Fdn Trust, Dept Clin Radiol, Great Ormond St, London WC1H 3JH, England; [Shelmerdine, Susan C.] UCL Great Ormond St Inst Child Hlth, Great Ormond St Hosp Children, London, England; [Shelmerdine, Susan C.] NIHR Great Ormond St Hosp Biomed Res Ctr, 30 Guilford St, London, England; [Shelmerdine, Susan C.] St George Hosp, Dept Clin Radiol, London, England</t>
  </si>
  <si>
    <t>Erasmus University Rotterdam; Erasmus MC; University of Cagliari; Royal Cornwall Hospital; University of Missouri System; University of Missouri Columbia; University of Bergen; Haukeland University Hospital; University of Bergen; University of Witwatersrand; Royal Marsden NHS Foundation Trust; University of Geneva; Medical University of Graz; University of Toronto; Hospital for Sick Children (SickKids); University of Toronto; University of London; University College London; Great Ormond Street Hospital for Children NHS Foundation Trust; University of London; University College London; Great Ormond Street Hospital for Children NHS Foundation Trust; City St Georges, University of London</t>
  </si>
  <si>
    <t>Shelmerdine, SC (corresponding author), Great Ormond St Hosp Children NHS Fdn Trust, Dept Clin Radiol, Great Ormond St, London WC1H 3JH, England.;Shelmerdine, SC (corresponding author), UCL Great Ormond St Inst Child Hlth, Great Ormond St Hosp Children, London, England.;Shelmerdine, SC (corresponding author), NIHR Great Ormond St Hosp Biomed Res Ctr, 30 Guilford St, London, England.;Shelmerdine, SC (corresponding author), St George Hosp, Dept Clin Radiol, London, England.</t>
  </si>
  <si>
    <t>susan.shelmerdine@gosh.nhs.uk</t>
  </si>
  <si>
    <t>Ho, Mai-Lan/ABB-4057-2021; Toso, Seema/JMP-8979-2023; Ciet, Pierluigi/F-8509-2017; Tschauner, Sebastian/A-4372-2016</t>
  </si>
  <si>
    <t>Naidoo, Jaishree/0000-0002-7082-6997; mahomed, nasreen/0000-0003-4442-9872; Pace, Dr Erika/0000-0002-5057-0154; Laborie, Lene/0000-0002-9084-3639; Ho, Mai-Lan/0000-0002-9455-1350; Segal, Bradley Max/0000-0001-5313-4596; Ciet, Pierluigi/0000-0003-4017-8957; Tschauner, Sebastian/0000-0002-7873-9839; Eade, Chrissy/0000-0001-8146-4939</t>
  </si>
  <si>
    <t>NIHR Great Ormond Street Hospital Biomedical Research Centre</t>
  </si>
  <si>
    <t>10.1007/s00247-023-05746-y</t>
  </si>
  <si>
    <t>MW5X9</t>
  </si>
  <si>
    <t>WOS:001058331900002</t>
  </si>
  <si>
    <t>Deng, YD</t>
  </si>
  <si>
    <t>Deng, Yudan</t>
  </si>
  <si>
    <t>Application of edge computing and artificial intelligence in English MOOC assisted teaching instruction</t>
  </si>
  <si>
    <t>INTERNATIONAL JOURNAL OF SYSTEM ASSURANCE ENGINEERING AND MANAGEMENT</t>
  </si>
  <si>
    <t>Edge computing; Artificial intelligence; MOOC; Assisted teaching</t>
  </si>
  <si>
    <t>The traditional MOOC teaching mode lacks personalized learning support and interaction mechanism. In order to solve these problems, this paper uses experimental methods to apply edge computing and artificial intelligence technology to English MOOC assisted teaching. This article collects learners' learning behavior data and personal information, and uses artificial intelligence algorithms to analyze and process these data. By analyzing learners' learning behavior and preference information, it can provide suitable learning materials and methods for each learner. In the system construction, edge computing technology is used to distribute computing tasks to edge devices, provide faster response speed and more stable services, reduce dependence on cloud servers, and avoid the impact of network latency and bandwidth restrictions on the learning experience. Edge computing can also provide better privacy protection. Learner's personal data does not need to be transferred to the cloud, but can be processed and stored locally. Through experimental verification, the application of edge computing and artificial intelligence in English MOOC assisted teaching mode can significantly improve the learning effect and satisfaction of learners, and enhance the learning experience.</t>
  </si>
  <si>
    <t>[Deng, Yudan] Henan Finance Univ, Sch Foreign Languages, Zhengzhou 450046, Henan, Peoples R China</t>
  </si>
  <si>
    <t>Henan Finance University</t>
  </si>
  <si>
    <t>Deng, YD (corresponding author), Henan Finance Univ, Sch Foreign Languages, Zhengzhou 450046, Henan, Peoples R China.</t>
  </si>
  <si>
    <t>dengdaisy2023@126.com</t>
  </si>
  <si>
    <t>SPRINGER INDIA</t>
  </si>
  <si>
    <t>7TH FLOOR, VIJAYA BUILDING, 17, BARAKHAMBA ROAD, NEW DELHI, 110 001, INDIA</t>
  </si>
  <si>
    <t>0975-6809</t>
  </si>
  <si>
    <t>0976-4348</t>
  </si>
  <si>
    <t>INT J SYST ASSUR ENG</t>
  </si>
  <si>
    <t>Int. J. Syst. Assur. Eng. Manag.</t>
  </si>
  <si>
    <t>2023 SEP 21</t>
  </si>
  <si>
    <t>10.1007/s13198-023-02142-5</t>
  </si>
  <si>
    <t>S2KS9</t>
  </si>
  <si>
    <t>WOS:001069516100003</t>
  </si>
  <si>
    <t>Ho, AD</t>
  </si>
  <si>
    <t>Ho, Andrew D.</t>
  </si>
  <si>
    <t>Artificial Intelligence and Educational Measurement: Opportunities and Threats</t>
  </si>
  <si>
    <t>JOURNAL OF EDUCATIONAL AND BEHAVIORAL STATISTICS</t>
  </si>
  <si>
    <t>Artificial Intelligence; assessment; content analysis; differential item functioning; measurements; testing</t>
  </si>
  <si>
    <t>I review opportunities and threats that widely accessible Artificial Intelligence (AI)-powered services present for educational statistics and measurement. Algorithmic and computational advances continue to improve approaches to item generation, scale maintenance, test security, test scoring, and score reporting. Predictable misuses of AI for these purposes will result in biased scores, construct underrepresentation, and differential impact over time. Recent efforts to develop standards for AI use in testing like those of Burstein are promising. I argue that similar efforts to develop AI standards for educational measurement will benefit from increased attention to the context of test use and explicit commitment to ongoing monitoring of bias and scale drift over time.</t>
  </si>
  <si>
    <t>[Ho, Andrew D.] Harvard Grad Sch Educ, Educ, 455 Gutman Lib,6 Appian Way, Cambridge, MA 02138 USA</t>
  </si>
  <si>
    <t>Harvard University</t>
  </si>
  <si>
    <t>Ho, AD (corresponding author), Harvard Grad Sch Educ, Educ, 455 Gutman Lib,6 Appian Way, Cambridge, MA 02138 USA.</t>
  </si>
  <si>
    <t>andrew_ho@gse.harvard.edu</t>
  </si>
  <si>
    <t>Ho, Andrew/0000-0003-1287-9844</t>
  </si>
  <si>
    <t>1076-9986</t>
  </si>
  <si>
    <t>1935-1054</t>
  </si>
  <si>
    <t>J EDUC BEHAV STAT</t>
  </si>
  <si>
    <t>J. Educ. Behav. Stat.</t>
  </si>
  <si>
    <t>10.3102/10769986241248771</t>
  </si>
  <si>
    <t>Education &amp; Educational Research; Social Sciences, Mathematical Methods; Psychology, Mathematical</t>
  </si>
  <si>
    <t>Education &amp; Educational Research; Mathematical Methods In Social Sciences; Psychology</t>
  </si>
  <si>
    <t>I2A8E</t>
  </si>
  <si>
    <t>WOS:001217691900001</t>
  </si>
  <si>
    <t>Rahiman, HU; Kodikal, R</t>
  </si>
  <si>
    <t>Rahiman, Habeeb Ur; Kodikal, Rashmi</t>
  </si>
  <si>
    <t>Revolutionizing education: Artificial intelligence empowered learning in higher education</t>
  </si>
  <si>
    <t>Artificial intelligence; work engagement; Asia; higher education; teachers; digitalization</t>
  </si>
  <si>
    <t>USER ACCEPTANCE; TECHNOLOGY; ADOPTION; MODEL; MOTIVATION; STUDENTS</t>
  </si>
  <si>
    <t>Global businesses are actively embracing Industry 4.0 and digital transformation. Simultaneously, the education sector is leveraging digital tools to foster personalized learning and equity. Universities transcending borders and students becoming increasingly global have opened new frontiers through the use of artificial intelligence (AI)-based tools in education. Since the role of AI is inevitable in future education, current research aims to identify the level of awareness of faculty members on the applicability and adoption of artificial intelligence. The study also intended to discover how AI enhanced their learning experience and impacted the degree of work engagement of teachers in higher education. A cluster and multi-stage sampling method was employed to select 250 faculty members from QS (Quacquarelli Symonds) ranked institutions operating in hybrid education modes. Utilizing a quantitative research approach and a structural equation model, factors influencing AI adoption in this context were explored. The findings revealed that AI implementation led to the evolution of robust evaluation and assessment methods, resulting in heightened faculty engagement levels. The study identified that perceived risk, performance expectancy, and awareness play significant roles in influencing work engagement and the adoption of AI within the higher education system through mediating variables, specifically attitude, and behavior.</t>
  </si>
  <si>
    <t>[Rahiman, Habeeb Ur] Kingdom Univ, Coll Business Adm, Rifa, Bahrain; [Kodikal, Rashmi] Graphic Era Deemed be Univ, Dept Management, Rifa, India</t>
  </si>
  <si>
    <t>Rahiman, HU (corresponding author), Kingdom Univ, Coll Business Adm, Rifa, Bahrain.</t>
  </si>
  <si>
    <t>habeebuppinangady@gmail.com</t>
  </si>
  <si>
    <t>Kingdom University Bahrain; Kingdom University Bahrain</t>
  </si>
  <si>
    <t>I would like to thank Kingdom University Bahrain for supporting and granting funds.</t>
  </si>
  <si>
    <t>10.1080/2331186X.2023.2293431</t>
  </si>
  <si>
    <t>DA5D1</t>
  </si>
  <si>
    <t>WOS:001129316400001</t>
  </si>
  <si>
    <t>Prentice, C; Lopes, SD; Wang, XQ</t>
  </si>
  <si>
    <t>Prentice, Catherine; Lopes, Sergio Dominique; Wang, Xuequn</t>
  </si>
  <si>
    <t>The impact of artificial intelligence and employee service quality on customer satisfaction and loyalty</t>
  </si>
  <si>
    <t>JOURNAL OF HOSPITALITY MARKETING &amp; MANAGEMENT</t>
  </si>
  <si>
    <t>Artificial intelligence; service quality; customer loyalty; hotels</t>
  </si>
  <si>
    <t>PERCEPTIONS; REASSESSMENT; EXPECTATIONS</t>
  </si>
  <si>
    <t>The study discusses artificial intelligence (AI) - powered applications as a commercial service with a focus on the hotel industry. This research is approached from the customers' perspective and examines how AI and employee service quality influence customer satisfaction and loyalty. The study was conducted in multiple hotels in Portugal and focused on departure guests who had experienced both AI and employee services associated with the surveyed hotels. The results show that both AI and employee service quality explain significant variances in overall service quality assessment as well as customer satisfaction and loyalty. However, only certain service quality dimensions made unique variances in the outcomes of interest. When regressing both AI and employee service quality in the same equation, AI becomes negative and insignificant. This study contributes to the AI and customer loyalty research. The findings of this study have financial implications for hotels and provide insights into optimal resource allocation.</t>
  </si>
  <si>
    <t>[Prentice, Catherine] Griffith Univ, Griffith Inst Tourism Studies, Griffith Business Sch, 170 Kessels Rd, Brisbane, Qld 4111, Australia; [Lopes, Sergio Dominique] Polytech Inst Cavado &amp; Ave, Dept Mkt &amp; Tourism, Barcelos, Portugal; [Wang, Xuequn] Murdoch Univ, Sch Engn &amp; Informat Technol, Perth, WA, Australia</t>
  </si>
  <si>
    <t>Griffith University; Instituto Politecnico do Cavado e do Ave - IPCA; Murdoch University</t>
  </si>
  <si>
    <t>Prentice, C (corresponding author), Griffith Univ, Griffith Inst Tourism Studies, Griffith Business Sch, 170 Kessels Rd, Brisbane, Qld 4111, Australia.</t>
  </si>
  <si>
    <t>cathyjournalarticles@gmail.com</t>
  </si>
  <si>
    <t>Dominique-Ferreira, Sergio/B-5673-2018; Wang, Xuequn/R-8329-2019; Prentice, Catherine/A-6403-2014</t>
  </si>
  <si>
    <t>Dominique-Ferreira, Sergio/0000-0002-4574-7154; Prentice, Catherine/0000-0002-7700-3889; Wang, Xuequn/0000-0002-1557-8265</t>
  </si>
  <si>
    <t>1936-8623</t>
  </si>
  <si>
    <t>1936-8631</t>
  </si>
  <si>
    <t>J HOSP MARKET MANAG</t>
  </si>
  <si>
    <t>J. Hosp. Market. Manag.</t>
  </si>
  <si>
    <t>OCT 2</t>
  </si>
  <si>
    <t>10.1080/19368623.2020.1722304</t>
  </si>
  <si>
    <t>FEB 2020</t>
  </si>
  <si>
    <t>Business; Hospitality, Leisure, Sport &amp; Tourism; Management</t>
  </si>
  <si>
    <t>NS5AV</t>
  </si>
  <si>
    <t>WOS:000512560300001</t>
  </si>
  <si>
    <t>Chockalingam, A; Tyagi, V; Krishnan, RG; Khan, SS; Chandar, S; Beg, MF; Mahajan, V; Patel, P; Mullapudi, ST; Thakkar, N; Bhasin, AA; Tyagi, A; Ye, B; Mihailidis, A</t>
  </si>
  <si>
    <t>Chockalingam, Arun; Tyagi, Vibha; Krishnan, Rahul G.; Khan, Shehroz S.; Chandar, Sarath; Beg, Mirza Faisal; Mahajan, Vidur; Patel, Parasvil; Mullapudi, Sri Teja; Thakkar, Nikita; Bhasin, Arrti A.; Tyagi, Atul; Ye, Bing; Mihailidis, Alex</t>
  </si>
  <si>
    <t>Artificial intelligence and its contribution to overcome COVID-19</t>
  </si>
  <si>
    <t>INTERNATIONAL JOURNAL OF NONCOMMUNICABLE DISEASES</t>
  </si>
  <si>
    <t>Applications of artificial intelligence; artificial intelligence; artificial intelligence in healthcare; COVID-19; electronic health records; imaging; investor's perspective; long-term care homes; machine learning; pandemic</t>
  </si>
  <si>
    <t>INTELLECTUAL DISABILITIES; RESIDENTIAL CARE; TECHNOLOGY; DEMENTIA; PEOPLE</t>
  </si>
  <si>
    <t>Artificial intelligence (AI) has a great impact on our daily living and makes our lives more efficient and productive. Especially during the coronavirus disease (COVID-19) pandemic, AI has played a key role in response to the global health crisis. There has been a boom in AI innovation and its use since the pandemic. However, despite its widespread adoption and great potential, most people have little knowledge of AI concepts and realization of its potential. The objective of this white paper is to communicate the importance of AI and its benefits to society. The report covers AI applications in six different topics from medicine (AI deployment in clinical settings, imaging and diagnostics, and acceleration of drug discovery) to more social aspects (support older adults in long-term care homes, and AI in supporting small and medium enterprises. The report ends with nine steps to consider for moving forward with AI implementation during and post pandemic period. These include legal and ethical data collection and storage, greater data access, multidisciplinary collaboration, and policy reform.</t>
  </si>
  <si>
    <t>[Chockalingam, Arun] Univ Toronto, Dept Med, Toronto, ON, Canada; [Krishnan, Rahul G.] Univ Toronto, Dept Comp Sci, Toronto, ON, Canada; [Krishnan, Rahul G.; Thakkar, Nikita] Univ Toronto, Dept Lab Med &amp; Pathobiol, Toronto, ON, Canada; [Khan, Shehroz S.; Ye, Bing; Mihailidis, Alex] Univ Hlth Network, Toronto Rehabil Inst, KITE Res Inst, Toronto, ON, Canada; [Khan, Shehroz S.; Ye, Bing; Mihailidis, Alex] Univ Toronto, Dept Occupat Sci &amp; Occupat Therapy, Toronto, ON, Canada; [Patel, Parasvil] Rad Ventures, Toronto, ON, Canada; [Mullapudi, Sri Teja] Noetic Fund, Toronto, ON, Canada; [Tyagi, Atul] Alpha Global IT, Toronto, ON, Canada; [Tyagi, Vibha] Durham Coll Appl Arts &amp; Technol, Off Res Serv Innovat &amp; Entrepreneurship, Oshawa, ON, Canada; [Chandar, Sarath] Univ Montreal, Mila, Montreal, PQ, Canada; [Beg, Mirza Faisal] Simon Fraser Univ, Sch Engn Sci, Vancouver, BC, Canada; [Bhasin, Arrti A.] McMaster Univ, Dept Hlth Res Methods Evidence &amp; Impact, Hamilton, ON, Canada; [Mahajan, Vidur] Mahajan Imaging Ctr, New Delhi, India</t>
  </si>
  <si>
    <t>University of Toronto; University of Toronto; University of Toronto; University of Toronto; University Health Network Toronto; Toronto Rehabilitation Institute; University of Toronto; Universite de Montreal; Simon Fraser University; McMaster University</t>
  </si>
  <si>
    <t>Chockalingam, A (corresponding author), Univ Toronto, Dept Med &amp; Global Hlth, Toronto, ON, Canada.</t>
  </si>
  <si>
    <t>arun.chockalingam@utoronto.ca</t>
  </si>
  <si>
    <t>Khan, Shehroz/O-2706-2014</t>
  </si>
  <si>
    <t>2468-8827</t>
  </si>
  <si>
    <t>2468-8835</t>
  </si>
  <si>
    <t>INT J NONCOMMUN DIS</t>
  </si>
  <si>
    <t>Int. J. Noncommun. Dis.</t>
  </si>
  <si>
    <t>10.4103/2468-8827.330646</t>
  </si>
  <si>
    <t>Public, Environmental &amp; Occupational Health; Medicine, General &amp; Internal</t>
  </si>
  <si>
    <t>Public, Environmental &amp; Occupational Health; General &amp; Internal Medicine</t>
  </si>
  <si>
    <t>4W6BT</t>
  </si>
  <si>
    <t>WOS:000860246200003</t>
  </si>
  <si>
    <t>Chanda, AK</t>
  </si>
  <si>
    <t>Chanda, Arun Kumar</t>
  </si>
  <si>
    <t>HUMAN JUDGMENT IN ARTIFICIAL INTELLIGENCE FOR BUSINESS DECISION-MAKING: AN EMPIRICAL STUDY</t>
  </si>
  <si>
    <t>INTERNATIONAL JOURNAL OF INNOVATION MANAGEMENT</t>
  </si>
  <si>
    <t>Artificial intelligence; AI decision-making; technological development; organization creativity; knowledge management</t>
  </si>
  <si>
    <t>The deployment of AI systems has increased across several industries as they exhibit progressively stronger predictive performance. Due to safety, moral, and legal considerations, full automation is frequently undesirable. However, fully manual methods might be erroneous and time-consuming. The idea of using AI to support human decision-making is therefore gaining popularity in the scientific community. The flourishing subject of AI decision-making needs to embrace empirical methodologies in addition to building AI technologies for that purpose to establish a solid understanding of how people interact and collaborate with AI to make decisions. This research intends to analyse how artificial intelligence uses human judgment for decision-making in business. Researchers gathered survey results from high-tech employees in India via email, media, and other means. The sample size was 196, and the sampling strategy most likely employed was convenience sampling. With the data collected measurement and structural model are performed and found that artificial intelligence-based decision-making impacts the organizations' business value and artificial intelligence capability impacts the organization created with the moderating effect of business intelligence. Also, it is concluded that AI-based decision-making impacts knowledge management.</t>
  </si>
  <si>
    <t>[Chanda, Arun Kumar] IRIS Software Inc, Business Analyt, 1412 Mercer St, Celina, TX 75009 USA</t>
  </si>
  <si>
    <t>Chanda, AK (corresponding author), IRIS Software Inc, Business Analyt, 1412 Mercer St, Celina, TX 75009 USA.</t>
  </si>
  <si>
    <t>arunchandakumar87@gmail.com</t>
  </si>
  <si>
    <t>1363-9196</t>
  </si>
  <si>
    <t>1757-5877</t>
  </si>
  <si>
    <t>INT J INNOV MANAG</t>
  </si>
  <si>
    <t>Int. J. Innov. Manag.</t>
  </si>
  <si>
    <t>01N02</t>
  </si>
  <si>
    <t>10.1142/S136391962450004X</t>
  </si>
  <si>
    <t>XK2L1</t>
  </si>
  <si>
    <t>WOS:001261512000002</t>
  </si>
  <si>
    <t>Nawi, A; Yaakob, MFM; Ren, CC; Khamis, NY; Tamuri, A</t>
  </si>
  <si>
    <t>Nawi, Aliff; Yaakob, Mohd Faiz Mohd; Ren, Chua Chy; Khamis, Nor Yazi; Tamuri, Ab Halim</t>
  </si>
  <si>
    <t>A Preliminary Survey of Muslim Experts' Views on Artificial Intelligence</t>
  </si>
  <si>
    <t>ISLAMIYYAT-THE INTERNATIONAL JOURNAL OF ISLAMIC STUDIES</t>
  </si>
  <si>
    <t>Artificial Intelligence; Muslim; expert; Maqasid al-Shari'ah</t>
  </si>
  <si>
    <t>DATA PROTECTION</t>
  </si>
  <si>
    <t>There should be a great deal of concern over the extensive and still expanding application of artificial intelligence (AI) technology in Muslim life today. From the use of smartphones, drones, robots, autonomous vehicles and weapons technologies, the transformation caused by AI is significantly positive but much is still up for debate and contemplation. In fact, some Muslims may merely consider this rapid growth of AI as part of science fiction which is being popularised in movies. This incognizant view is dangerous because Muslims may not be alert to unforeseen AI impact especially when it crosses over Islamic ethical or legal limits. These interpretations should provide an appropriate context for Muslim experts today to rethink their views with regards to the transformative impact of AI on Muslim society. This preliminary study therefore, is conducted to gather Muslim experts' professional views on AI related issues. Using a quantitative methodology approach with a cross-sectional study design, 37 experts responded to the personal, online questionnaire emailed to them. The findings generally indicate the respondents' insensitivity towards the greater extent of AI impact on Muslim consumers at large. However, most of the respondents were agreeable on the urgent need for regulations so that AI is geared and harvested for its benefits in enhancing Muslim life. This signifies the importance of thorough and strict regulations for AI research and technology to adhere to Islamic principles. A specific framework development underpinned by Maqasid al-Shari'ah is recommended to address the various contemporary issues of AI impact.</t>
  </si>
  <si>
    <t>[Nawi, Aliff; Yaakob, Mohd Faiz Mohd] Univ Utara Malaysia, Sch Educ, Future Learning &amp; Dev Competence Ctr, Kedah, Malaysia; [Ren, Chua Chy] Albukhary Int Univ, Sch Business &amp; Social Sci, Alor Setar, Malaysia; [Khamis, Nor Yazi] Univ Malaysia Pahang, Ctr Modern Languages, Pahang, Malaysia; [Tamuri, Ab Halim] Univ Kebangsaan Malaysia, Ctr Educ Leadership &amp; Policy, Fac Educ, Bangi, Malaysia</t>
  </si>
  <si>
    <t>Universiti Utara Malaysia; Universiti Malaysia Pahang Al-Sultan Abdullah (UMPSA); Universiti Kebangsaan Malaysia</t>
  </si>
  <si>
    <t>Nawi, A (corresponding author), Univ Utara Malaysia, Sch Educ, Future Learning &amp; Dev Competence Ctr, Kedah, Malaysia.</t>
  </si>
  <si>
    <t>aliffnawi@yahoo.com; mohd.faiz@uum.edu.my; safiyya.chua@aiu.edu.my; nyazi@ump.edu.my; abhalim@ukm.edu.my</t>
  </si>
  <si>
    <t>Nawi, Aliff/AAP-1751-2021; Mohd Yaakob, Mohd Faiz/V-9660-2019</t>
  </si>
  <si>
    <t>Ministry of Higher Education (MoHE) of Malaysia through Fundamental Research Grant Scheme [FRGS/1/2019/SSI03/UUM/02/1]</t>
  </si>
  <si>
    <t>Ministry of Higher Education (MoHE) of Malaysia through Fundamental Research Grant Scheme</t>
  </si>
  <si>
    <t>This research was supported by the Ministry of Higher Education (MoHE) of Malaysia through Fundamental Research Grant Scheme (FRGS/1/2019/SSI03/UUM/02/1). The paper benefited from discussions on ethics of Artificial Intelligence with Professor Luciano Floridi at Oxford University in 2019. The authors would like to extend their heartfelt appreciation and gratitude to all respondents in this study for their kind cooperation, and the reviewers and editors for their guidance and constructive comments.</t>
  </si>
  <si>
    <t>PENERBIT UNIV KEBANGSAAN MALAYSIA</t>
  </si>
  <si>
    <t>BANGI</t>
  </si>
  <si>
    <t>PENERBIT UNIV KEBANGSAAN MALAYSIA, FAC SOCIAL SCIENCES &amp; HUMANITIES, BANGI, SELANGOR 43600, MALAYSIA</t>
  </si>
  <si>
    <t>0126-5636</t>
  </si>
  <si>
    <t>ISLAMIYYAT</t>
  </si>
  <si>
    <t>Islamiyyat</t>
  </si>
  <si>
    <t>10.17576/islamiyyat-2021-4302-01</t>
  </si>
  <si>
    <t>2C5YU</t>
  </si>
  <si>
    <t>Bronze, Green Accepted</t>
  </si>
  <si>
    <t>WOS:000810944500001</t>
  </si>
  <si>
    <t>Kolanska, K; Chabbert-Buffet, N; Daraï, E; Antoine, JM</t>
  </si>
  <si>
    <t>Kolanska, Kamila; Chabbert-Buffet, Nathalie; Darai, Emile; Antoine, Jean-Marie</t>
  </si>
  <si>
    <t>Artificial intelligence in medicine: A matter of joy or concern?</t>
  </si>
  <si>
    <t>JOURNAL OF GYNECOLOGY OBSTETRICS AND HUMAN REPRODUCTION</t>
  </si>
  <si>
    <t>Artificial intelligence; Machine learning; Deep learning; Algorithm</t>
  </si>
  <si>
    <t>Artificial Intelligence (AI), a concept which dates back to the 1950s, is increasingly being developed by many medical specialties, especially those based on imaging or surgery. While the cognitive component of AI is far superior to that of human intelligence, it lacks consciousness, feelings, intuition and adaptation to unexpected situations. Furthermore, fundamental questions arise with regard to data security, the impact on healthcare professions, and the distribution of roles between physicians and AI especially concerning consent to medical care and liability in the event of a therapeutic accident. (C) 2020 Elsevier Masson SAS. All rights reserved.</t>
  </si>
  <si>
    <t>[Kolanska, Kamila; Chabbert-Buffet, Nathalie; Darai, Emile; Antoine, Jean-Marie] Sorbonne Univ Site Tenon, AP HP, Serv Gynecol Obstet &amp; Med Reprod, 4 Rue Chine, F-75020 Paris, France</t>
  </si>
  <si>
    <t>Assistance Publique Hopitaux Paris (APHP); Sorbonne Universite; Hopital Universitaire Tenon - APHP</t>
  </si>
  <si>
    <t>Antoine, JM (corresponding author), Hop Tenon, AP HP, Serv Gynecol Obstet &amp; Med Reprod, 4 Rue Chine, F-75020 Paris, France.</t>
  </si>
  <si>
    <t>jean-marie.antoine@aphp.fr</t>
  </si>
  <si>
    <t>Kolanska, Kamila/ABG-4564-2021</t>
  </si>
  <si>
    <t>2468-7847</t>
  </si>
  <si>
    <t>1773-0430</t>
  </si>
  <si>
    <t>J GYNECOL OBSTET HUM</t>
  </si>
  <si>
    <t>J. Gynecol. Obstet. Hum. Reprod.</t>
  </si>
  <si>
    <t>10.1016/j.jogoh.2020.101962</t>
  </si>
  <si>
    <t>PU2UG</t>
  </si>
  <si>
    <t>WOS:000609160400015</t>
  </si>
  <si>
    <t>Hameed, BMZ; Dhavileswarapu, AVLS; Raza, SZ; Karimi, H; Khanuja, HS; Shetty, DK; Ibrahim, S; Shah, MJ; Naik, N; Paul, R; Rai, BP; Somani, BK</t>
  </si>
  <si>
    <t>Hameed, B. M. Zeeshan; S. Dhavileswarapu, Aiswarya V. L.; Raza, Syed Zahid; Karimi, Hadis; Khanuja, Harneet Singh; Shetty, Dasharathraj K.; Ibrahim, Sufyan; Shah, Milap J.; Naik, Nithesh; Paul, Rahul; Rai, Bhavan Prasad; Somani, Bhaskar K.</t>
  </si>
  <si>
    <t>Artificial Intelligence and Its Impact on Urological Diseases and Management: A Comprehensive Review of the Literature</t>
  </si>
  <si>
    <t>JOURNAL OF CLINICAL MEDICINE</t>
  </si>
  <si>
    <t>urology; artificial intelligence; machine learning; urinary incontinence; kidney stone disease; fertility; reproductive urology; renal cell carcinoma; hydronephrosis; urinary reflux; urolithiasis; endourology; pediatric urology; prostate cancer; bladder cancer</t>
  </si>
  <si>
    <t>PROSTATE-CANCER; BLADDER-CANCER; NEURAL-NETWORK; UROTHELIAL CARCINOMA; PREDICTION; PERFORMANCE; CHILDREN; FEATURES; SYSTEM</t>
  </si>
  <si>
    <t>Recent advances in artificial intelligence (AI) have certainly had a significant impact on the healthcare industry. In urology, AI has been widely adopted to deal with numerous disorders, irrespective of their severity, extending from conditions such as benign prostate hyperplasia to critical illnesses such as urothelial and prostate cancer. In this article, we aim to discuss how algorithms and techniques of artificial intelligence are equipped in the field of urology to detect, treat, and estimate the outcomes of urological diseases. Furthermore, we explain the advantages that come from using AI over any existing traditional methods.</t>
  </si>
  <si>
    <t>[Hameed, B. M. Zeeshan; Shah, Milap J.; Somani, Bhaskar K.] Manipal Acad Higher Educ, Kasturba Med Coll Manipal, Dept Urol, Manipal 576104, Karnataka, India; [Hameed, B. M. Zeeshan] Manipal Acad Higher Educ, KMC Innovat Ctr, Manipal 576104, Karnataka, India; [Hameed, B. M. Zeeshan; Ibrahim, Sufyan; Shah, Milap J.; Naik, Nithesh; Somani, Bhaskar K.] iTRUE Int Training &amp; Res Urooncol &amp; Endourol Grp, Manipal 576104, Karnataka, India; [Hameed, B. M. Zeeshan; Naik, Nithesh] Curiouz Techlab Private Ltd, Manipal Govt Karnataka Bioincubator, Manipal 576104, Karnataka, India; [S. Dhavileswarapu, Aiswarya V. L.] GITAM Univ, Dept Elect &amp; Commun, Visakhapatnam 530045, Andhra Pradesh, India; [Raza, Syed Zahid] Dr BR Ambedkar Med Coll, Dept Urol, Bengaluru 560045, Karnataka, India; [Karimi, Hadis] Manipal Acad Higher Educ, Manipal Coll Pharmaceut Sci, Manipal 576104, Karnataka, India; [Khanuja, Harneet Singh] Manipal Acad Higher Educ, Manipal Inst Technol, Dept Informat &amp; Commun Technol, Manipal 576104, Karnataka, India; [Shetty, Dasharathraj K.] Manipal Acad Higher Educ, Manipal Inst Technol, Dept Humanities &amp; Management, Manipal 576104, Karnataka, India; [Ibrahim, Sufyan] Manipal Acad Higher Educ, Kasturba Med Coll Manipal, Manipal 576104, Karnataka, India; [Naik, Nithesh] Manipal Acad Higher Educ, Manipal Inst Technol, Dept Mech &amp; Mfg, Manipal 576104, Karnataka, India; [Paul, Rahul] Harvard Med Sch, Massachusetts Gen Hosp, Dept Radiat Oncol, Boston, MA 02115 USA; [Rai, Bhavan Prasad] Freeman Rd Hosp, Dept Urol, Newcastle NE7 7DN, England; [Somani, Bhaskar K.] Univ Hosp Southampton NHS Trust, Dept Urol, Southampton SO16 6YD, Hants, England</t>
  </si>
  <si>
    <t>Manipal Academy of Higher Education (MAHE); Kasturba Medical College, Manipal; Manipal Academy of Higher Education (MAHE); Gandhi Institute of Technology &amp; Management (GITAM); Manipal Academy of Higher Education (MAHE); Manipal Academy of Higher Education (MAHE); Manipal Academy of Higher Education (MAHE); Manipal Academy of Higher Education (MAHE); Kasturba Medical College, Manipal; Manipal Academy of Higher Education (MAHE); Harvard University; Harvard Medical School; Harvard University Medical Affiliates; Massachusetts General Hospital; Newcastle Freeman Hospital</t>
  </si>
  <si>
    <t>Naik, N (corresponding author), iTRUE Int Training &amp; Res Urooncol &amp; Endourol Grp, Manipal 576104, Karnataka, India.;Naik, N (corresponding author), Curiouz Techlab Private Ltd, Manipal Govt Karnataka Bioincubator, Manipal 576104, Karnataka, India.;Naik, N (corresponding author), Manipal Acad Higher Educ, Manipal Inst Technol, Dept Mech &amp; Mfg, Manipal 576104, Karnataka, India.</t>
  </si>
  <si>
    <t>zeeshanhameedbm@gmail.com; aash.dhavil@gmail.com; syed.zahid.raza@gmail.com; hadiskarimi1997@gmail.com; hskhanuja2@gmail.com; raja.shetty@manipal.edu; sufyan.ibrahim2@gmail.com; drmilapshah@gmail.com; nithesh.naik@manipal.edu; rpaul7@mgh.harvard.edu; urobhavan@gmail.com; bhaskarsomani@yahoo.com</t>
  </si>
  <si>
    <t>Rai, Bhavan/Y-7886-2019; SHETTY, DASHARATHRAJ/AAV-3291-2020; Naik, Nithesh/W-5086-2019; Somani, B./I-8429-2019; Ibrahim, Sufyan/AAJ-6015-2021</t>
  </si>
  <si>
    <t>SHETTY, DASHARATHRAJ KODU/0000-0002-5021-4029; Somani, Bhaskar/0000-0002-6248-6478; Ibrahim, Sufyan/0000-0001-9127-2738; Hameed, BM Zeeshan/0000-0002-2904-351X; Naik, Nithesh/0000-0003-0356-7697</t>
  </si>
  <si>
    <t>2077-0383</t>
  </si>
  <si>
    <t>J CLIN MED</t>
  </si>
  <si>
    <t>J. Clin. Med.</t>
  </si>
  <si>
    <t>10.3390/jcm10091864</t>
  </si>
  <si>
    <t>SC1EL</t>
  </si>
  <si>
    <t>WOS:000650423700001</t>
  </si>
  <si>
    <t>The Impact of Artificial Intelligence on Language Translation: A Review</t>
  </si>
  <si>
    <t>Artificial intelligence; Machine translation; Natural language processing; Fuzzy logic; Feature extraction; Deep learning; Training; language translation; machine translation</t>
  </si>
  <si>
    <t>NEURAL-NETWORK; MACHINE; TECHNOLOGIES; MODELS</t>
  </si>
  <si>
    <t>In the context of a more linked and globalized society, the significance of proficient cross-cultural communication has been increasing to a position of utmost importance. Language functions as a crucial medium that establishes connections among people, corporations, and countries, demanding the implementation of precise and effective translation systems. This comprehensive review paper aims to contribute to the evolving landscape of AI-driven language translation by critically examining the existing literature, identifying key debates, and uncovering areas of innovation and limitations. The primary objective is to provide a nuanced understanding of the current state of AI-driven language translation, emphasizing the advancements, challenges, and ethical considerations. In this review, ongoing debates surrounding AI-driven language translations were actively involved. By evaluating different viewpoints and methodologies, insights into unresolved questions that contribute to a broader discourse in the field were provided. The future trajectory of this study involves the incorporation of cross-lingual dialect adaptability and the advancement of Artificial Intelligence translation systems, with a focus on prioritizing inclusion and cultural understanding.</t>
  </si>
  <si>
    <t>[Mohamed, Yasir Abdelgadir; Khanan, Akbar; Bashir, Mohamed; Mohamed, Abdul Hakim H. M.] ASharqiyah Univ, Coll Business Adm, Ibra 400, Oman; [Adiel, Mousab A. E.] Imam Abudlrahman bin Faisal Univ, Coll Arts, Dammam 34212, Saudi Arabia; [Elsadig, Muawia A.] Imam Abudlrahman bin Faisal Univ, Coll Comp Sci &amp; Informat Technol, Dammam 34212, Saudi Arabia</t>
  </si>
  <si>
    <t>Bashir, Mohammed/M-1965-2018; AbdelgadirMohamed, Yasir/GMW-4662-2022; Khanan, Akbar/AAK-1059-2020; Mohamed, Abdul Hakim H M/ABH-1980-2020; ADIEL, MOUSAB/AAV-4150-2020; Elsadig, Muawia/A-4724-2015</t>
  </si>
  <si>
    <t>Mohamed, Abdul Hakim H M/0000-0001-5879-5385; ADIEL, MOUSAB/0000-0002-9207-0035; Elsadig, Muawia/0000-0002-2622-6724</t>
  </si>
  <si>
    <t>A'Sharqiyah University</t>
  </si>
  <si>
    <t>10.1109/ACCESS.2024.3366802</t>
  </si>
  <si>
    <t>IY4V9</t>
  </si>
  <si>
    <t>WOS:001169897400001</t>
  </si>
  <si>
    <t>Haghshenas, Z; Bidaki, N; Rashtbarzadeh, A; Nazari, E; Rezaei-Tavirani, M</t>
  </si>
  <si>
    <t>Haghshenas, Zahra; Bidaki, Najme; Rashtbarzadeh, Amirreza; Nazari, Elham; Rezaei-Tavirani, Mostafa</t>
  </si>
  <si>
    <t>Impact of Heavy Metals on Alzheimer Disease, Using Artificial Intelligence</t>
  </si>
  <si>
    <t>INTERNATIONAL JOURNAL OF MEDICAL TOXICOLOGY AND FORENSIC MEDICINE</t>
  </si>
  <si>
    <t>Heavy metals (HMs); Alzheimer disease (AD); Artificial intelligence (AI); Association; Correlation; Neurodegenerative disease; Pathway; Toxicity; Concentration</t>
  </si>
  <si>
    <t>REDOX-ACTIVE IRON; SERUM COPPER; CEREBROSPINAL-FLUID; ELEMENTAL ANALYSIS; OXIDATIVE STRESS; AMYLOID-BETA; CERULOPLASMIN; BRAIN; DEFICIENCY; EXPRESSION</t>
  </si>
  <si>
    <t>There is no doubt that Alzheimer disease (AD) is one of the most deadly and expensive diseases in the world today. It accounts for the majority of patients with dementia. The disease is caused by a combination of environmental and genetic factors, and identifying effective environmental factors can play a significant role in controlling and preventing this disease. Heavy metals (HMs) can be ingested, inhaled, or absorbed through the skin by the human body. As a result of HM accumulation in the body, many organs, including the nervous system, are adversely affected. Accordingly, memory, cognition, and learning functions may be negatively affected. In recent years, there has been considerable interest in the effect of HMs on AD, and several studies have examined how HMs affect brain function and AD. During this study, we will review these studies and examine how HMs may influence AD development. As a result of the limitations of traditional methods in identifying HM toxicity, this study discusses artificial intelligence (AI) and its advantages and limitations as a tool for determining HMs associated with AD.</t>
  </si>
  <si>
    <t>[Haghshenas, Zahra] Shahid Beheshti Univ Med Sci, Prote Res Ctr, Tehran, Iran; [Bidaki, Najme] Tarbiat Modares Univ, Fac Med Sci, Dept Med Genet, Tehran, Iran; [Rashtbarzadeh, Amirreza] Shahid Beheshti Univ Med Sci, Student Res Comm, Sch Nursing &amp; Midwifery, Tehran, Iran; [Nazari, Elham] Shahid Beheshti Univ Med Sci, Sch Allied Med Sci, Dept Hlth Informat Technol &amp; Management, Tehran, Iran; [Rezaei-Tavirani, Mostafa] Shahid Beheshti Univ Med Sci, Prote Res Ctr, Sch Paramed Sci, Tehran, Iran</t>
  </si>
  <si>
    <t>Shahid Beheshti University Medical Sciences; Tarbiat Modares University; Shahid Beheshti University Medical Sciences; Shahid Beheshti University Medical Sciences; Shahid Beheshti University Medical Sciences</t>
  </si>
  <si>
    <t>Nazari, E (corresponding author), Shahid Beheshti Univ Med Sci, Sch Allied Med Sci, Dept Hlth Informat Technol &amp; Management, Tehran, Iran.</t>
  </si>
  <si>
    <t>elham.nazari@sbmu.ac.ir</t>
  </si>
  <si>
    <t>Nazari, Elham/JFJ-3275-2023</t>
  </si>
  <si>
    <t>haghshenas, zahra/0000-0001-7791-0852</t>
  </si>
  <si>
    <t>SHAHEED BEHESHTI MEDICAL UNIV-MEDICAL SCIENCES &amp; HEALTH SERVICES</t>
  </si>
  <si>
    <t>TEHRAN</t>
  </si>
  <si>
    <t>SHAHEED BAHONAR AVE, DARABAD, TEHRAN, 19569, IRAN</t>
  </si>
  <si>
    <t>2251-8762</t>
  </si>
  <si>
    <t>2251-8770</t>
  </si>
  <si>
    <t>INT J MED TOX FORENS</t>
  </si>
  <si>
    <t>Int. J. Med. Toxicol. Forens. Med.</t>
  </si>
  <si>
    <t>E45529</t>
  </si>
  <si>
    <t>10.32598/ijmtfm.v14i4.45529</t>
  </si>
  <si>
    <t>Medicine, Legal; Toxicology</t>
  </si>
  <si>
    <t>Legal Medicine; Toxicology</t>
  </si>
  <si>
    <t>J5N2X</t>
  </si>
  <si>
    <t>WOS:001337524300001</t>
  </si>
  <si>
    <t>Sadeghi, K; Banerjee, A; Gupta, SKS</t>
  </si>
  <si>
    <t>Sadeghi, Koosha; Banerjee, Ayan; Gupta, Sandeep K. S.</t>
  </si>
  <si>
    <t>An Analytical Framework for Security-Tuning of Artificial Intelligence Applications Under Attack</t>
  </si>
  <si>
    <t>2019 IEEE INTERNATIONAL CONFERENCE ON ARTIFICIAL INTELLIGENCE TESTING (AITEST)</t>
  </si>
  <si>
    <t>1st IEEE International Conference on Artificial Intelligence Testing (IEEE AITest)</t>
  </si>
  <si>
    <t>APR 04-09, 2019</t>
  </si>
  <si>
    <t>San Francisco, CA</t>
  </si>
  <si>
    <t>IEEE,IEEE Comp Soc,Exactpro,IBM,EduCoder NET</t>
  </si>
  <si>
    <t>artificial intelligence; machine learning; security; perturbation attack; parameters tuning; optimization</t>
  </si>
  <si>
    <t>Machine Learning (ML) algorithms, as the core technology in Artificial Intelligence (AI) applications, such as self-driving vehicles, make important decisions by performing a variety of data classification or prediction tasks. Attacks on data or algorithms in AI applications can lead to misclassification or misprediction, which can fail the applications. For each dataset separately, the parameters of ML algorithms should be tuned to reach a desirable classification or prediction accuracy. Typically, ML experts tune the parameters empirically, which can be time consuming and does not guarantee the optimal result. To this end, some research suggests an analytical approach to tune the ML parameters for maximum accuracy. However, none of the works consider the ML performance under attack in their tuning process. This paper proposes an analytical framework for tuning the ML parameters to be secure against attacks, while keeping its accuracy high. The framework finds the optimal set of parameters by defining a novel objective function, which takes into account the test results of both ML accuracy and its security against attacks. For validating the framework, an AI application is implemented to recognize whether a subject's eyes are open or closed, by applying k-Nearest Neighbors (kNN) algorithm on her Electroencephalogram (EEG) signals. In this application, the number of neighbors (k) and the distance metric type, as the two main parameters of kNN, are chosen for tuning. The input data perturbation attack, as one of the most common attacks on ML algorithms, is used for testing the security of the application. Exhaustive search approach is used to solve the optimization problem. The experiment results show k = 43 and cosine distance metric is the optimal configuration of kNN for the EEG dataset, which leads to 83.75% classification accuracy and reduces the attack success rate to 5.21%.</t>
  </si>
  <si>
    <t>[Sadeghi, Koosha; Banerjee, Ayan; Gupta, Sandeep K. S.] Arizona State Univ, IMPACT Lab, CIDSE, Tempe, AZ 85281 USA</t>
  </si>
  <si>
    <t>Arizona State University; Arizona State University-Tempe</t>
  </si>
  <si>
    <t>Sadeghi, K (corresponding author), Arizona State Univ, IMPACT Lab, CIDSE, Tempe, AZ 85281 USA.</t>
  </si>
  <si>
    <t>k.sadeghi@asu.edu; abanerj3@asu.edu; sandeep.gupta@asu.edu</t>
  </si>
  <si>
    <t>Banerjee, Ayan/KCL-0344-2024</t>
  </si>
  <si>
    <t>Banerjee, Ayan/0000-0001-6529-1644; Gupta, Sandeep/0000-0002-6108-5584</t>
  </si>
  <si>
    <t>CNS [1218505]; IIS [1116385]; NIH [EB019202]</t>
  </si>
  <si>
    <t>CNS; IIS; NIH(United States Department of Health &amp; Human ServicesNational Institutes of Health (NIH) - USA)</t>
  </si>
  <si>
    <t>This work has been partly funded by CNS grant #1218505, IIS grant #1116385, and NIH grant #EB019202.</t>
  </si>
  <si>
    <t>978-1-7281-0492-8</t>
  </si>
  <si>
    <t>10.1109/AITest.2019.00012</t>
  </si>
  <si>
    <t>BM9GY</t>
  </si>
  <si>
    <t>WOS:000470916100020</t>
  </si>
  <si>
    <t>de Castro, VC; Kalantzis, M; Cope, B</t>
  </si>
  <si>
    <t>de Castro, Vania Carvalho; Kalantzis, Mary; Cope, Bill</t>
  </si>
  <si>
    <t>LITERACY IN THE AGE OF ARTIFICIAL INTELLIGENCE</t>
  </si>
  <si>
    <t>CADERNOS DE LETRAS DA UFF</t>
  </si>
  <si>
    <t>Artificial Intelligence; Generative AI; Literacy; Teaching and learning</t>
  </si>
  <si>
    <t>The latest iteration of Artificial Intelligence, known as &lt;&lt; Generative AI,&gt;&gt; is primarily a technology focused on the writing process. Generative AI is a machine capable of producing texts in various genres. In the global historical context, the significance of this technology cannot be underestimated, as the artificial language of code intertwines with the natural language of everyday life. The writing capability of Generative AI is multimodal, going beyond the predominantly verbal production of text, also being able to &lt;&lt; read &gt;&gt; and &lt;&lt; write &gt;&gt; images through textual labels and prompts. Additionally, this peculiar form of writing encompasses mathematical concepts, software procedures, and algorithms. Based on these considerations, this article investigates the implications of Generative AI in the teaching and learning of literacy and reading. Initially, we explore the challenges and impacts of Generative AI on literacy practices. Then, we present a case study that exemplifies the practical implementation of Generative AI in supporting literacy and learning. Finally, we outline broad implications for teaching and learning, proposing a new agenda for literacy in the era of Generative AI.</t>
  </si>
  <si>
    <t>[de Castro, Vania Carvalho] Univ Illinois, Chicago, IL 60607 USA; [Kalantzis, Mary; Cope, Bill] Univ Illinois, Dept Educ Polit &amp; Org Lideranca, Chicago, IL 60607 USA</t>
  </si>
  <si>
    <t>University of Illinois System; University of Illinois Chicago; University of Illinois Chicago Hospital; University of Illinois System; University of Illinois Chicago; University of Illinois Chicago Hospital</t>
  </si>
  <si>
    <t>de Castro, VC (corresponding author), Univ Illinois, Chicago, IL 60607 USA.</t>
  </si>
  <si>
    <t>vaniac@illinois.edu; marykalantzis@illinois.edu; billcope@illinois.edu</t>
  </si>
  <si>
    <t>UNIV FED FLUMINENSE, DEPT HISTORIA</t>
  </si>
  <si>
    <t>NITEROI RJ</t>
  </si>
  <si>
    <t>CAMPUS DO GRAGOATA, BLOCO O, SALA 513, NITEROI RJ, 24210-350, BRAZIL</t>
  </si>
  <si>
    <t>1413-053X</t>
  </si>
  <si>
    <t>2447-4207</t>
  </si>
  <si>
    <t>CAD LET UFF</t>
  </si>
  <si>
    <t>Cad. Let. UFF</t>
  </si>
  <si>
    <t>10.22409/cadletrasuff.v35i69.63346</t>
  </si>
  <si>
    <t>R3I4M</t>
  </si>
  <si>
    <t>WOS:001390425400003</t>
  </si>
  <si>
    <t>Mapari, SA; Shrivastava, D; Bedi, GN; Pradeep, U; Gupta, A; Kasat, PR; Sachani, P</t>
  </si>
  <si>
    <t>Mapari, Smruti A.; Shrivastava, Deepti; Bedi, Gautam N.; Pradeep, Utkarsh; Gupta, Aman; Kasat, Paschyanti R.; Sachani, Pratiksha</t>
  </si>
  <si>
    <t>Revolutionizing Reproduction: The Impact of Robotics and Artificial Intelligence (AI) in Assisted Reproductive Technology: A Comprehensive Review</t>
  </si>
  <si>
    <t>precision medicine; reproductive medicine; infertility; artificial intelligence (ai); robotics; assisted reproductive technology (art)</t>
  </si>
  <si>
    <t>Assisted reproductive technology (ART) has revolutionized the field of reproductive medicine, offering hope to millions of individuals and couples facing infertility challenges. In recent years, integrating robotics and artificial intelligence (AI) has emerged as a promising avenue for advancing ART. This comprehensive review explores the transformative impact of robotics and AI on ART, examining recent advancements, technological applications, clinical implications, and ethical considerations. Robotics enables precise and minimally invasive procedures, enhancing the efficiency and accuracy of various reproductive techniques such as sperm retrieval, embryo handling, and surgical interventions. Meanwhile, AI offers predictive analytics, personalized treatment protocols, and decision support systems tailored to individual patient needs, optimizing treatment outcomes and expanding access to reproductive care. Key findings highlight the significant advancements made possible by robotics and AI in ART, including improved success rates, reduced risks, and enhanced patient experience. However, challenges such as regulatory considerations, adoption barriers, and ethical dilemmas must be addressed to realize the full potential of these technologies. The transformative impact of robotics and AI on ART is profound, shaping the future of fertility treatment and family-building worldwide. Continued research, interdisciplinary collaboration, and investment are essential to further harness the potential of robotics and AI in advancing reproductive medicine and ensuring accessible, equitable, and effective care for all individuals and couples.</t>
  </si>
  <si>
    <t>[Mapari, Smruti A.; Shrivastava, Deepti] Datta Meghe Inst Higher Educ &amp; Res, Jawaharlal Nehru Med Coll, Obstet &amp; Gynaecol, Wardha, India; [Bedi, Gautam N.; Pradeep, Utkarsh; Gupta, Aman] Datta Meghe Inst Higher Educ &amp; Res, Jawaharlal Nehru Med Coll, Med, Wardha, India; [Kasat, Paschyanti R.; Sachani, Pratiksha] Datta Meghe Inst Higher Educ &amp; Res, Jawaharlal Nehru Med Coll, Radiodiag, Wardha, India</t>
  </si>
  <si>
    <t>Datta Meghe Institute of Higher Education &amp; Research (Deemed to be University); Jawaharlal Nehru Medical College Wardha; Datta Meghe Institute of Higher Education &amp; Research (Deemed to be University); Jawaharlal Nehru Medical College Wardha; Datta Meghe Institute of Higher Education &amp; Research (Deemed to be University); Jawaharlal Nehru Medical College Wardha</t>
  </si>
  <si>
    <t>Mapari, SA (corresponding author), Datta Meghe Inst Higher Educ &amp; Res, Jawaharlal Nehru Med Coll, Obstet &amp; Gynaecol, Wardha, India.</t>
  </si>
  <si>
    <t>smrutimapari@gmail.com</t>
  </si>
  <si>
    <t>I want to express my deep appreciation for the integral role of Artificial Intelligence (AI) like Grammarly, Paperpal and ChatGPT in completing this research paper. The ChatGPT language model (OpenAI, San Francisco, California) was employed to assist in the formulation of key arguments, structuring the content, and refining the language of our manuscript. It provided valuable insights and suggestions throughout the writing process, enhancing the overall coherence and clarity of the article. It was also utilized to assist in editing and rephrasing the work to ensure coherence and clarity in conveying the findings.</t>
  </si>
  <si>
    <t>JUN 24</t>
  </si>
  <si>
    <t>e63072</t>
  </si>
  <si>
    <t>10.7759/cureus.63072</t>
  </si>
  <si>
    <t>WT0E7</t>
  </si>
  <si>
    <t>WOS:001256999500007</t>
  </si>
  <si>
    <t>De Luca, S</t>
  </si>
  <si>
    <t>De Luca, Stefano</t>
  </si>
  <si>
    <t>Artificial Intelligence and politics: the last frontier</t>
  </si>
  <si>
    <t>STORIA DEL PENSIERO POLITICO</t>
  </si>
  <si>
    <t>generative artificial intelligence; Chat-GPT; digital democracy; algorithmic democracy; centaur-democracy</t>
  </si>
  <si>
    <t>The aim of this article is to offer a state of the art regarding the debate on the relationship between Artificial Intelligence (AI) and politics after the rise of Generative AI. the first two paragraphs, the evolution of the previous debate is broadly reconstructed, also in the light of AI models, and the reasons why the release of ChatGPT-4 has to a 'quantum leap' in the public perception of AI, its impact on politics and its sible uses in this sphere are explained. In the following paragraphs, the state of art of the debate is reconstructed, first by identifying the commonalities between various perspectives, then examining them analytically, based on the distinction tween perspectives such as realist-critical, normative-critical, techno-optimist, technoenthusiastic and techno-utopistic.</t>
  </si>
  <si>
    <t>[De Luca, Stefano] Univ Suor Orsola Benincasa Napoli, Dipartimento Sci Umanistiche, Via Santa Caterina Siena 37, I-80132 Naples, Italy</t>
  </si>
  <si>
    <t>Suor Orsola Benincasa University Naples</t>
  </si>
  <si>
    <t>De Luca, S (corresponding author), Univ Suor Orsola Benincasa Napoli, Dipartimento Sci Umanistiche, Via Santa Caterina Siena 37, I-80132 Naples, Italy.</t>
  </si>
  <si>
    <t>stefano.deluca@unisob.na.it</t>
  </si>
  <si>
    <t>SOC ED IL MULINO</t>
  </si>
  <si>
    <t>STRADA MAGGIORE 37, 40125 BOLOGNA, ITALY</t>
  </si>
  <si>
    <t>2279-9818</t>
  </si>
  <si>
    <t>STOR PENSIERO POLIT</t>
  </si>
  <si>
    <t>Stor. Pensiero Polit.</t>
  </si>
  <si>
    <t>S3I9R</t>
  </si>
  <si>
    <t>WOS:001397213700001</t>
  </si>
  <si>
    <t>Aromiwura, AA; Kalra, DK</t>
  </si>
  <si>
    <t>Aromiwura, Afolasayo A.; Kalra, Dinesh K.</t>
  </si>
  <si>
    <t>Artificial Intelligence in Coronary Artery Calcium Scoring</t>
  </si>
  <si>
    <t>artificial intelligence; computed tomography; cardiac; coronary artery calcium scoring</t>
  </si>
  <si>
    <t>LOW-DOSE CT; NEURAL-NETWORKS; CARDIAC CT; CALCIFICATION; ASSOCIATION; PET/CT</t>
  </si>
  <si>
    <t>Cardiovascular disease (CVD), particularly coronary heart disease (CHD), is the leading cause of death in the US, with a high economic impact. Coronary artery calcium (CAC) is a known marker for CHD and a useful tool for estimating the risk of atherosclerotic cardiovascular disease (ASCVD). Although CACS is recommended for informing the decision to initiate statin therapy, the current standard requires a dedicated CT protocol, which is time-intensive and contributes to radiation exposure. Non-dedicated CT protocols can be taken advantage of to visualize calcium and reduce overall cost and radiation exposure; however, they mainly provide visual estimates of coronary calcium and have disadvantages such as motion artifacts. Artificial intelligence is a growing field involving software that independently performs human-level tasks, and is well suited for improving CACS efficiency and repurposing non-dedicated CT for calcium scoring. We present a review of the current studies on automated CACS across various CT protocols and discuss consideration points in clinical application and some barriers to implementation.</t>
  </si>
  <si>
    <t>[Aromiwura, Afolasayo A.] Univ Louisville, Dept Med, Louisville, KY 40202 USA; [Kalra, Dinesh K.] Univ Louisville, Dept Med, Div Cardiol, Louisville, KY 40202 USA</t>
  </si>
  <si>
    <t>University of Louisville; University of Louisville</t>
  </si>
  <si>
    <t>Kalra, DK (corresponding author), Univ Louisville, Dept Med, Div Cardiol, Louisville, KY 40202 USA.</t>
  </si>
  <si>
    <t>dinesh.kalra@louisville.edu</t>
  </si>
  <si>
    <t>YE, Chen/KFR-3858-2024; Kalra, D/H-6661-2019</t>
  </si>
  <si>
    <t>Kalra, D/0000-0001-5254-4067</t>
  </si>
  <si>
    <t>10.3390/jcm13123453</t>
  </si>
  <si>
    <t>WP1F6</t>
  </si>
  <si>
    <t>WOS:001255980000001</t>
  </si>
  <si>
    <t>Demirova, S; Koleva, N</t>
  </si>
  <si>
    <t>Demirova, Siyka; Koleva, Nataliya</t>
  </si>
  <si>
    <t>DEVELOPMENT OF INDUSTRIAL LOGISTICS IN THE CONTEXT OF ARTIFICIAL INTELLIGENCE AS AN ACTIVE FLEXIBLE APPLICATION COMPONENT</t>
  </si>
  <si>
    <t>artificial intelligence; highly automated logistics activities; artificial intelligence in logistics; levels of automation of logistics activities; logistics areas with artificial intelligence</t>
  </si>
  <si>
    <t>The main objective of this report is to clarify what changes will occur in the functioning of industrial logistics systems using artificial intelligence. In addition, the global development and impact on logistics with its particularities in the various stages of technical development will be specified. The analysis so far shows that the logistics industrial systems will continue to function as subsystems of the industrial system because they are interconnected with certain interrelationships characterizing their structural systematicity and logistical security. Or the logistics system will be in equilibrium when the interconnections between these subsystems create conditions for the normal functioning of the entire industrial logistics system, providing logistical support to production. This essentially means that the interrelationship between the three types of subsystems, material, financial and informational, will form optimal relationships between them and those in the field of external industrial services. A subsystem of the logistics system with artificial intelligence is a part of this system that will allow solving tasks of the logistics system and at a higher level in a separate logistics activity or sphere of the business organization. The components of the logistics system with artificial intelligence, arranged in certain levels, ways and interrelationships, will form the logistics subsystems of a higher level, or logistics systems with artificial intelligence.</t>
  </si>
  <si>
    <t>[Demirova, Siyka] Tech Univ Varna, Dept Ind Management, Varna, Bulgaria; [Koleva, Nataliya] Tech Univ Sofia, Dept Econ Ind Engn &amp; Management, Sofia, Bulgaria</t>
  </si>
  <si>
    <t>Technical University Varna; Technical University Sofia</t>
  </si>
  <si>
    <t>Demirova, S (corresponding author), Tech Univ Varna, Dept Ind Management, Varna, Bulgaria.;Koleva, N (corresponding author), Tech Univ Sofia, Dept Econ Ind Engn &amp; Management, Sofia, Bulgaria.</t>
  </si>
  <si>
    <t>s_demirova@tu-varna.bg; nkoleva@tu-sofia.bg</t>
  </si>
  <si>
    <t>Demirova, Siyka/V-4825-2017</t>
  </si>
  <si>
    <t>Research and Development Sector at the Technical University of Sofia</t>
  </si>
  <si>
    <t>Acknowledgements and Funding The authors would like to thank the Research and Development Sector at the Technical University of Sofia for the financial support.</t>
  </si>
  <si>
    <t>10.53656/str2024-6s-6-dev</t>
  </si>
  <si>
    <t>WOS:001396146800006</t>
  </si>
  <si>
    <t>Pardo, E; Le Cam, E; Verdonk, F</t>
  </si>
  <si>
    <t>Pardo, Emmanuel; Le Cam, Elena; Verdonk, Franck</t>
  </si>
  <si>
    <t>Artificial intelligence and nonoperating room anesthesia</t>
  </si>
  <si>
    <t>artificial intelligence; machine learning; nonoperating room anesthesia</t>
  </si>
  <si>
    <t>MODEL; CLASSIFICATION; PREDICTION; HYPOXEMIA; FEATURES; OUTCOMES; RISK; CARE</t>
  </si>
  <si>
    <t>Purpose of reviewThe integration of artificial intelligence (AI) in nonoperating room anesthesia (NORA) represents a timely and significant advancement. As the demand for NORA services expands, the application of AI is poised to improve patient selection, perioperative care, and anesthesia delivery. This review examines AI's growing impact on NORA and how it can optimize our clinical practice in the near future.Recent findingsAI has already improved various aspects of anesthesia, including preoperative assessment, intraoperative management, and postoperative care. Studies highlight AI's role in patient risk stratification, real-time decision support, and predictive modeling for patient outcomes. Notably, AI applications can be used to target patients at risk of complications, alert clinicians to the upcoming occurrence of an intraoperative adverse event such as hypotension or hypoxemia, or predict their tolerance of anesthesia after the procedure. Despite these advances, challenges persist, including ethical considerations, algorithmic bias, data security, and the need for transparent decision-making processes within AI systems.SummaryThe findings underscore the substantial benefits of AI in NORA, which include improved safety, efficiency, and personalized care. AI's predictive capabilities in assessing hypoxemia risk and other perioperative events, have demonstrated potential to exceed human prognostic accuracy. The implications of these findings advocate for a careful yet progressive adoption of AI in clinical practice, encouraging the development of robust ethical guidelines, continual professional training, and comprehensive data management strategies. Furthermore, AI's role in anesthesia underscores the need for multidisciplinary research to address the limitations and fully leverage AI's capabilities for patient-centered anesthesia care.</t>
  </si>
  <si>
    <t>[Pardo, Emmanuel; Le Cam, Elena; Verdonk, Franck] Sorbonne Univ, St Antoine Hosp, AP HP, Dept Anaesthesiol &amp; Crit Care,GRC 29,DMU DREAM, Paris, France</t>
  </si>
  <si>
    <t>Institut National de la Sante et de la Recherche Medicale (Inserm); Assistance Publique Hopitaux Paris (APHP); Sorbonne Universite; Hopital Universitaire Saint-Antoine - APHP</t>
  </si>
  <si>
    <t>Pardo, E (corresponding author), Hop St Antoine, Dept Anesthesie Reanimat, 184 Rue Faubourg St Antoine, Paris, France.</t>
  </si>
  <si>
    <t>Emmanuel.pardo@aphp.fr</t>
  </si>
  <si>
    <t>Verdonk, Franck/AAG-8997-2021</t>
  </si>
  <si>
    <t>Department of Anesthesiology and Critical Care of Saint-Antoine Hospital, Paris, France</t>
  </si>
  <si>
    <t>This work was supported by the Department of Anesthesiology and Critical Care of Saint-Antoine Hospital, Paris, France.</t>
  </si>
  <si>
    <t>10.1097/ACO.0000000000001388</t>
  </si>
  <si>
    <t>WO9B7</t>
  </si>
  <si>
    <t>WOS:001255924100002</t>
  </si>
  <si>
    <t>Klein, U; Depping, J; Wohlfahrt, L; Fassbender, P</t>
  </si>
  <si>
    <t>Klein, Uwe; Depping, Jana; Wohlfahrt, Laura; Fassbender, Pantaleon</t>
  </si>
  <si>
    <t>Application of artificial intelligence: risk perception and trust in the work context with different impact levels and task types</t>
  </si>
  <si>
    <t>Artificial intelligence; Automated decision-making; Trust; Risk perception; Workplace</t>
  </si>
  <si>
    <t>CONJOINT</t>
  </si>
  <si>
    <t>Following the studies of Araujo et al. (AI Soc 35:611-623, 2020) and Lee (Big Data Soc 5:1-16, 2018), this empirical study uses two scenario-based online experiments. The sample consists of 221 subjects from Germany, differing in both age and gender. The original studies are not replicated one-to-one. New scenarios are constructed as realistically as possible and focused on everyday work situations. They are based on the AI acceptance model of Scheuer (Grundlagen intelligenter KI-Assistenten und deren vertrauensvolle Nutzung. Springer, Wiesbaden, 2020) and are extended by individual descriptive elements of AI systems in comparison to the original studies. The first online experiment examines decisions made by artificial intelligence with varying degrees of impact. In the high-impact scenario, applicants are automatically selected for a job and immediately received an employment contract. In the low-impact scenario, three applicants are automatically invited for another interview. In addition, the relationship between age and risk perception is investigated. The second online experiment tests subjects' perceived trust in decisions made by artificial intelligence, either semi-automatically through the assistance of human experts or fully automatically in comparison. Two task types are distinguished. The task type that requires human skills-represented as a performance evaluation situation-and the task type that requires mechanical skills-represented as a work distribution situation. In addition, the extent of negative emotions in automated decisions is investigated. The results are related to the findings of Araujo et al. (AI Soc 35:611-623, 2020) and Lee (Big Data Soc 5:1-16, 2018). Implications for further research activities and practical relevance are discussed.</t>
  </si>
  <si>
    <t>[Klein, Uwe; Depping, Jana; Wohlfahrt, Laura] Hsch Fresenius Univ Appl Sci Wiesbaden, Moritzstr 17 A, D-65185 Wiesbaden, Germany; [Fassbender, Pantaleon] Twisters Management Consulting LLC, 16751 NE 5th St, Williston, FL 32696 USA</t>
  </si>
  <si>
    <t>Klein, U (corresponding author), Hsch Fresenius Univ Appl Sci Wiesbaden, Moritzstr 17 A, D-65185 Wiesbaden, Germany.</t>
  </si>
  <si>
    <t>uwe.klein@hs-fresenius.de</t>
  </si>
  <si>
    <t>Fassbender, Pantaleon/0000-0002-6683-3617; Klein, Uwe/0000-0002-7516-4347</t>
  </si>
  <si>
    <t>Open Access funding enabled and organized by Projekt DEAL. The authors did not receive support from any organization for the submitted work.</t>
  </si>
  <si>
    <t>10.1007/s00146-023-01699-w</t>
  </si>
  <si>
    <t>G4R9H</t>
  </si>
  <si>
    <t>WOS:000999721700001</t>
  </si>
  <si>
    <t>Suo, K; Shi, Y; Hung, CC; Bobbie, P</t>
  </si>
  <si>
    <t>Suo, Kun; Shi, Yong; Hung, Chih-Cheng; Bobbie, Patrick</t>
  </si>
  <si>
    <t>Quantifying Context Switch Overhead of Artificial Intelligence Workloads on the Cloud and Edges</t>
  </si>
  <si>
    <t>36TH ANNUAL ACM SYMPOSIUM ON APPLIED COMPUTING, SAC 2021</t>
  </si>
  <si>
    <t>36th Annual ACM Symposium on Applied Computing (SAC)</t>
  </si>
  <si>
    <t>MAR 22-26, 2021</t>
  </si>
  <si>
    <t>Assoc Comp Machinery,ACM Special Interest Grp Appl Comp</t>
  </si>
  <si>
    <t>Context switch; Artificial intelligence; System; Edge; Cloud</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</si>
  <si>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</si>
  <si>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[Suo, Kun; Shi, Yong; Hung, Chih-Cheng; Bobbie, Patrick] Kennesaw State Univ, Kennesaw, GA 30144 USA</t>
  </si>
  <si>
    <t>University System of Georgia; Kennesaw State University</t>
  </si>
  <si>
    <t>Suo, K (corresponding author), Kennesaw State Univ, Kennesaw, GA 30144 USA.</t>
  </si>
  <si>
    <t>ksuo@kennesaw.edu; yshi5@kennesaw.edu; chung1@kennesaw.edu; pbobbie@kennesaw.edu</t>
  </si>
  <si>
    <t>Suo, Kun/ABC-3030-2020</t>
  </si>
  <si>
    <t>Kennesaw State University</t>
  </si>
  <si>
    <t>We are grateful to our reviewers for their comments and suggestions on this paper. This research was supported by Seed Funding from Kennesaw State University.</t>
  </si>
  <si>
    <t>978-1-4503-8104-8</t>
  </si>
  <si>
    <t>10.1145/3412841.3441993</t>
  </si>
  <si>
    <t>Computer Science, Information Systems; Computer Science, Interdisciplinary Applications; Computer Science, Theory &amp; Methods</t>
  </si>
  <si>
    <t>BW1OE</t>
  </si>
  <si>
    <t>WOS:001108757100153</t>
  </si>
  <si>
    <t>Sanchez, JLM; Ruiz, MJU</t>
  </si>
  <si>
    <t>Manfredi Sanchez, Juan Luis; Ufarte Ruiz, Maria Jose</t>
  </si>
  <si>
    <t>Artificial intelligence and journalism: a tool to fight disinformation</t>
  </si>
  <si>
    <t>REVISTA CIDOB D AFERS INTERNATIONALS</t>
  </si>
  <si>
    <t>journalism; artificial intelligence (AI); disinformation; propaganda; censorship; citizenship</t>
  </si>
  <si>
    <t>COMPUTATIONAL JOURNALISM; NEWS; PERCEPTIONS; ALGORITHMS; EVOLUTION; PRIVACY; FUTURE</t>
  </si>
  <si>
    <t>This paper investigates the impact of artificial intelligence (AI) on journalism and disinformation. To achieve this, methodological design begins with a review of the scientific literature that is complemented by the analysis of three interrelated perspectives: journalistic, economic and ethical. The results reveal disinformation to be a polysemic phenomenon, complicating the design of public policies to counter it. AI's emergence presents an opportunity to contribute to this and develop the concept of citizenship along three lines: 1) improving the state of professional journalism; 2) managing privacy; and 3) an ethical approach to technological development, which helps make informative decision-making conscious and free from biases.</t>
  </si>
  <si>
    <t>[Manfredi Sanchez, Juan Luis] Univ Castilla La Mancha, Periodismo Int, Ciudad Real, Spain; [Ufarte Ruiz, Maria Jose] Univ Castilla La Mancha, Redacc Periodist, Ciudad Real, Spain</t>
  </si>
  <si>
    <t>Universidad de Castilla-La Mancha; Universidad de Castilla-La Mancha</t>
  </si>
  <si>
    <t>Sanchez, JLM (corresponding author), Univ Castilla La Mancha, Periodismo Int, Ciudad Real, Spain.</t>
  </si>
  <si>
    <t>juan.manfredi@uclm.es; Mariajose.ufarte@uclm.es</t>
  </si>
  <si>
    <t>Manfredi, Juan/V-9715-2019</t>
  </si>
  <si>
    <t>Manfredi-Sanchez, Juan Luis/0000-0001-9129-2907</t>
  </si>
  <si>
    <t>FUNDACIO CIDOB</t>
  </si>
  <si>
    <t>C ELISABETS, 12, BARCELONA, 08001, SPAIN</t>
  </si>
  <si>
    <t>1133-6595</t>
  </si>
  <si>
    <t>2013-035X</t>
  </si>
  <si>
    <t>REV CIDOB AFERS INF</t>
  </si>
  <si>
    <t>Rev. CIDOB Afers Int.</t>
  </si>
  <si>
    <t>10.24241/rcai.2020.124.1.49</t>
  </si>
  <si>
    <t>LO3XN</t>
  </si>
  <si>
    <t>WOS:000533563500004</t>
  </si>
  <si>
    <t>El-Helaly, M</t>
  </si>
  <si>
    <t>El-Helaly, Mohamed</t>
  </si>
  <si>
    <t>Artificial Intelligence and Occupational Health and Safety, Benefits and Drawbacks</t>
  </si>
  <si>
    <t>MEDICINA DEL LAVORO</t>
  </si>
  <si>
    <t>Artificial Intelligence; Occupational Health; Safety; Mental Health; Hazard; Wearable Devices</t>
  </si>
  <si>
    <t>WORKING; IMPACT</t>
  </si>
  <si>
    <t>This paper discusses the impact of artificial intelligence (AI) on occupational health and safety. Although the integration of AI into the field of occupational health and safety is still in its early stages, it has numerous applications in the workplace. Some of these applications offer numerous benefits for the health and safety of workers, such as continuous monitoring of workers' health and safety and the workplace environment through wearable devices and sensors. However, AI might have negative impacts in the workplace, such as ethical worries and data privacy concerns. To maximize the benefits and minimize the drawbacks of AI in the workplace, certain measures should be applied, such as training for both employers and employees and setting policies and guidelines regulating the integration of AI in the workplace.</t>
  </si>
  <si>
    <t>[El-Helaly, Mohamed] Mansoura Univ, Fac Med, Occupat &amp; Environm Med, Mansoura, Egypt; [El-Helaly, Mohamed] New Mansoura Univ, Fac Med, New Mansoura City, Egypt</t>
  </si>
  <si>
    <t>Egyptian Knowledge Bank (EKB); Mansoura University; New Mansoura University</t>
  </si>
  <si>
    <t>El-Helaly, M (corresponding author), Mansoura Univ, Fac Med, Occupat &amp; Environm Med, Mansoura, Egypt.;El-Helaly, M (corresponding author), New Mansoura Univ, Fac Med, New Mansoura City, Egypt.</t>
  </si>
  <si>
    <t>mhelaly72@gmail.com</t>
  </si>
  <si>
    <t>El-Helaly, Mohamed/ABD-1526-2021</t>
  </si>
  <si>
    <t>El-Helaly, Mohamed/0000-0002-8415-2639</t>
  </si>
  <si>
    <t>MATTIOLI 1885</t>
  </si>
  <si>
    <t>FIDENZA</t>
  </si>
  <si>
    <t>VIA DELLA LODESANA 649-SX, FIDENZA, 43046 PR, ITALY</t>
  </si>
  <si>
    <t>0025-7818</t>
  </si>
  <si>
    <t>MED LAV</t>
  </si>
  <si>
    <t>Med. Lav.</t>
  </si>
  <si>
    <t>e2024014</t>
  </si>
  <si>
    <t>10.23749/mdl.v115i2.15835</t>
  </si>
  <si>
    <t>QU2X2</t>
  </si>
  <si>
    <t>WOS:001223327200004</t>
  </si>
  <si>
    <t>Yadav, S; Kapoor, S</t>
  </si>
  <si>
    <t>Yadav, Swati; Kapoor, Shikha</t>
  </si>
  <si>
    <t>Adopting artificial intelligence (AI) for employee recruitment: the influence of contextual factors</t>
  </si>
  <si>
    <t>Artificial intelligence; HRM technology; Recruitment; TOE model; Transaction cost</t>
  </si>
  <si>
    <t>ASSET SPECIFICITY; INNOVATION; DETERMINANTS; UNCERTAINTY; ENVIRONMENT; SUCCESS; IMPACT; HRM</t>
  </si>
  <si>
    <t>In the field of HRM, artificial intelligence (AI) has already been touted as a potentially useful technique, yet there has been scant academic study conducted on the subject. In this study, we aim to apply the technology, organization, and environment (TOE) model from information systems research as well as transaction cost theory to gain a deeper understanding of the factors that promote and inhibit the adoption of artificial intelligence by businesses in the context of employee recruitment. Survey findings from 296 business organizations reveal that businesses' perceptions of AI's complexities are a barrier to its implementation, whereas technological competency and regulatory backing are factors that boost its use. The distinct features of AI, the size of the organization, or the industry have no impact in determining whether an enterprise would use AI. Transaction costs also have a moderating effect on organizations' technological competency and the power of technological complexity.</t>
  </si>
  <si>
    <t>[Yadav, Swati; Kapoor, Shikha] Amity Univ, Noida, India</t>
  </si>
  <si>
    <t>Yadav, S (corresponding author), Amity Univ, Noida, India.</t>
  </si>
  <si>
    <t>Swatiyadav.300205@gmail.com; skapoor2@amity.edu</t>
  </si>
  <si>
    <t>, swati/0000-0001-5888-4492</t>
  </si>
  <si>
    <t>10.1007/s13198-023-02163-0</t>
  </si>
  <si>
    <t>UP1C5</t>
  </si>
  <si>
    <t>WOS:001072262200002</t>
  </si>
  <si>
    <t>Cabral, B; Salles, S</t>
  </si>
  <si>
    <t>Cabral, Bernardo; Salles-Filho, Sergio</t>
  </si>
  <si>
    <t>Mapping science in artificial intelligence policy development: formulation, trends, and influences</t>
  </si>
  <si>
    <t>SCIENCE AND PUBLIC POLICY</t>
  </si>
  <si>
    <t>artificial intelligence; policy documents; Overton; bibliometrics</t>
  </si>
  <si>
    <t>AI; DOCUMENTS; IMPACT</t>
  </si>
  <si>
    <t>This research maps the evolution of artificial intelligence (AI) policy and its scientific underpinnings. First, we analyzed the global AI policy landscape using the Overton policy documents database, which comprises millions of policy documents. Findings reveal a substantial increase in AI policy documents since 2018, with the USA, European Union (EU), and intergovernmental organizations leading policy development efforts. We also analyzed the scientific articles referenced within these policies. The USA stood out as a central hub in the production and funding of AI research, with other Global North countries playing a notable role alongside China. The research cited in AI policy documents predominantly features journals with a high-impact factor, such as Nature and Science. This analysis aims to deepen the understanding of the AI policy landscape, offering insights for academics and policymakers and contributing to managing AI's global governance.</t>
  </si>
  <si>
    <t>[Cabral, Bernardo; Salles-Filho, Sergio] Univ Estadual Campinas, Dept Sci &amp; Technol Policy, Rua Carlos Gomes, 250, BR-13083855 Campinas, SP, Brazil; [Cabral, Bernardo] Univ Fed Bahia, Dept Econ, Praca Treze Maio n? 6-2? Andar Sala 206-Dois Julho, BR-40060300 Salvador, Bahia, Brazil</t>
  </si>
  <si>
    <t>Universidade Estadual de Campinas; Universidade Federal da Bahia</t>
  </si>
  <si>
    <t>Cabral, B (corresponding author), Univ Fed Bahia, Dept Econ, Praca Treze Maio n? 6-2? Andar Sala 206-Dois Julho, BR-40060300 Salvador, Bahia, Brazil.</t>
  </si>
  <si>
    <t>bernardo.cabral@fiocruz.br</t>
  </si>
  <si>
    <t>Cabral, Bernardo Pereira/U-8453-2018</t>
  </si>
  <si>
    <t>Cabral, Bernardo Pereira/0000-0001-8242-1244</t>
  </si>
  <si>
    <t>Sao Paulo Research Foundation (FAPESP)</t>
  </si>
  <si>
    <t>Sao Paulo Research Foundation (FAPESP)(Fundacao de Amparo a Pesquisa do Estado de Sao Paulo (FAPESP))</t>
  </si>
  <si>
    <t>This study was funded by the Sao Paulo Research Foundation (FAPESP).</t>
  </si>
  <si>
    <t>0302-3427</t>
  </si>
  <si>
    <t>1471-5430</t>
  </si>
  <si>
    <t>SCI PUBL POLICY</t>
  </si>
  <si>
    <t>Sci. Public Policy</t>
  </si>
  <si>
    <t>10.1093/scipol/scae052</t>
  </si>
  <si>
    <t>Environmental Studies; Management; Public Administration</t>
  </si>
  <si>
    <t>Environmental Sciences &amp; Ecology; Business &amp; Economics; Public Administration</t>
  </si>
  <si>
    <t>O9L2A</t>
  </si>
  <si>
    <t>WOS:001315351500001</t>
  </si>
  <si>
    <t>Ma, XZ; Weng, SM; Zhao, X; Li, J; Haider, S</t>
  </si>
  <si>
    <t>Ma, Xinzhen; Weng, Shimei; Zhao, Xin; Li, Jing; Haider, Sajjad</t>
  </si>
  <si>
    <t>Investigating the impact of artificial intelligence development on water pollution in China</t>
  </si>
  <si>
    <t>Artificial intelligence; Water pollution; Impact effect; Regional heterogeneity; Sustainable development</t>
  </si>
  <si>
    <t>QUALITY; TECHNOLOGY; PREDICTION; GROWTH</t>
  </si>
  <si>
    <t>Analysing the impacts of AI development on water pollution is of great significance for improving water environment management measures and promoting global sustainable development. In this study, macro and micro panel data of China from 2008 to 2019 were used to measure the development level of AI at the industry and provincial levels in China, and a panel data regression model was constructed to analyse the effects of AI development on water pollution and regional heterogeneity. The measurement results show that the development level of AI is increasing. Among the six industries, the intelligence level of the manufacturing industry has developed the fastest, by approximately 48.74 times compared with the baseline. At the provincial level, Guangdong Province made the greatest progress in intelligence level, increasing by approximately 23.6 times. The regression results show that AI technology is helpful in reducing the level of water pollution, and this conclusion remains valid after the regression of instrumental variables and robustness testing. In terms of regional heterogeneity, AI technology can significantly reduce the degree of water pollution in eastern and western China. However, the development of AI technology in the central region has no significant impact on water pollution, and a risk of increasing the degree of water pollution exists. The reasons may be that the eastern region has high levels of economic vitality and technological innovation and a strong ability to transform AI achievements, which can significantly improve the water environment. Industrial support policies in the western region are strong, and the application of AI can quickly improve production methods and significantly reduce water pollution levels. In comparison, the levels of economic development, technological innovation, and policy support in the central region need to be strengthened, so the environmental effect of AI is not significant. (c) 2024 International Association for Gondwana Research. Published by Elsevier B.V. All rights reserved.</t>
  </si>
  <si>
    <t>[Ma, Xinzhen] Zhejiang Univ, Coll Civil Engn &amp; Architecture, Hangzhou 310058, Peoples R China; [Ma, Xinzhen] Zhejiang Univ, Polytech Inst, Hangzhou 310015, Peoples R China; [Weng, Shimei] Fujian Normal Univ, Sch Math &amp; Stat, Fuzhou 350117, Peoples R China; [Zhao, Xin] Anhui Univ Finance &amp; Econ, Sch Stat &amp; Appl Math, Bengbu 233030, Peoples R China; [Li, Jing] Lanzhou Univ, Sch Econ, Lanzhou 730000, Peoples R China; [Haider, Sajjad] King Saud Univ, Coll Engn, Chem Engn Dept, POB 800, Riyadh 11421, Saudi Arabia</t>
  </si>
  <si>
    <t>Zhejiang University; Zhejiang University; Fujian Normal University; Anhui University of Finance &amp; Economics; Lanzhou University; King Saud University</t>
  </si>
  <si>
    <t>Li, J (corresponding author), Lanzhou Univ, Sch Econ, Lanzhou 730000, Peoples R China.</t>
  </si>
  <si>
    <t>maxzhen202105@163.com; 18895620843@163.com; zhaoshin_1993@163.com; jl@lzu.edu.cn; shaider@ksu.edu.sa</t>
  </si>
  <si>
    <t>Haider, Sajjad/C-2913-2011; Zhao, Xin/AAS-9765-2020</t>
  </si>
  <si>
    <t>Haider, Sajjad/0000-0002-2140-2469; Zhao, Xin/0000-0002-6232-9835</t>
  </si>
  <si>
    <t>Social Sciences Planning Youth Project of Anhui Province [AHSKQ2022D138]; Inno- vation Development Research Project of Anhui Province [2023CX507]; Anhui Province Excellent Young Talents Fund Program of Higher Education Institutions [2023AH030015]; Ministry of Education of the People's Republic of China Humanities and Social Sciences Youth Founda- tion [22YJC910014, RSP2024R399]; Kind Saud University, Riyadh, Saudi Arabia</t>
  </si>
  <si>
    <t>Social Sciences Planning Youth Project of Anhui Province; Inno- vation Development Research Project of Anhui Province; Anhui Province Excellent Young Talents Fund Program of Higher Education Institutions; Ministry of Education of the People's Republic of China Humanities and Social Sciences Youth Founda- tion; Kind Saud University, Riyadh, Saudi Arabia</t>
  </si>
  <si>
    <t>This work was supported by the Social Sciences Planning Youth Project of Anhui Province (Grant No. AHSKQ2022D138) , the Inno- vation Development Research Project of Anhui Province (Grant No. 2023CX507) , the Anhui Province Excellent Young Talents Fund Program of Higher Education Institutions (Grant No. 2023AH030015) , and the Ministry of Education of the People's Republic of China Humanities and Social Sciences Youth Founda- tion (Grant No. 22YJC910014) . The authors sincerely appreciate funding from Researchers Supporting Project Number (RSP2024R399) , Kind Saud University, Riyadh, Saudi Arabia.</t>
  </si>
  <si>
    <t>10.1016/j.gr.2024.04.011</t>
  </si>
  <si>
    <t>TP6R7</t>
  </si>
  <si>
    <t>WOS:001242508000001</t>
  </si>
  <si>
    <t>Cao, Y; Gao, XW; Yin, HF; Yu, KX; Zhou, D</t>
  </si>
  <si>
    <t>Cao, Ying; Gao, Xuewen; Yin, Hanfang; Yu, Kexin; Zhou, Di</t>
  </si>
  <si>
    <t>Reimagining Tradition: A Comparative Study of Artificial Intelligence and Virtual Reality in Sustainable Architecture Education</t>
  </si>
  <si>
    <t>artificial intelligence; virtual reality; sustainable education; traditional architecture</t>
  </si>
  <si>
    <t>Artificial intelligence and virtual reality technologies have significant potential in traditional architectural education. Historically used separately, their educational impacts are not fully understood. To advance sustainable architecture education, this study incorporates language and illustration tools of artificial intelligence, along with immersive painting and simulation capabilities of virtual reality, into the curriculum of Jiangnan traditional architecture. Through a randomized controlled trial, 60 students were divided into AI, VR, and control groups. Based on the establishment of an adaptive course learning assessment system, this study empirically compares the effects of artificial intelligence methods, virtual reality methods, and traditional teaching methods across four dimensions: architectural knowledge, architectural design, architectural computation, and architectural learning. Independent sample t-tests and one-way analysis of variance are used to validate the differences in the effectiveness of these technological applications. Findings reveal that artificial intelligence notably enhances design and learning outcomes, whereas virtual reality shows pronounced effects in bolstering knowledge acquisition and computational tasks. Artificial intelligence proves particularly suited to conceptualization and narrative-based design tasks, while virtual reality aligns closely with model creation and post-design refinement activities. These findings provide new perspectives for hybridizing artificial intelligence and virtual reality in sustainable architecture education, contributing to sustainable outcomes.</t>
  </si>
  <si>
    <t>[Cao, Ying; Gao, Xuewen; Yin, Hanfang; Yu, Kexin; Zhou, Di] Nanjing Univ Sci &amp; Technol, Sch Design Art &amp; Media, Nanjing 210094, Peoples R China</t>
  </si>
  <si>
    <t>Cao, Y (corresponding author), Nanjing Univ Sci &amp; Technol, Sch Design Art &amp; Media, Nanjing 210094, Peoples R China.</t>
  </si>
  <si>
    <t>caoying@njust.edu.cn; gaoxuewen@njust.edu.cn; 123109011044@njust.edu.cn; yukexin@njust.edu.cn; zhoudi@njust.edu.cn</t>
  </si>
  <si>
    <t>Yu, Kexin/HKF-7262-2023; Yu, Kexin/GLN-7437-2022</t>
  </si>
  <si>
    <t>Yu, Kexin/0009-0003-8917-2537</t>
  </si>
  <si>
    <t>Jiangsu Provincial Social Science Foundation Project; [21YSB008]</t>
  </si>
  <si>
    <t>Jiangsu Provincial Social Science Foundation Project;</t>
  </si>
  <si>
    <t>This research was funded by the Jiangsu Provincial Social Science Foundation Project, grant number 21YSB008.</t>
  </si>
  <si>
    <t>10.3390/su162411135</t>
  </si>
  <si>
    <t>Q8G3P</t>
  </si>
  <si>
    <t>WOS:001386989100001</t>
  </si>
  <si>
    <t>Horn, RL; Weisz, JR</t>
  </si>
  <si>
    <t>Horn, Rachel L.; Weisz, John R.</t>
  </si>
  <si>
    <t>Can Artificial Intelligence Improve Psychotherapy Research and Practice?</t>
  </si>
  <si>
    <t>ADMINISTRATION AND POLICY IN MENTAL HEALTH AND MENTAL HEALTH SERVICES RESEARCH</t>
  </si>
  <si>
    <t>Artificial intelligence; Psychotherapy; Methodological limitations; Machine learning</t>
  </si>
  <si>
    <t>Leonard Bickman's article on the future of artificial intelligence (AI) in psychotherapy research paints an encouraging picture of the progress to be made in this field. We support his perspective, but we also offer some cautionary notes about the boost AI can provide. We suggest that AI is not likely to transform psychotherapy research or practice to the degree seen in pharmacology and medicine because the factors that contribute to treatment response in these realms differ so markedly from one another, and in ways that do not favor advances in psychotherapy. Despite this limitation, it seems likely that AI will have a beneficial impact, improving empirical analysis through data-driven model development, tools for addressing the limitations of traditional regression methods, and novel means of personalizing treatment. In addition, AI has the potential to augment the reach of the researcher and therapist by expanding our ability to gather data and deliver interventions beyond the confines of the lab or clinical office.</t>
  </si>
  <si>
    <t>[Horn, Rachel L.; Weisz, John R.] Harvard Univ, Dept Psychol, 33 Kirkland St, Cambridge, MA 02138 USA</t>
  </si>
  <si>
    <t>Horn, RL (corresponding author), Harvard Univ, Dept Psychol, 33 Kirkland St, Cambridge, MA 02138 USA.</t>
  </si>
  <si>
    <t>rachelhorn@g.harvard.edu; john_weisz@harvard.edu</t>
  </si>
  <si>
    <t>Horn, Rachel/0000-0002-0646-3757</t>
  </si>
  <si>
    <t>0894-587X</t>
  </si>
  <si>
    <t>1573-3289</t>
  </si>
  <si>
    <t>ADM POLICY MENT HLTH</t>
  </si>
  <si>
    <t>Adm. Policy. Ment. Health</t>
  </si>
  <si>
    <t>10.1007/s10488-020-01056-9</t>
  </si>
  <si>
    <t>JUL 2020</t>
  </si>
  <si>
    <t>Health Policy &amp; Services; Public, Environmental &amp; Occupational Health</t>
  </si>
  <si>
    <t>MU1WK</t>
  </si>
  <si>
    <t>WOS:000552603400006</t>
  </si>
  <si>
    <t>Ashinze, P; Akande, E; Bethrand, C; Obafemi, E; David, OOO; Akobe, SN; Joyce, NO; Izuchukwu, OJ; Okoro, NP</t>
  </si>
  <si>
    <t>Ashinze, Patrick; Akande, Eniola; Bethrand, Chukwu; Obafemi, Eniola; David, Olafisoye-Oragbade Oluwatosin; Akobe, Suleiman Nasiru; Joyce, Ndubuisi Onyinyechukwu; Izuchukwu, Obidiegwu Jonathan; Okoro, Ngozi Peace</t>
  </si>
  <si>
    <t>Artificial intelligence: transforming cardiovascular healthcare in Africa</t>
  </si>
  <si>
    <t>EGYPTIAN HEART JOURNAL</t>
  </si>
  <si>
    <t>Artificial Intelligence; Cardiovascular diseases; Africa</t>
  </si>
  <si>
    <t>BackgroundCardiovascular diseases (CVDs), a significant global health concern, are responsible for 13% of all deaths particularly in Africa, where they contribute substantially to the global disease burden, taking several millions of lives globally and annually. Despite advancements in healthcare, the burden of CVDs continues to rise steadily. This comprehensive review critically examines the intersection of artificial intelligence (AI) and cardiovascular disease (CVD) management in Africa. Drawing on a diverse gamut of scholarly literature and empirical evidence, the review assesses the prevalence, impact, and challenges of CVDs in the African context.Main bodyThe review highlights the potential of AI technologies to revolutionize CVD care, offering insights into its applications in diagnosis, treatment optimization, and remote patient monitoring. It explores existing literature sourced from databases like PUBMED, Scopus and Google Scholar about the current state of AI implementation in African healthcare systems, which are majorly resource-constrained, discussing successes, limitations, and future prospects. The work includes the prevalence and impact of CVDs in Africa, noting the significant public health burden and economic implications. Current challenges in addressing CVDs are outlined, focusing on resource constraints, healthcare system challenges, and socioeconomic factors. Our review takes a dive into AI's role in healthcare, emphasizing its capabilities in disease diagnosis, treatment optimization, and patient monitoring, and presents current applications and case studies of AI in African cardiovascular healthcare. It also addresses the challenges and limitations of implementing AI in this context, such as inadequate infrastructure, lack of high-quality data, and the need for regulatory frameworks.ConclusionOur review emphasizes the urgent need for collaborative efforts among policymakers, healthcare providers, and researchers to overcome barriers to AI integration and ensure equitable access to innovative healthcare solutions. By fetching existing research and offering practical recommendations, this review contributes to the academic discourse on AI-driven healthcare interventions in Africa, offering an understanding of the opportunities and challenges in leveraging technology to address pressing public health concerns. It calls for increased research, investment, and collaboration to harness AI's full potential in transforming cardiovascular healthcare in Africa.</t>
  </si>
  <si>
    <t>[Ashinze, Patrick; Akande, Eniola; Bethrand, Chukwu; Obafemi, Eniola; David, Olafisoye-Oragbade Oluwatosin; Akobe, Suleiman Nasiru] Univ Ilorin, Fac Clin Sci, Ilorin, Nigeria; [Joyce, Ndubuisi Onyinyechukwu] Chukwuemeka Odumegwu Ojukwu Univ Teaching Hosp, Anambra, Nigeria; [Izuchukwu, Obidiegwu Jonathan] Univ Nigeria, Fac Clin Sci, Nsukka, Nigeria; [Okoro, Ngozi Peace] David Umahi Fed Univ, Teaching Hosp, Dept Med, Uburu, Ebonyi, Nigeria</t>
  </si>
  <si>
    <t>University of Ilorin; University of Nigeria</t>
  </si>
  <si>
    <t>Ashinze, P (corresponding author), Univ Ilorin, Fac Clin Sci, Ilorin, Nigeria.</t>
  </si>
  <si>
    <t>patrickashinze@yahoo.com</t>
  </si>
  <si>
    <t>Ashinze, Patrick/0009-0007-9137-5498</t>
  </si>
  <si>
    <t>1110-2608</t>
  </si>
  <si>
    <t>2090-911X</t>
  </si>
  <si>
    <t>EGYPT HEART J</t>
  </si>
  <si>
    <t>Egypt. Heart J.</t>
  </si>
  <si>
    <t>10.1186/s43044-024-00551-w</t>
  </si>
  <si>
    <t>F0C7P</t>
  </si>
  <si>
    <t>WOS:001306594800001</t>
  </si>
  <si>
    <t>Manhiça, R; Santos, A; Cravino, J</t>
  </si>
  <si>
    <t>Manhica, Ruben; Santos, Arnaldo; Cravino, Jose</t>
  </si>
  <si>
    <t>The Impact of Artificial Intelligence on a Learning Management System in a Higher Education Context: A Position Paper</t>
  </si>
  <si>
    <t>Artificial Intelligence (AI); Higher education; Learning Management System (LMS); Position paper</t>
  </si>
  <si>
    <t>This position paper provides an overview of the most important practices in the field of Artificial Intelligence (AI) used in educational contexts, with a focus on the main platforms used for teaching (LMS) to support the development of a research work at EduardoMondlane University (UEM) in Mozambique. To that end, definitions and descriptions of relevant terms, a brief historical overview of Artificial Intelligence (AI) in education and an overview of the common goals and practices of using computational methods in educational contexts are provided. The state of the art regarding the adaptation and use of Artificial Intelligence is presented and we discuss the potential benefits and the open challenges. The paper also presents the methodology and key steps which will be developed at UEM to achieve the research goals.</t>
  </si>
  <si>
    <t>[Manhica, Ruben; Santos, Arnaldo; Cravino, Jose] Univ Tras Os Montes &amp; Alto Douro UTAD, Vila Real, Portugal</t>
  </si>
  <si>
    <t>University of Tras-os-Montes &amp; Alto Douro</t>
  </si>
  <si>
    <t>Manhiça, R (corresponding author), Univ Tras Os Montes &amp; Alto Douro UTAD, Vila Real, Portugal.</t>
  </si>
  <si>
    <t>rubenmmanhica@yahoo.com.br</t>
  </si>
  <si>
    <t>Cravino, Jose/B-4337-2008</t>
  </si>
  <si>
    <t>Cravino, Jose/0000-0002-5376-6128; Manhica, Ruben/0000-0001-7040-536X; Santos, Arnaldo/0000-0001-5139-6728</t>
  </si>
  <si>
    <t>10.1007/978-3-031-22918-3_36</t>
  </si>
  <si>
    <t>WOS:000976791200036</t>
  </si>
  <si>
    <t>van Leeuwen, KG; de Rooij, M; Schalekamp, S; van Ginneken, B; Rutten, MJCM</t>
  </si>
  <si>
    <t>van Leeuwen, Kicky G.; de Rooij, Maarten; Schalekamp, Steven; van Ginneken, Bram; Rutten, Matthieu J. C. M.</t>
  </si>
  <si>
    <t>How does artificial intelligence in radiology improve efficiency and health outcomes?</t>
  </si>
  <si>
    <t>Artificial intelligence; Pediatrics; Evidence-based practice; Impact analysis; Innovation; Radiology; Value-based health care</t>
  </si>
  <si>
    <t>COMPUTER-AIDED DETECTION; DIAGNOSTIC-ACCURACY; CHEST RADIOGRAPHS; PROGRAM; RISK; TUBERCULOSIS</t>
  </si>
  <si>
    <t>Since the introduction of artificial intelligence (AI) in radiology, the promise has been that it will improve health care and reduce costs. Has AI been able to fulfill that promise? We describe six clinical objectives that can be supported by AI: a more efficient workflow, shortened reading time, a reduction of dose and contrast agents, earlier detection of disease, improved diagnostic accuracy and more personalized diagnostics. We provide examples of use cases including the available scientific evidence for its impact based on a hierarchical model of efficacy. We conclude that the market is still maturing and little is known about the contribution of AI to clinical practice. More real-world monitoring of AI in clinical practice is expected to aid in determining the value of AI and making informed decisions on development, procurement and reimbursement.</t>
  </si>
  <si>
    <t>[van Leeuwen, Kicky G.; de Rooij, Maarten; Schalekamp, Steven; van Ginneken, Bram; Rutten, Matthieu J. C. M.] Radboud Univ Nijmegen, Dept Med Imaging, Med Ctr, POB 9101, NL-6500 HB Nijmegen, Netherlands; [Rutten, Matthieu J. C. M.] Jeroen Bosch Hosp, Dept Radiol, Shertogenbosch, Netherlands</t>
  </si>
  <si>
    <t>Radboud University Nijmegen; Jeroen Bosch Ziekenhuis</t>
  </si>
  <si>
    <t>van Leeuwen, KG (corresponding author), Radboud Univ Nijmegen, Dept Med Imaging, Med Ctr, POB 9101, NL-6500 HB Nijmegen, Netherlands.</t>
  </si>
  <si>
    <t>kicky.vanleeuwen@radboudumc.nl</t>
  </si>
  <si>
    <t>Schalekamp, Steven/Y-2572-2018; Razzak, Imran/AEW-5139-2022; de Rooij, Maarten/P-7805-2015</t>
  </si>
  <si>
    <t>Razzak, Imran/0000-0002-3930-6600; van Leeuwen, Kicky/0000-0002-8902-5161; de Rooij, Maarten/0000-0001-7257-7907</t>
  </si>
  <si>
    <t>10.1007/s00247-021-05114-8</t>
  </si>
  <si>
    <t>WOS:000660363000001</t>
  </si>
  <si>
    <t>Moller-Acuña, PA; Villarroel, GAC; Rojas-Díaz, PJ; Suárez, KTM</t>
  </si>
  <si>
    <t>Moller-acuna, Patricia Andrea; Villarroel, Giordano Aaron Castro; Rojas-diaz, Pedro Jose; Suarez, Katihuska Tahiri Mota</t>
  </si>
  <si>
    <t>ARTIFICIAL INTELLIGENCE IN CHILEAN UNIVERSITIES: ADVANTAGE OR DISADVANTAGE?</t>
  </si>
  <si>
    <t>NUANCES-ESTUDOS SOBRE EDUCACAO</t>
  </si>
  <si>
    <t>Higher education; Information Technology (ICT); Artificial intelligence; Innovation</t>
  </si>
  <si>
    <t>The article aims to explore the impact of artificial intelligence (AI) in the academic field of Chilean universities, evaluating both its benefits and possible disadvantages. A reflexive and documentary analysis was carried out where a questionnaire was applied to teachers about the use of AI in their educational processes, along with a bibliographic review of previous studies on the implementation of technology in higher education. Various areas of application are considered, such as the personalization of learning and the automation of tasks. The quantitative results reveal that 70% of the teachers surveyed consider that AI offers a significant advantage in the personalization of learning, while 65% recognize that the automation of administrative tasks has improved the management of resources and the time dedicated to teaching. However, 60% of teachers express concern about technological dependence and the possible decrease in pedagogical quality.</t>
  </si>
  <si>
    <t>[Moller-acuna, Patricia Andrea; Villarroel, Giordano Aaron Castro; Rojas-diaz, Pedro Jose] Univ Autonoma Chile, Talca, Chile; [Suarez, Katihuska Tahiri Mota] Univ Miguel de Cervantes, Santiago, Chile</t>
  </si>
  <si>
    <t>Universidad Autonoma de Chile</t>
  </si>
  <si>
    <t>Moller-Acuña, PA (corresponding author), Univ Autonoma Chile, Talca, Chile.</t>
  </si>
  <si>
    <t>patricia.moller@uautonoma.cl; pedro.rojas@uautonoma.cl; katihuska.mota@profe.umc.cl</t>
  </si>
  <si>
    <t>UNIV ESTADUAL PAULISTA JULIO MESQUITA FILHO, FAC CIENCIAS &amp; TECNOLOGIA</t>
  </si>
  <si>
    <t>PRESIDENTE PRUDENTE</t>
  </si>
  <si>
    <t>RUA ROBERTO SIMONSEN 305, JARDIM ROSAS, PRESIDENTE PRUDENTE, SP 19060-900, BRAZIL</t>
  </si>
  <si>
    <t>2236-0441</t>
  </si>
  <si>
    <t>NUANCES</t>
  </si>
  <si>
    <t>Nuances</t>
  </si>
  <si>
    <t>e024019</t>
  </si>
  <si>
    <t>10.32930/nuances.v35i00.10780</t>
  </si>
  <si>
    <t>Q0X5R</t>
  </si>
  <si>
    <t>WOS:001382024100001</t>
  </si>
  <si>
    <t>Belanche, D; Belk, RW; Casaló, LV; Flavián, C</t>
  </si>
  <si>
    <t>Belanche, Daniel; Belk, Russell W.; Casalo, Luis V.; Flavian, Carlos</t>
  </si>
  <si>
    <t>The dark side of artificial intelligence in services</t>
  </si>
  <si>
    <t>Artificial intelligence; generative AI; privacy; social inequalities; service interaction</t>
  </si>
  <si>
    <t>FRAMEWORK; MORALITY</t>
  </si>
  <si>
    <t>Artificial intelligence (AI) initiatives, including Generative AI, are being increasingly implemented in service industries, and are having a great impact on service operations and on customers' reactions and behaviors. Previous literature is overoptimistic about AI implementation, and there is still a need to explore the dark side of this technology; that is, its potential negative impacts on consumers, businesses, and society, as well as the moral concerns associated with AI use in services. To establish some fundamental insights related to this research domain, this paper contributes to previous AI based-services literature by proposing a three-part conceptual model inspired by Belanche et al. (2020a), comprised of AI design, customers, and the service encounter. Specifically, we identify key factors and research gaps within each category that need to be addressed. The final research questions provide a research agenda to guide scholars and help practitioners implement AI-based services while avoiding their potential negative outcomes.</t>
  </si>
  <si>
    <t>[Belanche, Daniel; Casalo, Luis V.; Flavian, Carlos] Univ Zaragoza, Fac Econ &amp; Business, Dept Mkt Management &amp; Market Res, Zaragoza 50005, Spain; [Belk, Russell W.] York Univ, Schulich Sch Business, Toronto, ON, Canada</t>
  </si>
  <si>
    <t>University of Zaragoza; York University - Canada</t>
  </si>
  <si>
    <t>Flavián, C (corresponding author), Univ Zaragoza, Fac Econ &amp; Business, Dept Mkt Management &amp; Market Res, Zaragoza 50005, Spain.</t>
  </si>
  <si>
    <t>Belk, Russell/E-7721-2015; Casaló, Luis/T-7450-2019; Belanche Gracia, Daniel/D-2200-2016; Flavian, Carlos/G-4365-2013</t>
  </si>
  <si>
    <t>Casalo, Luis V./0000-0002-9643-2814; Belanche Gracia, Daniel/0000-0002-2291-1409; Belk, Russell/0000-0001-6674-9792; Flavian, Carlos/0000-0001-7118-9013</t>
  </si>
  <si>
    <t>Spanish Ministry of Science, Innovation and Universities10.13039/501100004837</t>
  </si>
  <si>
    <t>Spanish Ministry of Science, Innovation and Universities10.13039/501100004837(Ministry of Science and Innovation, Spain (MICINN))</t>
  </si>
  <si>
    <t>3-4</t>
  </si>
  <si>
    <t>10.1080/02642069.2024.2305451</t>
  </si>
  <si>
    <t>HI0F2</t>
  </si>
  <si>
    <t>WOS:001151868300001</t>
  </si>
  <si>
    <t>Huang, KQ; Liu, QR</t>
  </si>
  <si>
    <t>Huang, Keqi; Liu, Qiren</t>
  </si>
  <si>
    <t>Artificial intelligence and outward foreign direct investment: Evidence from China</t>
  </si>
  <si>
    <t>Artificial intelligence; Industrial robots; Difference -in -differences; Outward foreign direct investment; OECD</t>
  </si>
  <si>
    <t>ROBOTS; EXPORT</t>
  </si>
  <si>
    <t>We investigate the impacts of robot adoption (a representative form of artificial intelligence) on outward foreign direct investment (OFDI) by firms in China. First, we construct a unique firmlevel dataset of A-share listed firms and conduct empirical analysis by adopting a staggered difference-in-differences (DID) strategy. Second, we find that changes in robot adoption on both the extensive and intensive margins encourage firms to conduct more OFDIs. Specifically, robot adoption has positive effects on multidimensional categories of OFDI but has no significant impact on buying OFDI. Third, we explore the underlying mechanism to show that the rise in output and growth of total factor productivity (TFP) matter. Fourth, we conduct a series of empirical tests to check robustness and obtain consistent results. Finally, we analyze the heterogeneous effects and find that adoption firms with state-owned ownership or higher profit tend to send more OFDI projects, especially to the Organization for Economic Co-operation and Development (OECD)-rich countries. Our findings elucidate the impact of robot adoption on OFDI at the firm level in developing and transition countries.</t>
  </si>
  <si>
    <t>[Huang, Keqi] Xian Univ Finance &amp; Econ, Sch Econ, Xian, Peoples R China; [Liu, Qiren] Guangzhou Univ, Sch Econ &amp; Stat, Guangzhou, Peoples R China; [Liu, Qiren] Nanjing Univ, Business Sch, Nanjing, Peoples R China; [Liu, Qiren] Guangzhou Higher Educ Mega Ctr, 230 Wai Huan Xi Rd, Guangzhou 510006, Peoples R China</t>
  </si>
  <si>
    <t>Xi'an University of Finance &amp; Economics; Guangzhou University; Nanjing University</t>
  </si>
  <si>
    <t>Liu, QR (corresponding author), Guangzhou Higher Educ Mega Ctr, 230 Wai Huan Xi Rd, Guangzhou 510006, Peoples R China.</t>
  </si>
  <si>
    <t>liuqiren@126.com</t>
  </si>
  <si>
    <t>Huang, Keqi/0000-0002-4034-2019</t>
  </si>
  <si>
    <t>National Social Science Fund of China [23AJL011]; Humanities and Social Sciences General Research Program of the Ministry of Education [22YJA790037]; China Postdoctoral Science Foundation [2021M690076, 2022T150316]; The 2024 Basic and Applied Basic Research Foundation of Guangdong Province</t>
  </si>
  <si>
    <t>National Social Science Fund of China; Humanities and Social Sciences General Research Program of the Ministry of Education; China Postdoctoral Science Foundation(China Postdoctoral Science Foundation); The 2024 Basic and Applied Basic Research Foundation of Guangdong Province</t>
  </si>
  <si>
    <t>This work was supported by the National Social Science Fund of China [grant number 23AJL011]; the Humanities and Social Sciences General Research Program of the Ministry of Education [grant number 22YJA790037]; the China Postdoctoral Science Foundation [grant number 2021M690076 and 2022T150316]; and the 2024 Basic and Applied Basic Research Foundation of Guangdong Province, Research on mechanism, path and policy of artificial intelligence technology affecting the development of digital trade.</t>
  </si>
  <si>
    <t>10.1016/j.asieco.2024.101745</t>
  </si>
  <si>
    <t>ST8Q9</t>
  </si>
  <si>
    <t>WOS:001236793900001</t>
  </si>
  <si>
    <t>Chen, H; Zhang, MY; Zeng, J; Wang, WH</t>
  </si>
  <si>
    <t>Chen, Hong; Zhang, Mengyun; Zeng, Jun; Wang, Wenhua</t>
  </si>
  <si>
    <t>Artificial intelligence and corporate risk-taking: Evidence from China</t>
  </si>
  <si>
    <t>CHINA JOURNAL OF ACCOUNTING RESEARCH</t>
  </si>
  <si>
    <t>Artificial intelligence; Risk-taking; Financing constraints</t>
  </si>
  <si>
    <t>SUPPLY CHAIN MANAGEMENT; DECISION-MAKING; ROBOTS; INVESTMENT</t>
  </si>
  <si>
    <t>The deep integration of artificial intelligence (AI) into enterprises presents both opportunities and challenges, making it a focal point of current research. This study explores the impact of AI on corporate risk-taking, using data spanning 2010-2019 from A-share listed companies in China. Our findings suggest that AI significantly heightens companies' level of risk-taking. Furthermore, financing constraints can amplify the relationship between AI and risk-taking, enhancing their sensitivity correlation. AI also significantly improves firms' investment efficiency and mitigates their underinvestment issues. Finally, mediation tests indicate that AI enhances risk-taking by diminishing firms' risk perception. Overall, we offer valuable insights into and references for accelerating the deep integration of AI into enterprises. (c) 2024 Sun Yat-sen University. Production and hosting by Elsevier B.V. This is an open access article under the CC BY-NC-ND license (http://creativecommons.org/licenses/by-nc-nd/4.0/).</t>
  </si>
  <si>
    <t>[Chen, Hong; Zhang, Mengyun; Zeng, Jun; Wang, Wenhua] Yunnan Univ Finance &amp; Econ, Sch Accountancy, Kunming 650221, Peoples R China; [Chen, Hong] Zhaotong Univ, Sch Management, Zhaotong 657000, Peoples R China; [Wang, Wenhua] Univ Int Business &amp; Econ, Business Sch, Beijing 100029, Peoples R China</t>
  </si>
  <si>
    <t>Yunnan University of Finance &amp; Economics; Zhaotong University; University of International Business &amp; Economics</t>
  </si>
  <si>
    <t>Zeng, J (corresponding author), 237 Longquan Rd, Kunming, Yunnan, Peoples R China.</t>
  </si>
  <si>
    <t>kukizjun@163.com</t>
  </si>
  <si>
    <t>Zhang, Mengyun/LZF-7719-2025</t>
  </si>
  <si>
    <t>Zhang, Meng-Yun/0000-0001-9086-5603</t>
  </si>
  <si>
    <t>National Natural Science Foundation of China [72262033, 72062033]; Ministry of Education of Humanities and Social Science Project [20YJC630043]; Yunnan Philos-ophy Social Science Project [ZD202212]; Yunnan Provincial Department of Education New Com-munity Governance Science and Technology Innovation Team</t>
  </si>
  <si>
    <t>National Natural Science Foundation of China(National Natural Science Foundation of China (NSFC)); Ministry of Education of Humanities and Social Science Project; Yunnan Philos-ophy Social Science Project; Yunnan Provincial Department of Education New Com-munity Governance Science and Technology Innovation Team</t>
  </si>
  <si>
    <t>This study was funded by the National Natural Science Foundation of China (No. 72262033, 72062033) , the Ministry of Education of Humanities and Social Science Project (No. 20YJC630043) , the Yunnan Philos-ophy Social Science Project (No. ZD202212) and the Yunnan Provincial Department of Education New Com-munity Governance Science and Technology Innovation Team.</t>
  </si>
  <si>
    <t>1755-3091</t>
  </si>
  <si>
    <t>CHINA J ACCOUNT RES</t>
  </si>
  <si>
    <t>China J. Account. Res.</t>
  </si>
  <si>
    <t>10.1016/j.cjar.2024.100372</t>
  </si>
  <si>
    <t>C4U5I</t>
  </si>
  <si>
    <t>WOS:001289328600001</t>
  </si>
  <si>
    <t>Warning, A; Weber, E; Püffel, A</t>
  </si>
  <si>
    <t>Warning, Anja; Weber, Enzo; Pueffel, Anouk</t>
  </si>
  <si>
    <t>On the Impact of Digitalization and Artificial Intelligence on Employers' Flexibility Requirements in Occupations-Empirical Evidence for Germany</t>
  </si>
  <si>
    <t>digitalization; artificial intelligence; flexible working conditions; occupations; employer survey</t>
  </si>
  <si>
    <t>WORK</t>
  </si>
  <si>
    <t>Artificial intelligence (AI) has a high application potential in many areas of the economy, and its use is expected to accelerate strongly in the coming years. This is linked with changes in working conditions that may be substantial and entail serious health risks for employees. With our paper we are the first to conduct an empirical analysis of employers' increasing flexibility requirements in the course of advancing digitalization, based on a representative business survey, the IAB Job Vacancy Survey. We combine establishment-level data from the survey and occupation-specific characteristics from other sources and apply non-linear random effects estimations. According to employers' assessments, office and secretarial occupations are undergoing the largest changes in terms of flexibility requirements, followed by other occupations that are highly relevant in the context of AI: occupations in company organization and strategy, vehicle/aerospace/shipbuilding technicians and occupations in insurance and financial services. The increasing requirements we observe most frequently are those concerning demands on employees' self-organization, although short-term working-time flexibility and workplace flexibility also play an important role. The estimation results show that the occupational characteristics, independently of the individual employer, play a major role for increasing flexibility requirements. For example, occupations with a larger share of routine cognitive activities (which in the literature are usually more closely associated with artificial intelligence than others) reveal a significantly higher probability of increasing flexibility demands, specifically with regard to the employees' self-organization. This supports the argument that AI changes above all work content and work processes. For the average age of the workforce and the unemployment rate in an occupation we find significantly negative effects. At the establishment level the share of female employees plays a significant negative role. Our findings provide clear indications for targeted action in labor market and education policy in order to minimize the risks and to strengthen the chances of an increasing application of AI technologies.</t>
  </si>
  <si>
    <t>[Warning, Anja; Weber, Enzo] Inst Employment Res IAB, Dept Forecasts &amp; Macroecon Anal, Nurnberg, Germany; [Weber, Enzo] Univ Regensburg, Inst Econ &amp; Econometr, Regensburg, Germany; [Pueffel, Anouk] Univ Regensburg, Regensburg, Germany</t>
  </si>
  <si>
    <t>University of Regensburg; University of Regensburg</t>
  </si>
  <si>
    <t>Warning, A (corresponding author), Inst Employment Res IAB, Dept Forecasts &amp; Macroecon Anal, Nurnberg, Germany.</t>
  </si>
  <si>
    <t>anja.warning@iab.de</t>
  </si>
  <si>
    <t>Weber, Enzo/0000-0002-9869-3524</t>
  </si>
  <si>
    <t>MAY 3</t>
  </si>
  <si>
    <t>10.3389/frai.2022.868789</t>
  </si>
  <si>
    <t>7W8AL</t>
  </si>
  <si>
    <t>WOS:000913729900001</t>
  </si>
  <si>
    <t>Kavak, A</t>
  </si>
  <si>
    <t>Kavak, Ali</t>
  </si>
  <si>
    <t>General Attitudes of Public Library Employees Towards Artificial Intelligence in Turkiye</t>
  </si>
  <si>
    <t>TURKISH LIBRARIANSHIP</t>
  </si>
  <si>
    <t>Public libraries; artificial intelligence; library staff; artificial intelligence scale</t>
  </si>
  <si>
    <t>FUTURE; IMPACT</t>
  </si>
  <si>
    <t>Purpose: The rapid development and spread of artificial intelligence (AI) technologies bring the use of these technologies in various fields to the agenda and increase their usage area. In this study, it was aimed to determine the general attitudes of the staff working in public libraries in Turkiye towards the positive and negative aspects of AI technologies. Method: Using the survey model, a quantitative research design, data were collected from 608 public library staff members who were selected by simple random selection from among the public libraries serving under the General Directorate of Libraries and Publications of the Ministry of Culture and Tourism of the Republic of Turkiye. The General Attitudes toward Artificial Intelligence Scale, adapted into Turkish, was used as a data collection tool. Findings: It was determined that the participants had supportive attitudes towards the positive aspects of AI, such as economic, technological, and occupational benefits, especially the statements that AI can outperform humans in routine operations and create economic opportunities. However, it was found that the participants were more ambivalent towards the items in the scale that contained negative statements, such as AI could be dangerous and could take people under surveillance and control. When evaluated as a whole, it was concluded that public library employees' attitudes toward the positive aspects of AI were more optimistic than their attitudes toward the negative aspects. Implications: In this study, which reveals the status of staff attitudes that should be considered in integrating AI technologies into library services, important results have been obtained regarding its contributions to public libraries and other information centers. In particular, the findings obtained regarding the attitudes of public library employees, from managers to librarians and other auxiliary staff, will provide important data for the planning of training and awareness-raising activities to be carried out for AI technologies. Originality: The study, which presents significant findings and implications, is unique because it is the first comprehensive study conducted in Turkiye to measure the attitudes of staff working in public libraries towards AI.</t>
  </si>
  <si>
    <t>[Kavak, Ali] Kirikkale Univ, Kirikkale, Turkiye</t>
  </si>
  <si>
    <t>Kirikkale University</t>
  </si>
  <si>
    <t>Kavak, A (corresponding author), Kirikkale Univ, Kirikkale, Turkiye.</t>
  </si>
  <si>
    <t>alikavak@kku.edu.tr</t>
  </si>
  <si>
    <t>Kavak, Ali/HRC-3915-2023</t>
  </si>
  <si>
    <t>TURKISH LIBRARIANS ASSOC</t>
  </si>
  <si>
    <t>ANKARA</t>
  </si>
  <si>
    <t>YENISEHIR, NECATIBEY CAD, ELGIN SOK, PO BOX 175, ANKARA, 06440, Turkiye</t>
  </si>
  <si>
    <t>1300-0039</t>
  </si>
  <si>
    <t>2147-9682</t>
  </si>
  <si>
    <t>TURK LIBRARIANSH</t>
  </si>
  <si>
    <t>Turk. Librariansh.</t>
  </si>
  <si>
    <t>10.24146/tk.1486759</t>
  </si>
  <si>
    <t>R9G0Z</t>
  </si>
  <si>
    <t>WOS:001394430100003</t>
  </si>
  <si>
    <t>Liu, YZ; Wu, XB; Sang, YD; Zhao, CP; Wang, Y; Shi, BJ; Fan, YB</t>
  </si>
  <si>
    <t>Liu, Yanzhen; Wu, Xinbao; Sang, Yudi; Zhao, Chunpeng; Wang, Yu; Shi, Bojing; Fan, Yubo</t>
  </si>
  <si>
    <t>Evolution of Surgical Robot Systems Enhanced by Artificial Intelligence: A Review</t>
  </si>
  <si>
    <t>algorithms; artificial intelligence; autonomous surgeries; sensors; surgical robot systems</t>
  </si>
  <si>
    <t>ASSISTED SURGERY; PERFORMANCE EVALUATION; DA VINCI; FUTURE; NEUROSURGERY; INSTRUMENT; CHALLENGES; GUIDANCE; FRACTURE; TRAUMA</t>
  </si>
  <si>
    <t>Surgical robot systems (SRS) represent an innovative cross-disciplinary research field using robotic technology to assist surgeons in operations. Current bottlenecks in SRS, such as the limited ability to process complex information and make surgical decisions, have not been effectively solved. Artificial intelligence (AI) is a valuable technique for simulating and extending human intelligence. AI offers a new direction and impetus for SRS by enhancing performance in areas such as perception, navigation, surgical planning, and control strategies. This review introduces the developmental history of AI-aided SRS, summarizes the basic SRS architecture, and analyzes how AI can improve SRS performance. Classical cases of AI-aided SRS, the impact of evidence in clinical settings, and associated ethical and legal considerations are explored. Finally, the challenges in AI-aided SRS are discussed, including algorithm development, surgical data science, human-robot coordination, and trust building between humans and robots. In this article, the development of surgical robot systems and artificial intelligence is systematically introduced, the general architecture of surgical robot systems is summarized, and the methods and evidence of artificial intelligence that enhance the performance of surgical robot systems are thoroughly analyzed. The current challenges and prospects of AI-aided surgical robot systems are discussed.image (c) 2024 WILEY-VCH GmbH</t>
  </si>
  <si>
    <t>[Liu, Yanzhen; Wang, Yu; Shi, Bojing; Fan, Yubo] Beihang Univ, Beijing Adv Innovat Ctr Biomed Engn, Sch Biol Sci &amp; Med Engn, Sch Engn Med,Key Lab Biomech &amp; Mechanobiol ,Minis, Beijing 100191, Peoples R China; [Wu, Xinbao; Zhao, Chunpeng] Peking Univ, Beijing Jishuitan Hosp, Sch Clin Med 4, Dept Trauma &amp; Orthopaed, Beijing 100035, Peoples R China; [Sang, Yudi] Univ Calif Los Angeles, Dept Bioengn, Los Angeles, CA 90024 USA</t>
  </si>
  <si>
    <t>Beihang University; Peking University; University of California System; University of California Los Angeles</t>
  </si>
  <si>
    <t>Wang, Y; Shi, BJ; Fan, YB (corresponding author), Beihang Univ, Beijing Adv Innovat Ctr Biomed Engn, Sch Biol Sci &amp; Med Engn, Sch Engn Med,Key Lab Biomech &amp; Mechanobiol ,Minis, Beijing 100191, Peoples R China.</t>
  </si>
  <si>
    <t>wangyu@buaa.edu.cn; bjshi@buaa.edu.cn; yubofan@buaa.edu.cn</t>
  </si>
  <si>
    <t>zhao, chunpeng/HPE-0868-2023; Sang, Yudi/HIA-0475-2022</t>
  </si>
  <si>
    <t>Liu, Yanzhen/0000-0003-3766-1171; Sang, Yudi/0000-0002-9971-2993</t>
  </si>
  <si>
    <t>National Natural Science Foundation of China; Fundamental Research Funds for the Central Universities; [T2288101]; [U20A20390]; [11827803]; [32101117]</t>
  </si>
  <si>
    <t>National Natural Science Foundation of China(National Natural Science Foundation of China (NSFC)); Fundamental Research Funds for the Central Universities(Fundamental Research Funds for the Central Universities); ; ; ;</t>
  </si>
  <si>
    <t>This work was supported by the National Natural Science Foundation of China (grant nos, T2288101, U20A20390, 11827803, and 32101117) and Fundamental Research Funds for the Central Universities.</t>
  </si>
  <si>
    <t>10.1002/aisy.202300268</t>
  </si>
  <si>
    <t>RF6L6</t>
  </si>
  <si>
    <t>WOS:001205596000001</t>
  </si>
  <si>
    <t>Collado-Mesa, F; Alvarez, E; Arheart, K</t>
  </si>
  <si>
    <t>Collado-Mesa, Fernando; Alvarez, Edilberto; Arheart, Kris</t>
  </si>
  <si>
    <t>The Role of Artificial Intelligence in Diagnostic Radiology: A Survey at a Single Radiology Residency Training Program</t>
  </si>
  <si>
    <t>Artificial intelligence; diagnostic radiology; residency program; survey</t>
  </si>
  <si>
    <t>Purpose: Advances in artificial intelligence applied to diagnostic radiology are predicted to have a major impact on this medical specialty. With the goal of establishing a baseline upon which to build educational activities on this topic, a survey was conducted among trainees and attending radiologists at a single residency program. Methods: An anonymous questionnaire was distributed. Comparisons of categorical data between groups (trainees and attending radiologists) were made using Pearson chi(2) analysis or an exact analysis when required. Comparisons were made using the Wilcoxon rank sum test when the data were not normally distributed. An alpha level of 0.05 was used. Results: The overall response rate was 66% (69 of 104). Thirty-six percent of participants (n = 25) reported not having read a scientific medical article on the topic of artificial intelligence during the past 12 months. Twenty-nine percent of respondents (n = 12) reported using artificial intelligence tools during their daily work. Trainees were more likely to express doubts on whether they would have pursued diagnostic radiology as a career had they known of the potential impact artificial intelligence is predicted to have on the specialty (P = .0254) and were also more likely to plan to learn about the topic (P = .0401). Conclusions: Radiologists lack exposure to current scientific medical articles on artificial intelligence. Trainees are concerned by the implications artificial intelligence may have on their jobs and desire to learn about the topic. There is a need to develop educational resources to help radiologists assume an active role in guiding and facilitating the development and implementation of artificial intelligence tools in diagnostic radiology.</t>
  </si>
  <si>
    <t>[Collado-Mesa, Fernando; Alvarez, Edilberto] Univ Miami, Miller Sch Med, Dept Radiol, 1611 NW 12th Ave,West Wing,Room 279, Miami, FL 33136 USA; [Arheart, Kris] Univ Miami, Miller Sch Med, Dept Publ Hlth Sci, Miami, FL 33136 USA</t>
  </si>
  <si>
    <t>University of Miami; University of Miami</t>
  </si>
  <si>
    <t>Collado-Mesa, F (corresponding author), Univ Miami, Miller Sch Med, Dept Radiol, 1611 NW 12th Ave,West Wing,Room 279, Miami, FL 33136 USA.</t>
  </si>
  <si>
    <t>fcollado@med.miami.edu</t>
  </si>
  <si>
    <t>Collado-Mesa, Fernando/0000-0003-0489-3566</t>
  </si>
  <si>
    <t>10.1016/j.jacr.2017.12.021</t>
  </si>
  <si>
    <t>HE0EG</t>
  </si>
  <si>
    <t>WOS:000452939000019</t>
  </si>
  <si>
    <t>Zhao, CY; Dong, KY; Wang, K; Nepal, R</t>
  </si>
  <si>
    <t>Zhao, Congyu; Dong, Kangyin; Wang, Kun; Nepal, Rabindra</t>
  </si>
  <si>
    <t>How does artificial intelligence promote renewable energy development? The role of climate finance</t>
  </si>
  <si>
    <t>Artificial intelligence; Renewable energy development; Climate finance; Moderation effect; Global case</t>
  </si>
  <si>
    <t>GROWTH</t>
  </si>
  <si>
    <t>Scholars, stakeholders, and the government have given significant attention to the development of renewable energy in recent times. However, previous research has failed to acknowledge the potential impact of artificial intelligence on advancing renewable energy development. Drawing insights from a global dataset encompassing 63 countries over the period 2000-2019, this paper provides significant observations regarding the influence of artificial intelligence on the progress of renewable energy, by using the Instrumental Variable Generalized Method of Moments model. We also explore their asymmetric nexus, and the potential mediation effect. Moreover, this study explores the moderating role of climate finance and highlights the following interesting findings. First, artificial intelligence contributes significantly to the enhanced development of renewable energy, and this primary finding holds after two robustness tests of changing independent and dependent variables. Second, artificial intelligence has an asymmetric effect on renewable energy development, and their nexus is closer in countries with lower levels of renewable energy development. Thid, artificial intelligence works on renewable energy development through technology effect and innovation effect. Fourth, climate finance also presents direct benefits to renewable energy development; simultaneously, climate finance plays an effective moderating role in the relationship between artificial intelligence and renewable energy development. These findings inspire us to propose policy implications to promote the enhanced development of renewable energy.</t>
  </si>
  <si>
    <t>[Zhao, Congyu; Dong, Kangyin] Univ Int Business &amp; Econ, Sch Int Trade &amp; Econ, Beijing 100029, Peoples R China; [Wang, Kun] Hong Kong Polytech Univ, Dept Ind &amp; Syst Engn, Hong Kong, Peoples R China; [Nepal, Rabindra] Univ Wollongong, Fac Business &amp; Law, Sch Business, Wollongong, NSW 2522, Australia</t>
  </si>
  <si>
    <t>University of International Business &amp; Economics; Hong Kong Polytechnic University; University of Wollongong</t>
  </si>
  <si>
    <t>Dong, KY (corresponding author), Univ Int Business &amp; Econ, Sch Int Trade &amp; Econ, Beijing 100029, Peoples R China.;Nepal, R (corresponding author), Univ Wollongong, Fac Business &amp; Law, Sch Business, Wollongong, NSW 2522, Australia.</t>
  </si>
  <si>
    <t>cyzhao1998@163.com; dongkangyin@uibe.edu.cn; allen-kun.wang@polyu.edu.hk; rnepal@uow.edu.au</t>
  </si>
  <si>
    <t>Dong, Kangyin/O-3354-2019; Nepal, Rabindra/J-2027-2019</t>
  </si>
  <si>
    <t>National Social Science Foundation of China [23VMG006]</t>
  </si>
  <si>
    <t>The article is sponsored by the National Social Science Foundation of China (Grant No. 23VMG006) . The authors gratefully acknowledge the helpful reviews and comments from the editors and anonymous re-viewers, which improved this manuscript considerably. Certainly, all remaining errors are our own.</t>
  </si>
  <si>
    <t>10.1016/j.eneco.2024.107493</t>
  </si>
  <si>
    <t>QT2S2</t>
  </si>
  <si>
    <t>WOS:001223061800001</t>
  </si>
  <si>
    <t>Yuskovych-Zhukovska, V; Poplavska, T; Diachenko, O; Mishenina, T; Topolnyk, Y; Gurevych, R</t>
  </si>
  <si>
    <t>Yuskovych-Zhukovska, Valentyna; Poplavska, Tetiana; Diachenko, Oksana; Mishenina, Tetiana; Topolnyk, Yana; Gurevych, Roman</t>
  </si>
  <si>
    <t>Application of Artificial Intelligence in Education. Problems and Opportunities for Sustainable Development</t>
  </si>
  <si>
    <t>informatization of education; artificial intelligence in education; sustainable development; individualization of education; personalization of education; information and communication competence</t>
  </si>
  <si>
    <t>The article is denoted to the application of artificial intelligence in education and highlighting opportunities and problems in the context of sustainable development. The current state of introduction of artificial intelligence technologies in the educational process is analyzed. The technologies of artificial intelligence, which are most often used in the educational process are generalized into the following categories: cognitive services; virtual, mixed and augmented reality; Internet of things and peripheral computing; metacognitive scaffolding. The advantages of using the artificial intelligence in educational processes depending on the impact on its beneficiaries are generalized: students, teachers, students' parents, heads of educational institutions, local governments. It is proved that the learning process can be sign cant effective through the use of art vial intelligence technologies and the creation of individual training programs based on the use of analytical data obtained from the application of these technologies. It is found that the main advantage of using artificial intelligence in education is the individualization and personalization of the educational process. The benefits are pointed out which heads of educational institutions and local governments receive from the use of artificial intelligence technologies in the educational process in order to ensure sustainable development, including transparency and accountability of decisions, rational and energy efficient use of resources. Discussion issues of confidentiality and depersonalization of students' data who are processed by artificial intelligence during the educational process are revealed; it is recommended to differentiate the responsibility for access, storage and use of personal and confidential data by educational institutions. Prospects for further scientific research are outlined - further personalization and individualization of the educational process.</t>
  </si>
  <si>
    <t>[Yuskovych-Zhukovska, Valentyna] Private Higher Educ Estab Academician Stepan Demi, Kiev, Ukraine; [Poplavska, Tetiana] South Ukrainian Natl Pedag Univ, Odesa, Ukraine; [Diachenko, Oksana] Mariupol State Univ, Mariupol, Ukraine; [Mishenina, Tetiana] Kryvyi Rih State Pedag Univ, Kryvyi Rih, Ukraine; [Topolnyk, Yana] SHEE Donbas State Pedag Univ, Slovyansk, Ukraine; [Gurevych, Roman] Vinnytsia Mykhailo Kotsiubynskyi State Pedag Univ, Vinnytsia, Ukraine</t>
  </si>
  <si>
    <t>Ministry of Education &amp; Science of Ukraine; South Ukrainian National Pedagogical University Named After K. D. Ushynsky; Ministry of Education &amp; Science of Ukraine; Mariupol State University; Ministry of Education &amp; Science of Ukraine; Kryvyi Rih State Pedagogical University; Ministry of Education &amp; Science of Ukraine; Donbas State Pedagogical University; Ministry of Education &amp; Science of Ukraine; Vinnytsia Mykhailo Kotsiubynskyi State Pedagogical University</t>
  </si>
  <si>
    <t>Yuskovych-Zhukovska, V (corresponding author), Private Higher Educ Estab Academician Stepan Demi, Kiev, Ukraine.</t>
  </si>
  <si>
    <t>valivanivna@i.ua; sofistriya@gmail.com; djoksana@gmail.com; t.mishenina@gmail.com; yannetkatop@gmail.com; r.gurevych2018@gmail.com</t>
  </si>
  <si>
    <t>Gurevych, Roman/AAI-6170-2021; Mishenina, Tetiana/JVZ-2019-2024; Yuskovych-Zhukovska, Valentyna/HPI-2031-2023</t>
  </si>
  <si>
    <t>Uskovic-Zukovs'ka, Valentina/0000-0002-4236-1467</t>
  </si>
  <si>
    <t>10.18662/brain/13.1Sup1/322</t>
  </si>
  <si>
    <t>2Q0NM</t>
  </si>
  <si>
    <t>WOS:000820126200019</t>
  </si>
  <si>
    <t>Chen, XQ; Ma, CQ; Ren, YS; Lei, YT; Huynh, NQA; Narayan, S</t>
  </si>
  <si>
    <t>Chen, Xun-Qi; Ma, Chao-Qun; Ren, Yi-Shuai; Lei, Yu-Tian; Huynh, Ngoc Quang Anh; Narayan, Seema</t>
  </si>
  <si>
    <t>Explainable artificial intelligence in finance: A bibliometric review</t>
  </si>
  <si>
    <t>Explainable artificial intelligence; Finance; CiteSpace; Natural language processing; Bibliometric; Literature review</t>
  </si>
  <si>
    <t>BLACK-BOX</t>
  </si>
  <si>
    <t>This study focuses on explainable artificial intelligence (XAI) in finance. We collected 2,733 articles published between 2013 and 2023 from the Web of Science Core Collection and analyzed trends in literature development and future prospects using an integrated CiteSpace and Natural Language Processing (NLP) bibliometric approach. Our analysis reveals an increase in publication after 2013. Early XAI research had a significant and lasting impact, shifting research focus from traditional finance research to inclusive finance. XAI has diversified financial capabilities, and non-XAI pursues interpretable solutions for improvement. We conclude with a list of prospective subjects for further study.</t>
  </si>
  <si>
    <t>[Chen, Xun-Qi; Ma, Chao-Qun; Lei, Yu-Tian] Hunan Univ, Business Sch, Changsha, Peoples R China; [Ren, Yi-Shuai] Hunan Univ, Sch Publ Adm, Changsha, Peoples R China; [Chen, Xun-Qi; Ma, Chao-Qun; Ren, Yi-Shuai; Lei, Yu-Tian] Hunan Univ, Res Inst Digital Soc &amp; Blockchain, Changsha, Peoples R China; [Ma, Chao-Qun; Ren, Yi-Shuai] Hunan Univ, Ctr Resource &amp; Environm Management, Changsha, Peoples R China; [Ren, Yi-Shuai] Univ Auckland, Energy Ctr, 12 Grafton Rd, Auckland 1010, New Zealand; [Huynh, Ngoc Quang Anh] Univ Econ Ho Chi Minh City, UEH Univ, Coll Technol &amp; Design, Ho Chi Minh City, Vietnam; [Narayan, Seema] Monash Univ, Monash Business Sch, Melbourne, Australia</t>
  </si>
  <si>
    <t>Hunan University; Hunan University; Hunan University; Hunan University; University of Auckland; Ho Chi Minh City University Economics; Monash University</t>
  </si>
  <si>
    <t>Ren, YS (corresponding author), Hunan Univ, Sch Publ Adm, Changsha, Peoples R China.</t>
  </si>
  <si>
    <t>tarison@hnu.edu.cn; cqma1998@126.com; renyishuai1989@126.com; leiyutianchina@hnu.edu.cn; anhhnq@ueh.edu.vn; swdhar27@gmail.com</t>
  </si>
  <si>
    <t>Ren, Yishuai/AAB-9519-2019; Narayan, Seema/GRY-3201-2022</t>
  </si>
  <si>
    <t>Chen, Xunqi/0000-0002-5502-7089; Narayan, Seema/0000-0002-3993-4981</t>
  </si>
  <si>
    <t>National Natural Science Foundation of China [72104075, 72274056]; National Social Science Fund of China [19AZD014, 21 ZD125]; Natural Science Foundation of Hunan Province [2022JJ40106]; Hunan University Youth Talent Program</t>
  </si>
  <si>
    <t>National Natural Science Foundation of China(National Natural Science Foundation of China (NSFC)); National Social Science Fund of China; Natural Science Foundation of Hunan Province(Natural Science Foundation of Hunan Province); Hunan University Youth Talent Program</t>
  </si>
  <si>
    <t>Funding This work is financially supported by the National Natural Science Foundation of China (No. 72104075, 72274056) , the National Social Science Fund of China (No. 19AZD014, 21 &amp; ZD125) , the Natural Science Foundation of Hunan Province (No. 2022JJ40106) , and Hunan University Youth Talent Program.</t>
  </si>
  <si>
    <t>10.1016/j.frl.2023.104145</t>
  </si>
  <si>
    <t>N6WA4</t>
  </si>
  <si>
    <t>WOS:001038379000001</t>
  </si>
  <si>
    <t>Kovacevic, A; Demic, E</t>
  </si>
  <si>
    <t>Kovacevic, Ana; Demic, Emir</t>
  </si>
  <si>
    <t>The Impact of Gender, Seniority, Knowledge, and Interest on Attitudes to Artificial Intelligence</t>
  </si>
  <si>
    <t>Artificial intelligence; Education; Emotion recognition; Behavioral sciences; Gender issues; Psychology; education; technological innovation</t>
  </si>
  <si>
    <t>Artificial intelligence (AI) has become deeply rooted in our lives, yet uncertainties persist regarding public attitudes to it, particularly among young individuals poised to engage with AI in their future careers. Understanding their perspectives is crucial not only for shaping educational frameworks, but also for assessing students' readiness to navigate the rapidly evolving technological landscape in the modern workspace. This paper examines students' attitudes to AI, as well as their interest in and knowledge about it. An adapted version of the Pew Research Center survey was used in our study to explore how gender and student seniority influence attitudes to AI generally and in specific applications such as facial recognition and self-driving cars. Our aim was to test the effects of these factors on AI attitudes, and to discover how various factors such as socio-demographics, knowledge, and interest may individually or collectively impact on AI attitudes in general, as well as in specific areas such as self-driving cars, facial recognition, or social media algorithms for fake news. We also investigated whether knowledge of AI and interest in it may serve to predict attitudes beyond the impacts of student seniority and gender. Our findings indicate that males self-report greater interest than females, but similar knowledge and general attitudes as female participants. Senior students possessed more AI knowledge compared to freshmen, but similar attitudes towards AI in general and self-driving cars. Interest in AI emerged as a significant predictor of general attitudes to AI and to self-driving cars, suggesting that increased interest correlates with more positive attitudes.</t>
  </si>
  <si>
    <t>[Kovacevic, Ana] Univ Belgrade, Fac Secur Studies, Belgrade 11000, Serbia; [Demic, Emir] Univ Belgrade, Fac Philosophy, Belgrade 11000, Serbia</t>
  </si>
  <si>
    <t>University of Belgrade; University of Belgrade</t>
  </si>
  <si>
    <t>Kovacevic, A (corresponding author), Univ Belgrade, Fac Secur Studies, Belgrade 11000, Serbia.</t>
  </si>
  <si>
    <t>kana@fb.bg.ac.rs</t>
  </si>
  <si>
    <t>Kovacevic, Ana/LEM-8440-2024</t>
  </si>
  <si>
    <t>Kovacevic, Ana/0000-0003-4928-9848</t>
  </si>
  <si>
    <t>Science Fund of the Republic of Serbia [7749151]</t>
  </si>
  <si>
    <t>Science Fund of the Republic of Serbia</t>
  </si>
  <si>
    <t>This work was supported by the Science Fund of the Republic of Serbia within the Framework of the ''IDEAS'' Program-Management of New Security Risks Research and Simulation Development, NEWSiMR&amp;D, under Grant 7749151.</t>
  </si>
  <si>
    <t>10.1109/ACCESS.2024.3454801</t>
  </si>
  <si>
    <t>H0M9Q</t>
  </si>
  <si>
    <t>WOS:001320485800001</t>
  </si>
  <si>
    <t>Yang, MC; Liu, CY; Wang, XY; Li, YW; Gao, HX; Liu, X; Li, JQ</t>
  </si>
  <si>
    <t>Yang, Meicheng; Liu, Chengyu; Wang, Xingyao; Li, Yuwen; Gao, Hongxiang; Liu, Xing; Li, Jianqing</t>
  </si>
  <si>
    <t>An Explainable Artificial Intelligence Predictor for Early Detection of Sepsis</t>
  </si>
  <si>
    <t>CRITICAL CARE MEDICINE</t>
  </si>
  <si>
    <t>artificial intelligence; intensive care unit; PhysioNet challenge; prediction; sepsis</t>
  </si>
  <si>
    <t>Objectives: Early detection of sepsis is critical in clinical practice since each hour of delayed treatment has been associated with an increase in mortality due to irreversible organ damage. This study aimed to develop an explainable artificial intelligence model for early predicting sepsis by analyzing the electronic health record data from ICU provided by the PhysioNet/Computing in Cardiology Challenge 2019. Design: Retrospective observational study. Setting: We developed our model on the shared ICUs publicly data and verified on the full hidden populations for challenge scoring. Patients: Public database included 40,336 patients' electronic health records sourced from Beth Israel Deaconess Medical Center (hospital system A) and Emory University Hospital (hospital system B). A total of 24,819 patients from hospital systems A, B, and C (an unidentified hospital system) were sequestered as full hidden test sets. Interventions: None. Measurements and Main Results: A total of 168 features were extracted on hourly basis. Explainable artificial intelligence sepsis predictor model was trained to predict sepsis in real time. Impact of each feature on hourly sepsis prediction was explored in-depth to show the interpretability. The algorithm demonstrated the final clinical utility score of 0.364 in this challenge when tested on the full hidden test sets, and the scores on three separate test sets were 0.430, 0.422, and -0.048, respectively. Conclusions: Explainable artificial intelligence sepsis predictor model achieves superior performance for predicting sepsis risk in a real-time way and provides interpretable information for understanding sepsis risk in ICU.</t>
  </si>
  <si>
    <t>[Yang, Meicheng; Liu, Chengyu; Wang, Xingyao; Li, Yuwen; Gao, Hongxiang; Li, Jianqing] Southeast Univ, State Key Lab Bioelect, Sch Instrument Sci &amp; Engn, Nanjing, Peoples R China; [Liu, Xing] Cent South Univ, Xiangya Hosp 3, Dept Anesthesiol, Changsha, Peoples R China; [Li, Jianqing] Nanjing Med Univ, Sch Biomed Engn &amp; Informat, Nanjing, Peoples R China</t>
  </si>
  <si>
    <t>Southeast University - China; Central South University; Nanjing Medical University</t>
  </si>
  <si>
    <t>Liu, CY; Li, JQ (corresponding author), Southeast Univ, State Key Lab Bioelect, Sch Instrument Sci &amp; Engn, Nanjing, Peoples R China.;Li, JQ (corresponding author), Nanjing Med Univ, Sch Biomed Engn &amp; Informat, Nanjing, Peoples R China.</t>
  </si>
  <si>
    <t>chengyu@seu.edu.cn; ljq@seu.edu.cn</t>
  </si>
  <si>
    <t>Liu, Chengyu/IWD-6971-2023; li, yuwen/HGU-6435-2022; gao, hongxiang/HGU-2554-2022; tingting, li/AAP-6698-2020; Wang, Xingyao/HNC-0090-2023</t>
  </si>
  <si>
    <t>Wang, Xingyao/0000-0002-9502-4472; Yang, Meicheng/0000-0002-8093-799X</t>
  </si>
  <si>
    <t>Distinguished Young Scholars of Jiangsu Province [BK20190014]; National Natural Science Foundation of China [81871444]; Key Research &amp; Development Plan of Ministry of science and technology [2017YFB1303200]; Primary Research &amp; Development Plan of Jiangsu Province [BE2017735]</t>
  </si>
  <si>
    <t>Distinguished Young Scholars of Jiangsu Province; National Natural Science Foundation of China(National Natural Science Foundation of China (NSFC)); Key Research &amp; Development Plan of Ministry of science and technology; Primary Research &amp; Development Plan of Jiangsu Province</t>
  </si>
  <si>
    <t>Supported, in part, by the Distinguished Young Scholars of Jiangsu Province (BK20190014), the National Natural Science Foundation of China (81871444), the Key Research &amp; Development Plan of Ministry of science and technology (2017YFB1303200), and the Primary Research &amp; Development Plan of Jiangsu Province (BE2017735). Dr. Chengyu Liu received support from the Distinguished Young Scholars of Jiangsu Province (BK20190014), the National Natural Science Foundation of China (81871444). Dr. Li received support from the Key Research &amp; Development Plan of Ministry of Science and Technology (2017YFB1303200) and the Primary Research &amp; Development Plan of Jiangsu Province (BE2017735). The remaining authors have disclosed that they do not have any potential conflicts of interest.</t>
  </si>
  <si>
    <t>0090-3493</t>
  </si>
  <si>
    <t>1530-0293</t>
  </si>
  <si>
    <t>CRIT CARE MED</t>
  </si>
  <si>
    <t>Crit. Care Med.</t>
  </si>
  <si>
    <t>E1091</t>
  </si>
  <si>
    <t>E1096</t>
  </si>
  <si>
    <t>10.1097/CCM.0000000000004550</t>
  </si>
  <si>
    <t>Critical Care Medicine</t>
  </si>
  <si>
    <t>NZ2OL</t>
  </si>
  <si>
    <t>WOS:000576935300013</t>
  </si>
  <si>
    <t>Kelly, BS; Quinn, C; Belton, N; Lawlor, A; Killeen, RP; Burrell, J</t>
  </si>
  <si>
    <t>Kelly, Brendan S.; Quinn, Conor; Belton, Niamh; Lawlor, Aonghus; Killeen, Ronan P.; Burrell, James</t>
  </si>
  <si>
    <t>Cybersecurity considerations for radiology departments involved with artificial intelligence</t>
  </si>
  <si>
    <t>EUROPEAN RADIOLOGY</t>
  </si>
  <si>
    <t>Radiology; Artificial intelligence; Cybersecurity</t>
  </si>
  <si>
    <t>CLINICAL IMAGING DATA; ETHICS</t>
  </si>
  <si>
    <t>Radiology artificial intelligence (AI) projects involve the integration of integrating numerous medical devices, wireless technologies, data warehouses, and social networks. While cybersecurity threats are not new to healthcare, their prevalence has increased with the rise of AI research for applications in radiology, making them one of the major healthcare risks of 2021. Radiologists have extensive experience with the interpretation of medical imaging data but radiologists may not have the required level of awareness or training related to AI-specific cybersecurity concerns. Healthcare providers and device manufacturers can learn from other industry sector industries that have already taken steps to improve their cybersecurity systems. This review aims to introduce cybersecurity concepts as it relates to medical imaging and to provide background information on general and healthcare-specific cybersecurity challenges. We discuss approaches to enhancing the level and effectiveness of security through detection and prevention techniques, as well as ways that technology can improve security while mitigating risks. We first review general cybersecurity concepts and regulatory issues before examining these topics in the context of radiology AI, with a specific focus on data, training, data, training, implementation, and auditability. Finally, we suggest potential risk mitigation strategies. By reading this review, healthcare providers, researchers, and device developers can gain a better understanding of the potential risks associated with radiology AI projects, as well as strategies to improve cybersecurity and reduce potential associated risks. [GRAPHICS] .</t>
  </si>
  <si>
    <t>[Kelly, Brendan S.; Killeen, Ronan P.] St Vincents Univ Hosp, Dept Radiol, Dublin, Ireland; [Kelly, Brendan S.; Belton, Niamh; Lawlor, Aonghus] UCD, Insight Ctr Data Analyt, Dublin, Ireland; [Kelly, Brendan S.; Killeen, Ronan P.] Univ Coll Dublin, Sch Med, Dublin, Ireland; [Quinn, Conor] Boston Coll, Cybersecur, Boston, MA USA; [Burrell, James] Univ Hawaii, Informat &amp; Comp Sci, Manoa, HI USA</t>
  </si>
  <si>
    <t>University College Dublin; Saint Vincent's University Hospital; University College Dublin; University College Dublin; Boston College; University of Hawaii System; University of Hawaii Manoa</t>
  </si>
  <si>
    <t>Kelly, BS (corresponding author), St Vincents Univ Hosp, Dept Radiol, Dublin, Ireland.;Kelly, BS (corresponding author), UCD, Insight Ctr Data Analyt, Dublin, Ireland.;Kelly, BS (corresponding author), Univ Coll Dublin, Sch Med, Dublin, Ireland.</t>
  </si>
  <si>
    <t>brendanskelly@me.com</t>
  </si>
  <si>
    <t>Lawlor, Aonghus/0000-0002-6160-4639</t>
  </si>
  <si>
    <t>Wellcome Trust; Health Research Board [203930/B/16/Z]; Health Service Executive National Doctors Training and Planning and the Health and Social Care, Research and Development Division, Northern Ireland; Royal College of Surgeons in Ireland; Science Foundation Ireland (SFI) [SFI/12/RC/2289_P2]; Fulbright-HRB Health Impact and Fulbright Cybersecurity scholarships</t>
  </si>
  <si>
    <t>Wellcome Trust(Wellcome Trust); Health Research Board(Health Research Board - Ireland); Health Service Executive National Doctors Training and Planning and the Health and Social Care, Research and Development Division, Northern Ireland; Royal College of Surgeons in Ireland; Science Foundation Ireland (SFI)(Science Foundation Ireland (SFI)); Fulbright-HRB Health Impact and Fulbright Cybersecurity scholarships</t>
  </si>
  <si>
    <t>This work was performed within the Irish Clinical Academic Training (ICAT) Programme, supported by the Wellcome Trust and the Health Research Board (Grant No. 203930/B/16/Z), the Health Service Executive National Doctors Training and Planning and the Health and Social Care, Research and Development Division, Northern Ireland and the Faculty of Radiologists, Royal College of Surgeons in Ireland. This research was supported by Science Foundation Ireland (SFI) under Grant Number SFI/12/RC/2289_P2.This work was supported by a Fulbright-HRB Health Impact and Fulbright Cybersecurity scholarships.</t>
  </si>
  <si>
    <t>0938-7994</t>
  </si>
  <si>
    <t>1432-1084</t>
  </si>
  <si>
    <t>EUR RADIOL</t>
  </si>
  <si>
    <t>Eur. Radiol.</t>
  </si>
  <si>
    <t>s00330-023-09860-1</t>
  </si>
  <si>
    <t>10.1007/s00330-023-09860-1</t>
  </si>
  <si>
    <t>CF2U2</t>
  </si>
  <si>
    <t>WOS:001025406000001</t>
  </si>
  <si>
    <t>Williams, S; Horsfall, HL; Funnell, JP; Hanrahan, JG; Khan, DZ; Muirhead, W; Stoyanov, D; Marcus, HJ</t>
  </si>
  <si>
    <t>Williams, Simon; Layard Horsfall, Hugo; Funnell, Jonathan P.; Hanrahan, John G.; Khan, Danyal Z.; Muirhead, William; Stoyanov, Danail; Marcus, Hani J.</t>
  </si>
  <si>
    <t>Artificial Intelligence in Brain Tumour Surgery-An Emerging Paradigm</t>
  </si>
  <si>
    <t>artificial intelligence; AI; neurosurgery; brain tumour; machine learning; deep learning; surgery; oncology</t>
  </si>
  <si>
    <t>CONVOLUTIONAL NEURAL-NETWORKS; QUANTITATIVE RADIOMICS APPROACH; COMPUTER-AIDED DETECTION; MACHINE LEARNING-METHODS; MR-IMAGES; AUTOMATIC SEGMENTATION; KEYHOLE NEUROSURGERY; PROTOCOL SELECTION; PRIMARY DIAGNOSIS; WORKFLOW ANALYSIS</t>
  </si>
  <si>
    <t>Artificial intelligence (AI) is the branch of computer science that enables machines to learn, reason, and problem solve. In recent decades, AI has been developed with the aim of improving the management of patients with brain tumours. This review article explores the role AI currently plays in managing patients undergoing brain tumour surgery, and explores how AI may impact this field in the future. Artificial intelligence (AI) platforms have the potential to cause a paradigm shift in brain tumour surgery. Brain tumour surgery augmented with AI can result in safer and more effective treatment. In this review article, we explore the current and future role of AI in patients undergoing brain tumour surgery, including aiding diagnosis, optimising the surgical plan, providing support during the operation, and better predicting the prognosis. Finally, we discuss barriers to the successful clinical implementation, the ethical concerns, and we provide our perspective on how the field could be advanced.</t>
  </si>
  <si>
    <t>[Williams, Simon; Layard Horsfall, Hugo; Funnell, Jonathan P.; Hanrahan, John G.; Khan, Danyal Z.; Muirhead, William; Marcus, Hani J.] Natl Hosp Neurol &amp; Neurosurg, Dept Neurosurg, London WC1N 3BG, England; [Williams, Simon; Layard Horsfall, Hugo; Funnell, Jonathan P.; Hanrahan, John G.; Khan, Danyal Z.; Muirhead, William; Stoyanov, Danail; Marcus, Hani J.] Ctr Intervent &amp; Surg Sci WEISS, Wellcome Engn &amp; Phys Sci Res Council EPSRC, London W1W 7TY, England</t>
  </si>
  <si>
    <t>University of London; University College London; UCL Medical School; University College London Hospitals NHS Foundation Trust; National Hospital for Neurology &amp; Neurosurgery; UK Research &amp; Innovation (UKRI); Engineering &amp; Physical Sciences Research Council (EPSRC)</t>
  </si>
  <si>
    <t>Williams, S (corresponding author), Natl Hosp Neurol &amp; Neurosurg, Dept Neurosurg, London WC1N 3BG, England.;Williams, S (corresponding author), Ctr Intervent &amp; Surg Sci WEISS, Wellcome Engn &amp; Phys Sci Res Council EPSRC, London W1W 7TY, England.</t>
  </si>
  <si>
    <t>s.c.williams@ucl.ac.uk; hugo.layardhorsfall@ucl.ac.uk; jonathan.funnell.13@ucl.ac.uk; j.hanrahan@ucl.ac.uk; d.khan@ucl.ac.uk; w.muirhead@ucl.ac.uk; danail.stoyanov@ucl.ac.uk; h.marcus@ucl.ac.uk</t>
  </si>
  <si>
    <t>Khan, Danyal/AAW-1824-2021; Marcus, Hani/E-2885-2013</t>
  </si>
  <si>
    <t>Marcus, Hani/0000-0001-8000-392X; Layard Horsfall, Hugo/0000-0001-7848-5325; Williams, Simon/0000-0003-1770-1797; Khan, Danyal Zaman/0000-0001-9213-2550; Funnell, Jonathan/0000-0002-6150-6828</t>
  </si>
  <si>
    <t>Wellcome Trust [203145Z/16/Z]; EPSRC [NS/A000050/1]; Centre for Interventional and Surgical Sciences, University College London - NIHR Biomedical Research Centre at University College London - NIHR Academic Clinical Fellowship</t>
  </si>
  <si>
    <t>Wellcome Trust(Wellcome Trust); EPSRC(UK Research &amp; Innovation (UKRI)Engineering &amp; Physical Sciences Research Council (EPSRC)); Centre for Interventional and Surgical Sciences, University College London - NIHR Biomedical Research Centre at University College London - NIHR Academic Clinical Fellowship</t>
  </si>
  <si>
    <t>No specific funding was received for this piece of work. S.W., J.F., J.H., H.L.H., W.M.,D.S., and H.J.M., are supported by the Wellcome (203145Z/16/Z) EPSRC (NS/A000050/1) Centre for Interventional and Surgical Sciences, University College London. H.J.M. is also funded by the NIHR Biomedical Research Centre at University College London. D.Z.K. is funded by an NIHR Academic Clinical Fellowship. This research was funded in whole, or in part, by the Wellcome Trust (203145Z/16/Z). For the purpose of Open Access, the authors have applied a CC BY public copyright license to any author accepted manuscript version arising from this submission.</t>
  </si>
  <si>
    <t>10.3390/cancers13195010</t>
  </si>
  <si>
    <t>WH5UO</t>
  </si>
  <si>
    <t>WOS:000707742600001</t>
  </si>
  <si>
    <t>Charlwood, A; Guenole, N</t>
  </si>
  <si>
    <t>Charlwood, Andy; Guenole, Nigel</t>
  </si>
  <si>
    <t>Can HR adapt to the paradoxes of artificial intelligence?</t>
  </si>
  <si>
    <t>HUMAN RESOURCE MANAGEMENT JOURNAL</t>
  </si>
  <si>
    <t>artificial intelligence; human resource management</t>
  </si>
  <si>
    <t>DIVERSITY-VALIDITY DILEMMA; HUMAN-RESOURCE MANAGEMENT; AUTOMATION; FUTURE; JOBS; AI</t>
  </si>
  <si>
    <t>Artificial intelligence (AI) is widely heralded as a new and revolutionary technology that will transform the world of work. While the impact of AI on human resource (HR) and people management is difficult to predict, the article considers potential scenarios for how AI will affect our field. We argue that although popular accounts of AI stress the risks of bias and unfairness, these problems are eminently solvable. However, the way that the AI industry is currently constituted and wider trends in the use of technology for organising work mean that there is a significant risk that AI use will degrade the quality of work. Viewing different scenarios through a paradox lens, we argue that both positive and negative visions of the future are likely to coexist. The HR profession has a degree of agency to shape the future if it chooses to use it; HR professionals need to develop the skills to ensure that ethics and fairness are at the centre of AI development for HR and people management.</t>
  </si>
  <si>
    <t>[Charlwood, Andy] Univ Leeds, Leeds, W Yorkshire, England; [Guenole, Nigel] Goldsmiths Univ London, London, England</t>
  </si>
  <si>
    <t>University of Leeds; University of London; Goldsmiths University London</t>
  </si>
  <si>
    <t>Charlwood, A (corresponding author), Univ Leeds, Leeds, W Yorkshire, England.</t>
  </si>
  <si>
    <t>a.charlwood@leeds.ac.uk</t>
  </si>
  <si>
    <t>Charlwood, Andy/ABD-5859-2020</t>
  </si>
  <si>
    <t>Charlwood, Andrew/0000-0002-5444-194X</t>
  </si>
  <si>
    <t>Digital Futures at Work Research Centre (Digit); UK Economic and Social Research Council [ES/S012532/1]; ESRC [ES/S012532/1] Funding Source: UKRI</t>
  </si>
  <si>
    <t>Digital Futures at Work Research Centre (Digit); UK Economic and Social Research Council(UK Research &amp; Innovation (UKRI)Economic &amp; Social Research Council (ESRC)); ESRC(UK Research &amp; Innovation (UKRI)Economic &amp; Social Research Council (ESRC))</t>
  </si>
  <si>
    <t>We are grateful to Geoff Wood, Anthony McDonnell and three anonymous referees for helpful comments on previous draughts of the article and to Martin Edwards for the initial encouragement to develop it. As part of the Digital Futures at Work Research Centre (Digit), Charlwood's work was supported by the UK Economic and Social Research Council (grant number ES/S012532/1), which is gratefully acknowledged. Guenole received no external funding.</t>
  </si>
  <si>
    <t>0954-5395</t>
  </si>
  <si>
    <t>1748-8583</t>
  </si>
  <si>
    <t>HUM RESOUR MANAG J</t>
  </si>
  <si>
    <t>Hum. Resour. Manag. J.</t>
  </si>
  <si>
    <t>10.1111/1748-8583.12433</t>
  </si>
  <si>
    <t>5S0KY</t>
  </si>
  <si>
    <t>hybrid, Green Accepted, Green Published</t>
  </si>
  <si>
    <t>WOS:000740055000001</t>
  </si>
  <si>
    <t>Kwok, TC; Henry, C; Saffaran, S; Meeus, M; Bates, D; Van Laere, D; Boylan, G; Boardman, JP; Sharkey, D</t>
  </si>
  <si>
    <t>Kwok, T'ng Chang; Henry, Caroline; Saffaran, Sina; Meeus, Marisse; Bates, Declan; Van Laere, David; Boylan, Geraldine; Boardman, James P.; Sharkey, Don</t>
  </si>
  <si>
    <t>Application and potential of artificial intelligence in neonatal medicine</t>
  </si>
  <si>
    <t>SEMINARS IN FETAL &amp; NEONATAL MEDICINE</t>
  </si>
  <si>
    <t>Artificial intelligence; Neonatal medicine; Machine learning</t>
  </si>
  <si>
    <t>GESTATIONAL-AGE ESTIMATION; INTENSIVE-CARE; PREDICTION; INFANTS</t>
  </si>
  <si>
    <t>Neonatal care is becoming increasingly complex with large amounts of rich, routinely recorded physiological, diagnostic and outcome data. Artificial intelligence (AI) has the potential to harness this vast quantity and range of information and become a powerful tool to support clinical decision making, personalised care, precise prognostics, and enhance patient safety. Current AI approaches in neonatal medicine include tools for disease prediction and risk stratification, neurological diagnostic support and novel image recognition technologies. Key to the integration of AI in neonatal medicine is the understanding of its limitations and a standardised critical appraisal of AI tools. Barriers and challenges to this include the quality of datasets used, performance assessment, and appropriate external validation and clinical impact studies. Improving digital literacy amongst healthcare professionals and cross-disciplinary collaborations are needed to harness the full potential of AI to help take the next significant steps in improving neonatal outcomes for high-risk infants.</t>
  </si>
  <si>
    <t>[Kwok, T'ng Chang; Henry, Caroline; Sharkey, Don] Univ Nottingham, Ctr Perinatal Res, Queens Med Ctr, Sch Med, E Floor,East Block, Nottingham NG7 2UH, England; [Saffaran, Sina] UCL, Fac Engn Sci, London WC1E 6BT, England; [Meeus, Marisse; Van Laere, David] Univ Hosp Antwerp, Dept Neonatal Intens Care, Edegem, Belgium; [Bates, Declan] Univ Warwick, Sch Engn, Coventry CV4 7AL, England; [Boylan, Geraldine] Univ Coll Cork, INFANT Res Ctr, Cork, Ireland; [Boardman, James P.] Univ Edinburgh, MRC Ctr Reprod Hlth, Edinburgh, Midlothian, Scotland; [Sharkey, Don] Univ Nottingham, Ctr Perinatal Res, Queens Med Ctr, Sch Med,Neonatal Med &amp; Technol, E Floor,East Block, Nottingham NG7 2UH, England</t>
  </si>
  <si>
    <t>University of Nottingham; University of London; University College London; University of Antwerp; University of Warwick; University College Cork; University of Edinburgh; University of Nottingham</t>
  </si>
  <si>
    <t>Sharkey, D (corresponding author), Univ Nottingham, Ctr Perinatal Res, Queens Med Ctr, Sch Med,Neonatal Med &amp; Technol, E Floor,East Block, Nottingham NG7 2UH, England.</t>
  </si>
  <si>
    <t>don.sharkey@nottingham.ac.uk</t>
  </si>
  <si>
    <t>Kwok, Tng Chang/LWH-7315-2024; Boardman, James/K-5472-2015</t>
  </si>
  <si>
    <t>Boardman, James/0000-0003-3904-8960; Kwok, T'ng Chang/0000-0003-1841-137X; Boylan, Geraldine/0000-0003-0920-5291</t>
  </si>
  <si>
    <t>1744-165X</t>
  </si>
  <si>
    <t>1878-0946</t>
  </si>
  <si>
    <t>SEMIN FETAL NEONAT M</t>
  </si>
  <si>
    <t>Semin. Fetal Neonatal Med.</t>
  </si>
  <si>
    <t>10.1016/j.siny.2022.101346</t>
  </si>
  <si>
    <t>7N9BD</t>
  </si>
  <si>
    <t>WOS:000907629200008</t>
  </si>
  <si>
    <t>Farhat, F; Sohail, SS; Alam, MT; Ubaid, S; Ashhad, M; Madsen, DO</t>
  </si>
  <si>
    <t>Farhat, Faiza; Sohail, Shahab Saquib; Alam, Mohammed Talha; Ubaid, Syed; Ashhad, Mohd; Madsen, Dag oivind</t>
  </si>
  <si>
    <t>COVID-19 and beyond: leveraging artificial intelligence for enhanced outbreak control</t>
  </si>
  <si>
    <t>COVID-19; novel coronavirus; artificial intelligence; Monkeypox; ChatGPT</t>
  </si>
  <si>
    <t>DEEP; ARIMA</t>
  </si>
  <si>
    <t>COVID-19 has brought significant changes to our political, social, and technological landscape. This paper explores the emergence and global spread of the disease and focuses on the role of Artificial Intelligence (AI) in containing its transmission. To the best of our knowledge, there has been no scientific presentation of the early pictorial representation of the disease's spread. Additionally, we outline various domains where AI has made a significant impact during the pandemic. Our methodology involves searching relevant articles on COVID-19 and AI in leading databases such as PubMed and Scopus to identify the ways AI has addressed pandemic-related challenges and its potential for further assistance. While research suggests that AI has not fully realized its potential against COVID-19, likely due to data quality and diversity limitations, we review and identify key areas where AI has been crucial in preparing the fight against any sudden outbreak of the pandemic. We also propose ways to maximize the utilization of AI's capabilities in this regard.</t>
  </si>
  <si>
    <t>[Farhat, Faiza] Aligarh Muslim Univ, Dept Zool, Aligarh, India; [Sohail, Shahab Saquib; Alam, Mohammed Talha; Ashhad, Mohd] Jamia Hamdard, Dept Comp Sci &amp; Engn, New Delhi, India; [Ubaid, Syed] Warsaw Univ Technol, Fac Elect &amp; Informat Technol, Warsaw, Poland; [Madsen, Dag oivind] Univ South Eastern Norway, USN Sch Business, Honefoss, Norway</t>
  </si>
  <si>
    <t>Aligarh Muslim University; Jamia Hamdard University; Warsaw University of Technology; University College of Southeast Norway</t>
  </si>
  <si>
    <t>Sohail, SS (corresponding author), Jamia Hamdard, Dept Comp Sci &amp; Engn, New Delhi, India.;Madsen, DO (corresponding author), Univ South Eastern Norway, USN Sch Business, Honefoss, Norway.</t>
  </si>
  <si>
    <t>shahabssohail@jamiahamdard.ac.in; dag.oivind.madsen@usn.no</t>
  </si>
  <si>
    <t>FARHAT, FAIZA/KIK-8175-2024; sohail, shahab/O-3263-2019; Madsen, Dag Oivind/I-1587-2016</t>
  </si>
  <si>
    <t>Madsen, Dag Oivind/0000-0001-8735-3332; Sohail, Shahab Saquib/0000-0002-5944-7371</t>
  </si>
  <si>
    <t>The author(s) declare that financial support was received for the research, authorship, and/or publication of this article. The publishing charges were funded by the University of South-Eastern Norway.; University of South-Eastern Norway</t>
  </si>
  <si>
    <t>The author(s) declare that financial support was received for the research, authorship, and/or publication of this article. The publishing charges were funded by the University of South-Eastern Norway.</t>
  </si>
  <si>
    <t>10.3389/frai.2023.1266560</t>
  </si>
  <si>
    <t>Y4DU9</t>
  </si>
  <si>
    <t>WOS:001104793900001</t>
  </si>
  <si>
    <t>Chu, KY; Nassau, DE; Arora, H; Lokeshwar, SD; Madhusoodanan, V; Ramasamy, R</t>
  </si>
  <si>
    <t>Chu, Kevin Y.; Nassau, Daniel E.; Arora, Himanshu; Lokeshwar, Soum D.; Madhusoodanan, Vinayak; Ramasamy, Ranjith</t>
  </si>
  <si>
    <t>Artificial Intelligence in Reproductive Urology</t>
  </si>
  <si>
    <t>CURRENT UROLOGY REPORTS</t>
  </si>
  <si>
    <t>Artificial intelligence; Machine learning; Reproductive urology; Male-factor infertility; Artificial neural network; Urology</t>
  </si>
  <si>
    <t>NEURAL-NETWORKS; PREDICTION; MANAGEMENT; SYSTEM</t>
  </si>
  <si>
    <t>Purpose of ReviewThe promise of artificial intelligence (AI) in medicine has been widely theorized over the past couple of decades. It has only been with technological advances over the past few years that physicians and computer scientists have started discovering its true clinical potential. Reproductive urology is a sub-discipline that AI could be of great contribution, as current predictive models and subjectivity within the field have several limitations. We review the literature to summarize recent AI applications in reproductive urology.Recent FindingsEarly AI applications in reproductive urology focused on predicting semen parameters based on questionnaires that identify potential environmental factors and/or lifestyle habits impacting male fertility. AI has shown success in predicting the patient subpopulation most likely to need a genetic workup for azoospermia. With recent advances in image processing, automated sperm detection is a reality. Semen analyses, once a laboratory-only diagnostic test, have moved into health consumer homes with the advent of AI.SummaryAI's prospects in medicine are considerable and there is strong potential for AI within reproductive urology. Research in identifying the factors that can affect reproductive success either naturally or with assisted reproduction is of paramount importance to move the field forward.</t>
  </si>
  <si>
    <t>[Chu, Kevin Y.; Arora, Himanshu; Lokeshwar, Soum D.; Madhusoodanan, Vinayak; Ramasamy, Ranjith] Univ Miami, Miller Sch Med, Dept Urol, 1120 NW 14th St,15th Floor, Miami, FL 33136 USA; [Nassau, Daniel E.] Lenox Hill Hosp, Zucker Sch Med Hofstra Northwell, Dept Urol, New York, NY 10021 USA</t>
  </si>
  <si>
    <t>University of Miami; Northwell Health</t>
  </si>
  <si>
    <t>Ramasamy, R (corresponding author), Univ Miami, Miller Sch Med, Dept Urol, 1120 NW 14th St,15th Floor, Miami, FL 33136 USA.</t>
  </si>
  <si>
    <t>Ramasamy@miami.edu</t>
  </si>
  <si>
    <t>Ramasamy, Ranjith/ABD-7373-2020; Arora, Himanshu/I-5230-2019</t>
  </si>
  <si>
    <t>Ramasamy, Ranjith/0000-0003-1387-7904</t>
  </si>
  <si>
    <t>1527-2737</t>
  </si>
  <si>
    <t>1534-6285</t>
  </si>
  <si>
    <t>CURR UROL REP</t>
  </si>
  <si>
    <t>Curr. Urol. Rep.</t>
  </si>
  <si>
    <t>10.1007/s11934-019-0914-4</t>
  </si>
  <si>
    <t>IM0XF</t>
  </si>
  <si>
    <t>WOS:000477712300001</t>
  </si>
  <si>
    <t>Cayón, JIS</t>
  </si>
  <si>
    <t>Solar Cayon, Jose Ignacio</t>
  </si>
  <si>
    <t>CHALLENGES OF LAWYER PROFESSIONAL ETHICS IN THE AGE OF LEGAL ARTIFICIAL INTELLIGENCE</t>
  </si>
  <si>
    <t>DERECHOS Y LIBERTADES</t>
  </si>
  <si>
    <t>legal artificial intelligence; legal profession; professional ethics; globalization; liberalization</t>
  </si>
  <si>
    <t>The development of legal artificial intelligence is bringing about substantial changes in the practice of law that pose huge deontological challenges. One of the most important is building a universal deontology, capable of giving efficient answers to an increasingly globalized legal market. Furthermore, the irruption of legaltech companies that provide automated legal services is promoting a liberalization of the legal market that reveals the inadequacies of the deontological approach and calls for a new regulatory scheme of legal services. Finally, the article shows the potential of legal artificial intelligence to dissolve some basic categories of the deontology of legal profession, as well as the impact of certain AI tools on some lawyer's ethical duties.</t>
  </si>
  <si>
    <t>[Solar Cayon, Jose Ignacio] Univ Cantabria, Fac Derecho, Filosofia Derecho, Avda Los Castros S-N, Santander 39005, Spain</t>
  </si>
  <si>
    <t>Universidad de Cantabria</t>
  </si>
  <si>
    <t>Cayón, JIS (corresponding author), Univ Cantabria, Fac Derecho, Filosofia Derecho, Avda Los Castros S-N, Santander 39005, Spain.</t>
  </si>
  <si>
    <t>jose.solar@unican.es</t>
  </si>
  <si>
    <t>Solar Cayón, José Ignacio/KCK-6967-2024</t>
  </si>
  <si>
    <t>UNIV CARLOS III MADRID, INST DERECHO &amp; ECONOMIA</t>
  </si>
  <si>
    <t>C MADRID, 126, MADRID, 28903, SPAIN</t>
  </si>
  <si>
    <t>1133-0937</t>
  </si>
  <si>
    <t>DERECHOS LIBERTAD</t>
  </si>
  <si>
    <t>Derechos Lib.</t>
  </si>
  <si>
    <t>10.20318/dyl.2021.6104</t>
  </si>
  <si>
    <t>XT1GM</t>
  </si>
  <si>
    <t>WOS:000733343900005</t>
  </si>
  <si>
    <t>Levashov, VK; Grebnyak, O</t>
  </si>
  <si>
    <t>Levashov, V. K.; Grebnyak, O., V</t>
  </si>
  <si>
    <t>RUSSIAN CITIZENS ON THE CHALLENGES OF ARTIFICIAL INTELLIGENCE, NEURAL NETWORKS AND SOCIAL OPTIMISM</t>
  </si>
  <si>
    <t>SOTSIOLOGICHESKIE ISSLEDOVANIYA</t>
  </si>
  <si>
    <t>artificial intelligence; neural networks; labor market; image of the future; social optimism; anxiety</t>
  </si>
  <si>
    <t>Using sociological monitoring empirical data, the authors analyze the impact of the artificial neural networks and artificial intelligence development on the social moods of Russians under conditions of transforming labor market as a systemic social institution in the aspect of forming citizens' confidence in the future and optimistic image of that future. More than half of Russians today express their concerns about the artificial intelligence impact on the labor market closely related to the feeling of uncertainty and lack of confidence in the future. Citizens who express concerns for artificial intelligence impact on labor employment more often express negative attitudes and lack of optimism regarding their personal and country's future. Growing pessimism is observed in general among respondents who receive information via the Internet and social networks.</t>
  </si>
  <si>
    <t>[Levashov, V. K.; Grebnyak, O., V] RAS, Inst Sociopolit Res FCTAS, Moscow, Russia</t>
  </si>
  <si>
    <t>Russian Academy of Sciences</t>
  </si>
  <si>
    <t>Levashov, VK (corresponding author), RAS, Inst Sociopolit Res FCTAS, Moscow, Russia.</t>
  </si>
  <si>
    <t>levachov@mail.ru</t>
  </si>
  <si>
    <t>Russian Acad Sciences, State Acad Univ Humanities (GAUGN)</t>
  </si>
  <si>
    <t>Moscow</t>
  </si>
  <si>
    <t>Leninsky prospekt 14, Moscow, RUSSIA</t>
  </si>
  <si>
    <t>0132-1625</t>
  </si>
  <si>
    <t>SOTSIOL ISSLED+</t>
  </si>
  <si>
    <t>Sotsiologicheskie Issled.</t>
  </si>
  <si>
    <t>10.31857/S013216250028537-3</t>
  </si>
  <si>
    <t>EH4P1</t>
  </si>
  <si>
    <t>WOS:001138020600011</t>
  </si>
  <si>
    <t>Zhong, K; Song, LR</t>
  </si>
  <si>
    <t>Zhong, Kai; Song, Liangrong</t>
  </si>
  <si>
    <t>Artificial intelligence adoption and corporate green innovation capability</t>
  </si>
  <si>
    <t>Artificial intelligence; Green innovation; Financing constraint; Agency cost; Corporate sustainability</t>
  </si>
  <si>
    <t>PERFORMANCE; MANAGEMENT; IMPROVE</t>
  </si>
  <si>
    <t>The necessity of addressing climate change has promoted green innovation in corporate and policy agendas, while artificial intelligence (AI) has transformed business operations across sectors. This study examined the impact of AI adoption on green innovation capability in Chineselisted companies. We focused on the mediating roles of financing constraints and agency costs. The findings indicate a significant positive relationship between AI adoption and green innovation capability by analyzing 30,572 firm-year observations from 2010 to 2022 through a two-way fixed-effects model, mediation analysis, and heterogeneity tests. Reduced financing constraints and agency costs partially mediated the relationship. Heterogeneity analysis reveals that AI adoption's impact was strongest for firms in growth stages and non-state-owned enterprises. These findings elucidate how technological advancements drive sustainable corporate practices contingent upon organizational life cycles and ownership structures.</t>
  </si>
  <si>
    <t>[Zhong, Kai; Song, Liangrong] Univ Shanghai Sci &amp; Technol, Business Sch, Shanghai 200093, Peoples R China</t>
  </si>
  <si>
    <t>University of Shanghai for Science &amp; Technology</t>
  </si>
  <si>
    <t>Zhong, K (corresponding author), Univ Shanghai Sci &amp; Technol, Business Sch, Shanghai 200093, Peoples R China.</t>
  </si>
  <si>
    <t>kai199806@126.com; liangrong1966@163.com</t>
  </si>
  <si>
    <t>10.1016/j.frl.2024.106480</t>
  </si>
  <si>
    <t>O6W8P</t>
  </si>
  <si>
    <t>WOS:001372514300001</t>
  </si>
  <si>
    <t>Maity, G; Roy, SK; Verdegay, JL</t>
  </si>
  <si>
    <t>Maity, Gurupada; Roy, Sankar Kumar; Verdegay, Jose Luis</t>
  </si>
  <si>
    <t>Analyzing multimodal transportation problem and its application to artificial intelligence</t>
  </si>
  <si>
    <t>NEURAL COMPUTING &amp; APPLICATIONS</t>
  </si>
  <si>
    <t>Transportation problem; Multimodal system; Neural network; Artificial intelligence; Decision-making problem</t>
  </si>
  <si>
    <t>NEURAL-NETWORK; OPTIMIZATION; ALGORITHM; COST</t>
  </si>
  <si>
    <t>In recent decades, there has been increased interest among both transportation researchers and practitioners in exploring the application of artificial intelligence (AI) paradigms to address the real-life problems in order to improve the efficiency, safety and environmental compatibility of transportation systems. In this paper, our main interest is to solve transportation problem by considering the multimodal transport systems and then utilize it to solve neural network (NN) problem in AI. The multimodal transportation problem (MMTP) is nothing but a linear programming problem, and so it is easy to solve by any simplex algorithm. To analyze the proposed method, a numerical example is included and solving it we reveal a better impact for analyzing the real-life decision-making problems. Thereafter, we revoke our approach for solving NN problems, which enhances a connection between MMTP and NN problems. Finally, conclusion and future research directions are presented regarding our study.</t>
  </si>
  <si>
    <t>[Maity, Gurupada; Roy, Sankar Kumar] Vidyasagar Univ, Dept Appl Math Oceanol &amp; Comp Programming, Midnapore 721102, W Bengal, India; [Verdegay, Jose Luis] Univ Granada, Dept Comp Sci &amp; Artificial Intelligence, Granada, Spain</t>
  </si>
  <si>
    <t>Vidyasagar University; University of Granada</t>
  </si>
  <si>
    <t>Roy, SK (corresponding author), Vidyasagar Univ, Dept Appl Math Oceanol &amp; Comp Programming, Midnapore 721102, W Bengal, India.</t>
  </si>
  <si>
    <t>maity.g0795@gmail.com; roysank@mail.vidyasagar.ac.in; verdegay@decsai.ugr.es</t>
  </si>
  <si>
    <t>Roy, Prof. Dr. Sankar/ACU-8103-2022; Verdegay, Jose-Luis/I-8402-2014</t>
  </si>
  <si>
    <t>Roy, Prof. Dr. Sankar Kumar/0000-0003-4478-1534; Verdegay, Jose-Luis/0000-0003-2487-942X</t>
  </si>
  <si>
    <t>0941-0643</t>
  </si>
  <si>
    <t>1433-3058</t>
  </si>
  <si>
    <t>NEURAL COMPUT APPL</t>
  </si>
  <si>
    <t>Neural Comput. Appl.</t>
  </si>
  <si>
    <t>10.1007/s00521-019-04393-5</t>
  </si>
  <si>
    <t>KY4QF</t>
  </si>
  <si>
    <t>WOS:000522553100031</t>
  </si>
  <si>
    <t>Amado-Salvatierra, HR; Morales-Chan, M; Hernandez-Rizzardini, R; Rosales, M</t>
  </si>
  <si>
    <t>Amado-Salvatierra, Hector R.; Morales-Chan, Miguel; Hernandez-Rizzardini, Rocael; Rosales, Milvia</t>
  </si>
  <si>
    <t>Exploring Educators' Perceptions: Artificial Intelligence Integration in Higher Education</t>
  </si>
  <si>
    <t>artificial intelligence; generative AI; technology integration</t>
  </si>
  <si>
    <t>This article presents a thorough examination of the practical applications and impacts of generative artificial intelligence (AI) in education from the perspective of educators. It explores how educators integrate AI technologies and tools into their teaching experiences, addressing the challenges they face and the benefits they perceive in educational settings. Employing a descriptive quantitative methodology with a study population of 80 active educators, the research offers valuable insights into the intersection of AI and pedagogical practices in higher education. The findings not only contribute to the academic discourse on AI in education but also start to establish a foundational resource for educators, administrators, and policymakers. This work enhances understanding and informs strategic decisions for those seeking to optimize the integration of AI technologies and Generative AI tools within the dynamic landscape of higher education, promoting innovation and effective utilization of AI for enhanced learning experiences.</t>
  </si>
  <si>
    <t>[Amado-Salvatierra, Hector R.; Morales-Chan, Miguel; Hernandez-Rizzardini, Rocael; Rosales, Milvia] Univ Galileo, GES Dept, Guatemala City, Guatemala</t>
  </si>
  <si>
    <t>Amado-Salvatierra, HR (corresponding author), Univ Galileo, GES Dept, Guatemala City, Guatemala.</t>
  </si>
  <si>
    <t>hr_amado@galileo.edu; amorales@galileo.edu; roc@galileo.edu; milvia.rosales@galileo.edu</t>
  </si>
  <si>
    <t>Morales, Miguel/G-6995-2014; Amado-Salvatierra, Héctor/H-3371-2018</t>
  </si>
  <si>
    <t>Rosales Galeano, Milvia Maria/0000-0002-0398-8785; Morales-Chan, Miguel Antonio/0000-0002-8742-8186</t>
  </si>
  <si>
    <t>10.1109/EDUNINE60625.2024.10500578</t>
  </si>
  <si>
    <t>WOS:001215053500030</t>
  </si>
  <si>
    <t>Raimundo, R; Rosario, A</t>
  </si>
  <si>
    <t>Raimundo, Ricardo; Rosario, Alberico</t>
  </si>
  <si>
    <t>The Impact of Artificial Intelligence on Data System Security: A Literature Review</t>
  </si>
  <si>
    <t>artificial intelligence; security; security of data; security systems</t>
  </si>
  <si>
    <t>ARCHITECTURE</t>
  </si>
  <si>
    <t>Diverse forms of artificial intelligence (AI) are at the forefront of triggering digital security innovations based on the threats that are arising in this post-COVID world. On the one hand, companies are experiencing difficulty in dealing with security challenges with regard to a variety of issues ranging from system openness, decision making, quality control, and web domain, to mention a few. On the other hand, in the last decade, research has focused on security capabilities based on tools such as platform complacency, intelligent trees, modeling methods, and outage management systems in an effort to understand the interplay between AI and those issues. the dependence on the emergence of AI in running industries and shaping the education, transports, and health sectors is now well known in the literature. AI is increasingly employed in managing data security across economic sectors. Thus, a literature review of AI and system security within the current digital society is opportune. This paper aims at identifying research trends in the field through a systematic bibliometric literature review (LRSB) of research on AI and system security. the review entails 77 articles published in the Scopus(R) database, presenting up-to-date knowledge on the topic. the LRSB results were synthesized across current research subthemes. Findings are presented. the originality of the paper relies on its LRSB method, together with an extant review of articles that have not been categorized so far. Implications for future research are suggested.</t>
  </si>
  <si>
    <t>[Raimundo, Ricardo] ISEC Lisboa, Inst Super Educ &amp; Ciencias, P-1750142 Lisbon, Portugal; [Rosario, Alberico] Univ Aveiro, Res Unit Governance Competitiveness &amp; Publ Polici, P-3810193 Aveiro, Portugal</t>
  </si>
  <si>
    <t>Rosario, A (corresponding author), Univ Aveiro, Res Unit Governance Competitiveness &amp; Publ Polici, P-3810193 Aveiro, Portugal.</t>
  </si>
  <si>
    <t>ricardo.raimundo@iseclisboa.pt; alberico@ua.pt</t>
  </si>
  <si>
    <t>Raimundo, Ricardo/KCY-7128-2024; Rosario, Alberico/AAT-7696-2020</t>
  </si>
  <si>
    <t>Rosario, Alberico/0000-0003-4793-4110; Raimundo, Ricardo Jorge/0000-0002-7022-9447</t>
  </si>
  <si>
    <t>GOVCOPP Research Unit of Universidade de Aveiro; ISEC Lisboa, Higher Institute of Education and Sciences</t>
  </si>
  <si>
    <t>We would like to express our gratitude to the Editor and the Referees. They offered extremely valuable suggestions or improvements. The authors were supported by the GOVCOPP Research Unit of Universidade de Aveiro and ISEC Lisboa, Higher Institute of Education and Sciences.</t>
  </si>
  <si>
    <t>10.3390/s21217029</t>
  </si>
  <si>
    <t>XJ7AA</t>
  </si>
  <si>
    <t>WOS:000726934700001</t>
  </si>
  <si>
    <t>Ninaus, M; Sailer, M</t>
  </si>
  <si>
    <t>Ninaus, Manuel; Sailer, Michael</t>
  </si>
  <si>
    <t>Closing the loop - The human role in artificial intelligence for education</t>
  </si>
  <si>
    <t>technology enhanced learning; artificial intelligence (AI); machine learning (ML); adaptivity; digital technologies; education</t>
  </si>
  <si>
    <t>FEEDBACK; STUDENTS; IMPACT; GAMES</t>
  </si>
  <si>
    <t>Recent advancements in artificial intelligence make its use in education more likely. In fact, existing learning systems already utilize it for supporting students' learning or teachers' judgments. In this perspective article, we want to elaborate on the role of humans in making decisions in the design and implementation process of artificial intelligence in education. Therefore, we propose that an artificial intelligence-supported system in education can be considered a closed-loop system, which includes the steps of (i) data recording, (ii) pattern detection, and (iii) adaptivity. Besides the design process, we also consider the crucial role of the users in terms of decisions in educational contexts: While some implementations of artificial intelligence might make decisions on their own, we specifically highlight the high potential of striving for hybrid solutions in which different users, namely learners or teachers, are provided with information from artificial intelligence transparently for their own decisions. In light of the non-perfect accuracy of decisions of both artificial intelligence-based systems and users, we argue for balancing the process of human- and AI-driven decisions and mutual monitoring of these decisions. Accordingly, the decision-making process can be improved by taking both sides into account. Further, we emphasize the importance of contextualizing decisions. Potential erroneous decisions by either machines or humans can have very different consequences. In conclusion, humans have a crucial role at many stages in the process of designing and using artificial intelligence for education.</t>
  </si>
  <si>
    <t>[Ninaus, Manuel] Karl Franzens Univ Graz, Inst Psychol, Graz, Austria; [Ninaus, Manuel] Univ Tubingen, LEAD Grad Sch &amp; Res Network, Tubingen, Germany; [Sailer, Michael] Ludwig Maximilians Univ Munchen, Dept Psychol, Munich, Germany</t>
  </si>
  <si>
    <t>University of Graz; Eberhard Karls University of Tubingen; University of Munich</t>
  </si>
  <si>
    <t>Ninaus, M (corresponding author), Karl Franzens Univ Graz, Inst Psychol, Graz, Austria.;Ninaus, M (corresponding author), Univ Tubingen, LEAD Grad Sch &amp; Res Network, Tubingen, Germany.</t>
  </si>
  <si>
    <t>manuel.ninaus@uni-graz.at</t>
  </si>
  <si>
    <t>Sailer, Michael/HTO-7914-2023; Ninaus, Manuel/AAC-6951-2020</t>
  </si>
  <si>
    <t>Sailer, Michael/0000-0001-6831-5429</t>
  </si>
  <si>
    <t>10.3389/fpsyg.2022.956798</t>
  </si>
  <si>
    <t>4N1QP</t>
  </si>
  <si>
    <t>WOS:000853794700001</t>
  </si>
  <si>
    <t>Wang, FL; Wong, WK; Ortiz, GGR; Al Shraah, A; Mabrouk, F; Li, JF; Li, ZY</t>
  </si>
  <si>
    <t>Wang, Feilan; Wong, Wing-Keung; Ortiz, Geovanny Genaro Reivan; Al Shraah, Ata; Mabrouk, Fatma; Li, Jianfeng; Li, Zeyun</t>
  </si>
  <si>
    <t>Economic analysis of sustainable exports value addition through natural resource management and artificial intelligence</t>
  </si>
  <si>
    <t>Artificial intelligence; Patent application; Natural resource management; Symmetriceffect; Natural resource rent; Sustainable export</t>
  </si>
  <si>
    <t>PERFORMANCE; TRADE; CHINA; PRODUCTIVITY; ENERGY; IMPACT; TERMS</t>
  </si>
  <si>
    <t>Sustainable exports value addition is extremely essential in contemporary economies as they provide individuals and businesses with numerous additional destinations for their products and serve as source of foreign exchange earnings. Mismanagement of natural resources is thought to be essential in growing natural resource curse and, as a result, decreasing the value addition of sustainable products, contributing to unsustainable development. Artificial intelligence, along with other factors, has emerged as a major driver of output and value addition. The present study investigates the asymmetric role of artificial intelligence and natural resource management on sustainable export value embedment over the period 1980-2020 for China's economy using the Non-linear Autoregressive Distributed Lag (NARDL) model. The results of the study validate the asymmetric association between artificial intelligence and sustainable export value addition. Similarly, an asymmetric relationship exists between natural resource management and the value of sustainable export. Further, the dynamic multiplier analysis advocates that the effect of negative shock in artificial intelligence is dominant whereas the impact of positive shock in natural resource management is influential on increasing sustainable export value addition. Therefore, our study concludes that policymaking on the assumption of concerned symmetric impacts is misleading. Lastly, our study suggests that policymakers may strive for high growth trends and refrain from the decline in artificial intelligence and natural resource management so that stipulated sustainable value addition can be obtained.</t>
  </si>
  <si>
    <t>[Wang, Feilan] Fujian Business Univ, Sch Int Business &amp; Econ, Fuzhou 350012, Peoples R China; [Wong, Wing-Keung] Asia Univ, Fintech &amp; Blockchain Res Ctr, Dept Finance, 500 Lioufeng Rd, Taichung 41354, Taiwan; [Wong, Wing-Keung] Asia Univ, Big Data Res Ctr, 500 Lioufeng Rd, Taichung 41354, Taiwan; [Wong, Wing-Keung] China Med Univ Hosp, Dept Med Res, 500 Lioufeng Rd, Taichung 41354, Taiwan; [Wong, Wing-Keung] Hang Seng Univ Hong Kong, Dept Econ &amp; Finance, 500 Lioufeng Rd, Taichung 41354, Taiwan; [Ortiz, Geovanny Genaro Reivan] Catholic Univ Cuenca, Lab Basic Psychol Behav Anal &amp; Programmat Dev PAD, Cuenca, Ecuador; [Al Shraah, Ata] Hashemite Univ, Fac Econ &amp; Adm Sci, Dept Business Adm, Zarqa, Jordan; [Mabrouk, Fatma] Princess Nourah Bint Abdulrahman Univ, Coll Business &amp; Adm, Dept Econ, POB 84428, Riyadh 11671, Saudi Arabia; [Li, Jianfeng] Cavite State Univ, Indang 4100, Philippines; [Li, Jianfeng] Hainan Cloud Spacetime Informat Technol Co Ltd, Danzhou 571700, Hainan, Peoples R China; [Li, Jianfeng] Zhongjiao Yuanzhou Transportat Technol Grp Co Ltd, Fuzhou 350001, Fujian, Peoples R China; [Li, Zeyun] Univ Sains Malaysia, Sch Humanities, Geog Sect, George Town, Malaysia</t>
  </si>
  <si>
    <t>Fujian Business University; Asia University Taiwan; Asia University Taiwan; China Medical University Taiwan; China Medical University Hospital - Taiwan; Universidad Catolica de Cuenca; Hashemite University; Princess Nourah bint Abdulrahman University; Cavite State University; Universiti Sains Malaysia</t>
  </si>
  <si>
    <t>Li, JF (corresponding author), Cavite State Univ, Indang 4100, Philippines.</t>
  </si>
  <si>
    <t>wangfeilan230209li@163.com; wong@asia.edu.tw; greivano@ucacue.edu.ec; Ata@hu.edu.jo; FMMabrouk@pnu.edu.sa; lijianfeng230209li@163.com; lizeyun@yahoo.com</t>
  </si>
  <si>
    <t>Wong, Wing-Keung/JCN-7787-2023; Reivan-Ortiz, Geovanny/AAL-5294-2021; Jianfeng, Li/AFD-9378-2022; LI, ZEYUN/ABH-1258-2020; MABROUK, Fatma/GXV-0445-2022; Al Shraah, Ata/AAO-2098-2021</t>
  </si>
  <si>
    <t>LI (David), ZEYUN/0000-0001-8773-1962; Al Shraah, Ata/0000-0003-1281-3052; MABROUK, Fatma/0000-0002-1300-0494</t>
  </si>
  <si>
    <t>Princess Nourah bint Abdulrahman University, Riyadh, Saudi Arabia [PNURSP2023R260]; Ministry of Science and Technology (MOST), Taiwan [106-2410-H-468-002, 107-2410-H-468-002-MY3]; Asia University; China Medical University Hospital; Hang Seng University of Hong Kong; Research Grants Council (RGC) of Hong Kong</t>
  </si>
  <si>
    <t>Princess Nourah bint Abdulrahman University, Riyadh, Saudi Arabia(Princess Nourah bint Abdulrahman University); Ministry of Science and Technology (MOST), Taiwan(Ministry of Science and Technology, Taiwan); Asia University; China Medical University Hospital; Hang Seng University of Hong Kong; Research Grants Council (RGC) of Hong Kong(Hong Kong Research Grants Council)</t>
  </si>
  <si>
    <t>Princess Nourah bint Abdulrahman University Researchers Supporting Project number (PNURSP2023R260) , Princess Nourah bint Abdulrahman University, Riyadh, Saudi Arabia. The second author would like to thank Robert B. Miller and Howard E. Thompson for their continuous guidance and encouragement. This research has been supported by Asia University, China Medical University Hospital, The Hang Seng University of Hong Kong, Research Grants Council (RGC) of Hong Kong, and the Ministry of Science and Technology (MOST, Project Numbers 106-2410-H-468-002 and 107-2410-H-468-002-MY3), Taiwan.</t>
  </si>
  <si>
    <t>10.1016/j.resourpol.2023.103541</t>
  </si>
  <si>
    <t>G0LH8</t>
  </si>
  <si>
    <t>WOS:000986166600001</t>
  </si>
  <si>
    <t>Kochupillai, M; Kahl, M; Schmitt, M; Taubenböck, H; Zhu, XX</t>
  </si>
  <si>
    <t>Kochupillai, Mrinalini; Kahl, Matthias; Schmitt, Michael; Taubenboeck, Hannes; Zhu, Xiao Xiang</t>
  </si>
  <si>
    <t>Earth Observation and Artificial Intelligence Understanding emerging ethical issues and opportunities</t>
  </si>
  <si>
    <t>IEEE GEOSCIENCE AND REMOTE SENSING MAGAZINE</t>
  </si>
  <si>
    <t>Ethics; Artificial intelligence; Guidelines; Business; Big Data; Earth; Economics</t>
  </si>
  <si>
    <t>SATELLITE DATA; SOCIAL MEDIA; BIG DATA; REMOTE; SYSTEMS; IMPACT; CATEGORIZATION; URBANIZATION; COLLECTION; DIVERSITY</t>
  </si>
  <si>
    <t>Ethics is a central and growing concern in all applications utilizing artificial intelligence (AI). Earth observation (EO) and remote sensing (RS) research relies heavily on both big data and AI or machine learning (ML). While this reliance is not new, with increasing image resolutions and the growing number of EO/RS use cases that have a direct impact on governance, policy, and the lives of people, ethical issues are taking center stage. In this article, we provide scientists engaged with AI for EO (AI4EO) research, 1) a practically useful overview of the key ethical issues emerging in this field, with concrete examples from within EO/RS to explain these issues, and 2) a first road map (flowchart) that scientists can use to identify ethical issues in their ongoing research. With this, we aim to sensitize scientists to these issues and create a bridge to facilitate constructive and regular communication among scientists engaged in AI4EO research, on the one hand, and ethics research, on the other hand. The article also provides detailed illustrations from four AI4EO research fields to explain how scientists can redesign research questions to more effectively grab ethical opportunities to address real-world problems that are otherwise akin to ethical dilemmas with no winwin solution in sight. The article concludes by providing recommendations to institutions that want to support ethically mindful AI4EO research and provides suggestions for future research in this field.</t>
  </si>
  <si>
    <t>[Kochupillai, Mrinalini] Tech Univ Munich, Int AI Future Lab Artificial Intelligence Earth O, Inst Eth Artificial Intelligence, D-85521 Ottobrunn, Germany; [Kochupillai, Mrinalini; Kahl, Matthias] Tech Univ Munich, Chair Data Sci Earth Observat, D-85521 Ottobrunn, Germany; [Kahl, Matthias] Tech Univ Munich, Int AI Future Lab Artificial Intelligence Earth O, D-85521 Ottobrunn, Germany; [Schmitt, Michael] Univ Bundeswehr, Chair Earth Observat, D-85577 Neubiberg, Germany; [Taubenboeck, Hannes] German Aerosp Ctr DLR, Earth Observat Ctr EOC, D-82234 Oberpfaffenhofen, Germany; [Taubenboeck, Hannes] Julius Maximilians Univ, Inst Geog &amp; Geol, D-97074 Wurzburg, Germany; [Zhu, Xiao Xiang] Tech Univ Munich TUM, Chair Data Sci Earth Observat, Arcisstr 21, D-80333 Munich, Germany</t>
  </si>
  <si>
    <t>Technical University of Munich; Technical University of Munich; Technical University of Munich; Bundeswehr University Munich; Helmholtz Association; German Aerospace Centre (DLR); University of Wurzburg; Technical University of Munich</t>
  </si>
  <si>
    <t>Kochupillai, M (corresponding author), Tech Univ Munich, Int AI Future Lab Artificial Intelligence Earth O, Inst Eth Artificial Intelligence, D-85521 Ottobrunn, Germany.;Kochupillai, M (corresponding author), Tech Univ Munich, Chair Data Sci Earth Observat, D-85521 Ottobrunn, Germany.</t>
  </si>
  <si>
    <t>m.kochupillai@tum.de; matthias.kahl@tum.de; michael.schmitt@unibw.de; hannes.taubenboeck@dlr.de; xiaoxiang.zhu@tum.de</t>
  </si>
  <si>
    <t>Kochupillai, Mrinalini/ABS-7018-2022; Zhu, Xiao Xiang/ABE-7138-2020; Schmitt, Michael/J-7326-2013</t>
  </si>
  <si>
    <t>Zhu, Xiao Xiang/0000-0001-5530-3613; Schmitt, Michael/0000-0002-0575-2362; Kochupillai, Mrinalini/0000-0001-9854-0790</t>
  </si>
  <si>
    <t>2473-2397</t>
  </si>
  <si>
    <t>2168-6831</t>
  </si>
  <si>
    <t>IEEE GEOSC REM SEN M</t>
  </si>
  <si>
    <t>IEEE Geosci. Remote Sens. Mag.</t>
  </si>
  <si>
    <t>10.1109/MGRS.2022.3208357</t>
  </si>
  <si>
    <t>Geochemistry &amp; Geophysics; Remote Sensing; Imaging Science &amp; Photographic Technology</t>
  </si>
  <si>
    <t>9F0XN</t>
  </si>
  <si>
    <t>WOS:000890802700001</t>
  </si>
  <si>
    <t>Zhou, C</t>
  </si>
  <si>
    <t>Zhou, Cong</t>
  </si>
  <si>
    <t>Integration of modern technologies in higher education on the example of artificial intelligence use</t>
  </si>
  <si>
    <t>Artificial intelligence; Digital environment; Higher educational institutions; Modern technologies</t>
  </si>
  <si>
    <t>Modern technology integration in higher education on the example of artificial intelligence use as a personalized learning platform can facilitate learning of various subjects. The research questions are explained by the desire to obtain new experimental data on the modern technology integration in higher education using artificial intelligence as an example, and based on the data obtained, to optimize and improve teaching approaches. The research aims to study the impact of artificial intelligence technologies in higher educational institutions of the People's Republic of China on improving education system. The study relies on experimental design to determine the effectiveness of implementing the Raptivity personalized learning platform by integrating statistical data analysis and paired t-test. The study involved 356 students. The students demonstrated poor or average performance in the pre-assessment of all five subjects before the introduction of artificial intelligence technologies and average or high knowledge in the post-assessment. Students' post-assessment performance in mathematics increased by 22.9%, computer science - by 18.4%, management - by 13.4%, English - by 14.7%, sociology - by 13.7%. According to the t-values that were calculated during the study, there is a significant difference in student performance in the five subjects before and after the Raptivity personalized learning platform introduction. Thus, the intervention in the form of artificial intelligence integration has demonstrated its effectiveness in the context of improving student performance in five humanities and exact subjects. This contributed to an increase in the learning process effectiveness. This research is of practical significance as it demonstrates the positive impact of the Raptivity personalized learning platform on students' performance. The results obtained confirm the need for the modern technology integration on the example of the artificial intelligence introduction in the education system of the People's Republic of China and other countries.</t>
  </si>
  <si>
    <t>[Zhou, Cong] Hunan City Univ, Teacher Educ Coll, Yiyang, Peoples R China</t>
  </si>
  <si>
    <t>Hunan City University</t>
  </si>
  <si>
    <t>Zhou, C (corresponding author), Hunan City Univ, Teacher Educ Coll, Yiyang, Peoples R China.</t>
  </si>
  <si>
    <t>zhoucongchina@163.com</t>
  </si>
  <si>
    <t>Hunan philosophy and Social Science Foundation [18YBJ05]; Educational Science Project of Hunan Providence for the 13th Five-Year Plan [XJK19JGD003]; Evaluation committee of social science achievements of Hunan [XSP19YBZ135]</t>
  </si>
  <si>
    <t>Hunan philosophy and Social Science Foundation; Educational Science Project of Hunan Providence for the 13th Five-Year Plan; Evaluation committee of social science achievements of Hunan</t>
  </si>
  <si>
    <t>This work was supported by Hunan philosophy and Social Science Foundation: [grant number 18YBJ05]; Educational Science Project of Hunan Providence for the 13th Five-Year Plan: [grant number XJK19JGD003]; Evaluation committee of social science achievements of Hunan: [grant number XSP19YBZ135]</t>
  </si>
  <si>
    <t>10.1007/s10639-022-11309-9</t>
  </si>
  <si>
    <t>WOS:000864240100003</t>
  </si>
  <si>
    <t>Wang, XY</t>
  </si>
  <si>
    <t>Wang, Xinyuan</t>
  </si>
  <si>
    <t>Research on the Transition from Financial Accounting to Management Accounting in the Era of Artificial Intelligence</t>
  </si>
  <si>
    <t>2020 5TH INTERNATIONAL CONFERENCE ON MECHANICAL, CONTROL AND COMPUTER ENGINEERING (ICMCCE 2020)</t>
  </si>
  <si>
    <t>5th International Conference on Mechanical, Control and Computer Engineering (ICMCCE)</t>
  </si>
  <si>
    <t>DEC 25-27, 2020</t>
  </si>
  <si>
    <t>Harbin, PEOPLES R CHINA</t>
  </si>
  <si>
    <t>Xijing Univ,Acad Exchange Informat Ctr</t>
  </si>
  <si>
    <t>artificial intelligence; financial accounting; management accounting; transformation</t>
  </si>
  <si>
    <t>In the era of artificial intelligence, advanced information technology has been applied to corporate financial work, changing the functions, work objects, and structure of traditional financial accounting. At the same time, advanced technology makes the financial accounting work unable to meet the needs of the development of the times, which promotes the transition from financial accounting to management accounting. Based on the analysis of the impact of artificial intelligence on financial accounting, this article will combine the characteristics of the two to analyze the problems of financial accounting in the artificial intelligence era and the advantages of management accounting. The author offers several views on how to achieve effective transformation.</t>
  </si>
  <si>
    <t>[Wang, Xinyuan] Hulunbuir Univ, Sch Econ &amp; Management, Hulunbuir 021008, Inner Mongolia, Peoples R China</t>
  </si>
  <si>
    <t>Hulunbuir University</t>
  </si>
  <si>
    <t>Wang, XY (corresponding author), Hulunbuir Univ, Sch Econ &amp; Management, Hulunbuir 021008, Inner Mongolia, Peoples R China.</t>
  </si>
  <si>
    <t>wangxy@hlbec.edu.cn</t>
  </si>
  <si>
    <t>wang, xinyuan/HHM-2418-2022</t>
  </si>
  <si>
    <t>978-1-6654-2314-4</t>
  </si>
  <si>
    <t>10.1109/ICMCCE51767.2020.00300</t>
  </si>
  <si>
    <t>Automation &amp; Control Systems; Engineering, Electrical &amp; Electronic; Engineering, Mechanical</t>
  </si>
  <si>
    <t>Automation &amp; Control Systems; Engineering</t>
  </si>
  <si>
    <t>BR9HD</t>
  </si>
  <si>
    <t>WOS:000675598100291</t>
  </si>
  <si>
    <t>Forsyth, S; Dalton, B; Foster, EH; Walsh, B; Smilack, J; Yeh, T</t>
  </si>
  <si>
    <t>Gardner-McCune, C; Grady, S; Jimenez, Y; Ryoo, J; Santo, R; Payton, J</t>
  </si>
  <si>
    <t>Forsyth, Stacey; Dalton, Bridget; Foster, Ellie Haberl; Walsh, Benjamin; Smilack, Jacqueline; Yeh, Tom</t>
  </si>
  <si>
    <t>Imagine a More Ethical AI: Using Stories to Develop Teens' Awareness and Understanding of Artificial Intelligence and its Societal Impacts</t>
  </si>
  <si>
    <t>IEEE STCBP RESPECT CONFERENCE: 2021 RESEARCH ON EQUITY AND SUSTAINED PARTICIPATION IN ENGINEERING, COMPUTING, AND TECHNOLOGY (RESPECT)</t>
  </si>
  <si>
    <t>6th Conference on Research in Equitable and Sustained Participation in Engineering, Computing, and Technology (RESPECT)</t>
  </si>
  <si>
    <t>MAY 23-27, 2021</t>
  </si>
  <si>
    <t>IEEE Comp Soc,IEEE Special Tech Community Broadening Participat</t>
  </si>
  <si>
    <t>artificial intelligence (AI); machine learning; ethics</t>
  </si>
  <si>
    <t>Artificial intelligence (AI) tools and technologies are increasingly prevalent in society. Many teens interact with AI devices on a daily basis but often have a limited understanding of how AI works, as well as how it impacts society more broadly. It is critical to develop youths' understanding of AI, cultivate ethical awareness, and support diverse youth in pursuing computer science to help ensure future development of more equitable AI technologies. Here, we share our experiences developing and remotely facilitating an interdisciplinary AI ethics program for secondary students designed to increase teens' awareness and understanding of AI and its societal impacts. Students discussed stories with embedded ethical dilemmas, engaged with AI media and simulations, and created digital products to express their stance on an AI ethics issue. Across four iterations in formal and informal settings, we found students to be engaged in AI stories and invested in learning about AI and its societal impacts. Short stories were effective in raising awareness, focusing discussion and supporting students in developing a more nuanced understanding of AI ethics issues, such as fairness, bias and privacy.</t>
  </si>
  <si>
    <t>[Forsyth, Stacey] Univ Colorado, CU Sci Discovery, Boulder, CO 80309 USA; [Dalton, Bridget; Foster, Ellie Haberl; Walsh, Benjamin; Smilack, Jacqueline] Univ Colorado, Sch Educ, Boulder, CO 80309 USA; [Yeh, Tom] Univ Colorado, Dept Comp Sci, Boulder, CO 80309 USA</t>
  </si>
  <si>
    <t>University of Colorado System; University of Colorado Boulder; University of Colorado System; University of Colorado Boulder; University of Colorado System; University of Colorado Boulder</t>
  </si>
  <si>
    <t>Forsyth, S (corresponding author), Univ Colorado, CU Sci Discovery, Boulder, CO 80309 USA.</t>
  </si>
  <si>
    <t>stacey.forsyth@colorado.edu; dalton@colorado.edu; eleanor.haberl@colorado.edu; benjamin.walsh@colorado.edu; jacqueline.smilack@colorado.edu; tom.yeh@colorado.edu</t>
  </si>
  <si>
    <t>Forsyth, Stacey/0000-0001-8055-6858; YEH, TOM/0000-0003-0227-9781</t>
  </si>
  <si>
    <t>National Science Foundation [1934151]; Direct For Education and Human Resources; Division Of Research On Learning [1934151] Funding Source: National Science Foundation</t>
  </si>
  <si>
    <t>National Science Foundation(National Science Foundation (NSF)); Direct For Education and Human Resources; Division Of Research On Learning(National Science Foundation (NSF)NSF - Directorate for STEM Education (EDU))</t>
  </si>
  <si>
    <t>This material is based upon work supported by the National Science Foundation under Grant No. 1934151. Any opinions, findings, and conclusions or recommendations expressed in this material are those of the author(s) and do not necessarily reflect the views of the NSF.</t>
  </si>
  <si>
    <t>978-1-6654-4905-2</t>
  </si>
  <si>
    <t>10.1109/RESPECT51740.2021.9620549</t>
  </si>
  <si>
    <t>Computer Science, Interdisciplinary Applications; Social Issues</t>
  </si>
  <si>
    <t>Computer Science; Social Issues</t>
  </si>
  <si>
    <t>BU0IL</t>
  </si>
  <si>
    <t>WOS:000869715300057</t>
  </si>
  <si>
    <t>Gudadappanavar, AM; Hombal, P; Benni, JM</t>
  </si>
  <si>
    <t>Gudadappanavar, Anupama M.; Hombal, Prashant; Benni, Jyoti M.</t>
  </si>
  <si>
    <t>An Evidence-Based Systematic Review: The Impact of Artificial Intelligence in Pharmacology and Health Research</t>
  </si>
  <si>
    <t>PHYSIOLOGY AND PHARMACOLOGY</t>
  </si>
  <si>
    <t>Artificial Intelligence; Machine Learning; Deep Learning; Pharmacology; Health Research</t>
  </si>
  <si>
    <t>MACHINE; PHARMACOVIGILANCE; PHARMACOGENOMICS; KNOWLEDGE</t>
  </si>
  <si>
    <t>Introduction: Artificial intelligence (AI) has gradually become a vital part of health care currently. AI and machine learning (ML) have made significant progress in recent years, particularly in terms of deep learning (DL) approaches in pharmacology. AI will have a significant impact on pharmacologists at all levels in the coming decade, including drug development and research, medical education, and clinical practice. AI is transforming health research, by boosting data analysis, providing diagnostic tools, predicting outcomes, and helping develop personalized treatments. AI affords early detection of diseases and creates virtual patient models to assess treatments. In this reverence, the objective of this systematic review is to evaluate the impact of AI in the field of Pharmacology and health research. Methods: The review was performed by preferred reporting items for systematic reviews and meta-analyses (PRISMA) guidelines. The studies published from 2009 to 2022 were identified using specific keywords through searches on PubMed, Google Scholar, Web of Science, Science Direct, and Cochrane review databases. The explorations retrieved 972 studies and on subsequent screening with the inclusion and exclusion criteria, 71 studies Results: The collective results showed that AI plays a significant role in the fields of pharmacology, research, medical education, health care diagnostics, and clinical practice, Conclusion: AI has emerged as a powerful tool in pharmacology and healthcare, offering innovative solutions to longstanding challenges. It has revolutionized and digitally transformed the manual healthcare system into an automated version in many areas.</t>
  </si>
  <si>
    <t>[Gudadappanavar, Anupama M.; Benni, Jyoti M.] KLE Acad Higher Educ &amp; Res KAHER, JN Med Coll, Dept Pharmacol, Belagavi, Karnataka, India; [Hombal, Prashant] KLE Acad Higher Educ &amp; Res KAHER, JN Med Coll, Dept Gen Surg, Belagavi, Karnataka, India</t>
  </si>
  <si>
    <t>K.L.E. Academy of Higher Education &amp; Research; Jawaharlal Nehru Medical College, Belgaum; K.L.E. Academy of Higher Education &amp; Research; Jawaharlal Nehru Medical College, Belgaum</t>
  </si>
  <si>
    <t>Benni, JM (corresponding author), KLE Acad Higher Educ &amp; Res KAHER, JN Med Coll, Dept Pharmacol, Belagavi, Karnataka, India.</t>
  </si>
  <si>
    <t>benni_jyoti@yahoo.co.in</t>
  </si>
  <si>
    <t>HOMBAL, PRASHANT/AFE-7741-2022; Benni, Jyoti/AAS-2433-2021</t>
  </si>
  <si>
    <t>Gudadappanavar, Anupama/0000-0001-8116-8005; Benni, Jyoti/0000-0001-5877-2378; Hombal, DR. Prashant/0000-0002-9956-9090</t>
  </si>
  <si>
    <t>IRANIAN SOC PHYSIOLOGY &amp; PHARMACOLOGY</t>
  </si>
  <si>
    <t>PO BOX 19615-1178, TEHRAN, 00000, IRAN</t>
  </si>
  <si>
    <t>2476-5236</t>
  </si>
  <si>
    <t>2476-5244</t>
  </si>
  <si>
    <t>PHYSIOL PHARMACOL</t>
  </si>
  <si>
    <t>Physiol. Pharmacol.</t>
  </si>
  <si>
    <t>10.61186/phypha.28.3.257</t>
  </si>
  <si>
    <t>J2D3X</t>
  </si>
  <si>
    <t>WOS:001335222400003</t>
  </si>
  <si>
    <t>Sorrenti, S; Dolcetti, V; Radzina, M; Bellini, MI; Frezza, F; Munir, K; Grani, G; Durante, C; D'Andrea, V; David, E; Calò, PG; Lori, E; Cantisani, V</t>
  </si>
  <si>
    <t>Sorrenti, Salvatore; Dolcetti, Vincenzo; Radzina, Maija; Bellini, Maria Irene; Frezza, Fabrizio; Munir, Khushboo; Grani, Giorgio; Durante, Cosimo; D'Andrea, Vito; David, Emanuele; Calo, Pietro Giorgio; Lori, Eleonora; Cantisani, Vito</t>
  </si>
  <si>
    <t>Artificial Intelligence for Thyroid Nodule Characterization: Where Are We Standing?</t>
  </si>
  <si>
    <t>artificial intelligence; machine learning; thyroid cancer</t>
  </si>
  <si>
    <t>RISK STRATIFICATION; MALIGNANCY RISK; ULTRASOUND; DIAGNOSIS; RADIOMICS; IMAGES; CLASSIFICATION; MULTICENTER; ACCURACY; SYSTEMS</t>
  </si>
  <si>
    <t>Simple Summary In the present review, an up-to-date summary of the state of the art of artificial intelligence (AI) implementation for thyroid nodule characterization and cancer is provided. The opinion on the real effectiveness of AI systems remains controversial. Taking into consideration the largest and most scientifically valid studies, it is possible to state that AI provides results that are comparable or inferior to expert ultrasound specialists and radiologists. Promising data approve AI as a support tool and simultaneously highlight the need for a radiologist supervisory framework for AI provided results. Therefore, current solutions might be more suitable for educational purposes. Machine learning (ML) is an interdisciplinary sector in the subset of artificial intelligence (AI) that creates systems to set up logical connections using algorithms, and thus offers predictions for complex data analysis. In the present review, an up-to-date summary of the current state of the art regarding ML and AI implementation for thyroid nodule ultrasound characterization and cancer is provided, highlighting controversies over AI application as well as possible benefits of ML, such as, for example, training purposes. There is evidence that AI increases diagnostic accuracy and significantly limits inter-observer variability by using standardized mathematical algorithms. It could also be of aid in practice settings with limited sub-specialty expertise, offering a second opinion by means of radiomics and computer-assisted diagnosis. The introduction of AI represents a revolutionary event in thyroid nodule evaluation, but key issues for further implementation include integration with radiologist expertise, impact on workflow and efficiency, and performance monitoring.</t>
  </si>
  <si>
    <t>[Sorrenti, Salvatore; Bellini, Maria Irene; D'Andrea, Vito; Lori, Eleonora] Sapienza Univ Rome, Dept Surg Sci, I-00161 Rome, Italy; [Dolcetti, Vincenzo; Cantisani, Vito] Sapienza Univ Rome, Dept Radiol Anatomo Pathol Sci, I-00161 Rome, Italy; [Radzina, Maija] Riga Stradins Univ, Radiol Res Lab, LV-1007 Riga, Latvia; [Radzina, Maija] Univ Latvia, Paula Stradina Clin Univ Hosp, Med Fac, Diagnost Radiol Inst, LV-1007 Riga, Latvia; [Frezza, Fabrizio; Munir, Khushboo] Sapienza Univ Rome, Dept Informat Engn Elect &amp; Telecommun, I-00184 Rome, Italy; [Frezza, Fabrizio] Consorzio Nazl Interuniv Telecomunicaz CNIT, Viale GP Usberti 181-A Sede Sci Ingn Palazzina 3, I-43124 Parma, Italy; [Grani, Giorgio; Durante, Cosimo; David, Emanuele] Sapienza Univ Rome, Dept Translat &amp; Precis Med, I-00161 Rome, Italy; [Calo, Pietro Giorgio] Univ Cagliari, Policlin Univ Duilio Casula, Dept Surg Sci, I-09042 Monserrato, Italy</t>
  </si>
  <si>
    <t>Sapienza University Rome; Sapienza University Rome; Riga Stradins University; Pauls Stradins Clinical University Hospital; University of Latvia; Sapienza University Rome; Sapienza University Rome; University of Cagliari; Monserrato Polyclinic</t>
  </si>
  <si>
    <t>Bellini, MI (corresponding author), Sapienza Univ Rome, Dept Surg Sci, I-00161 Rome, Italy.</t>
  </si>
  <si>
    <t>salvatore.sorrenti@uniroma1.it; vincenzodolcetti@gmail.com; mradzina@gmail.com; mariairene.bellini@uniroma1.it; fabrizio.frezza@uniroma1.it; khushboo.muniruniroma1@gmail.com; giorgio.grani@uniroma1.it; cosimo.durante@uniroma1.it; vito.dandrea@uniroma1.it; emanuele.david@uniroma1.it; pgcalo@unica.it; eleonoralori@uniroma1.it; vito.cantisani@uniroma1.it</t>
  </si>
  <si>
    <t>Sorrenti, Salvatore/AGZ-2978-2022; Durante, Cosimo/E-4926-2014; Eleonora, Lori/AIC-0668-2022; Munir, Khushboo/AAF-8598-2020; Frezza, Fabrizio/B-3453-2010; Bellini, Maria Irene/AAB-9323-2022; Grani, Giorgio/D-7968-2011</t>
  </si>
  <si>
    <t>SORRENTI, Salvatore/0000-0003-0427-6648; Lori, Eleonora/0000-0003-1943-4952; Dolcetti, Vincenzo/0000-0001-8397-8343; D'ANDREA, VITO/0000-0001-5709-2530; Frezza, Fabrizio/0000-0001-9457-7617; Calo, Pietro Giorgio/0000-0001-9637-1145; DURANTE, COSIMO/0000-0002-1791-5915; Bellini, Maria Irene/0000-0003-0730-4923; Radzina, Maija/0000-0002-9518-4855; Grani, Giorgio/0000-0002-0388-1283</t>
  </si>
  <si>
    <t>10.3390/cancers14143357</t>
  </si>
  <si>
    <t>3H6RX</t>
  </si>
  <si>
    <t>WOS:000832162400001</t>
  </si>
  <si>
    <t>Zorman, M; Zlahtic, B; Stradovnik, S; Hace, A</t>
  </si>
  <si>
    <t>Zorman, Milan; Zlahtic, Bojan; Stradovnik, Sasa; Hace, Ales</t>
  </si>
  <si>
    <t>Transferring artificial intelligence practices between collaborative robotics and autonomous driving</t>
  </si>
  <si>
    <t>Robotics; Artificial intelligence; Automation; Decision-making; Intelligent agents</t>
  </si>
  <si>
    <t>COLLISION-AVOIDANCE; DESIGN; TASKS</t>
  </si>
  <si>
    <t>Purpose Collaborative robotics and autonomous driving are fairly new disciplines, still with a long way to go to achieve goals, set by the research community, manufacturers and users. For technologies like collaborative robotics and autonomous driving, which focus on closing the gap between humans and machines, the physical, psychological and emotional needs of human individuals becoming increasingly important in order to ensure effective and safe human-machine interaction. The authors' goal was to conceptualize ways to combine experience from both fields and transfer artificial intelligence knowledge from one to another. By identifying transferable meta-knowledge, the authors will increase quality of artificial intelligence applications and raise safety and contextual awareness for users and environment in both fields. Design/methodology/approach First, the authors presented autonomous driving and collaborative robotics and autonomous driving and collaborative robotics' connection to artificial intelligence. The authors continued with advantages and challenges of both fields and identified potential topics for transferrable practices. Topics were divided into three time slots according to expected research timeline. Findings The identified research opportunities seem manageable in the presented timeline. The authors' expectation was that autonomous driving and collaborative robotics will start moving closer in the following years and even merging in some areas like driverless and humanless transport and logistics. Originality/value The authors' findings confirm the latest trends in autonomous driving and collaborative robotics and expand them into new research and collaboration opportunities for the next few years. The authors' research proposal focuses on those that should have the most positive impact to safety, complement, optimize and evolve human capabilities and increase productivity in line with social expectations. Transferring meta-knowledge between fields will increase progress and, in some cases, cut some shortcuts in achieving the aforementioned goals.</t>
  </si>
  <si>
    <t>[Zorman, Milan; Zlahtic, Bojan] Univ Maribor, Fac Elect Engn &amp; Comp Sci, Inst Comp Sci, Maribor, Slovenia; [Stradovnik, Sasa; Hace, Ales] Univ Maribor, Fac Elect Engn &amp; Comp Sci, Inst Robot, Maribor, Slovenia</t>
  </si>
  <si>
    <t>University of Maribor; University of Maribor</t>
  </si>
  <si>
    <t>Zorman, M (corresponding author), Univ Maribor, Fac Elect Engn &amp; Comp Sci, Inst Comp Sci, Maribor, Slovenia.</t>
  </si>
  <si>
    <t>milan.zorman@um.si</t>
  </si>
  <si>
    <t>Žlahtič, Bojan/KEI-5556-2024</t>
  </si>
  <si>
    <t>Zorman, Milan/0000-0003-0269-5347; Zlahtic, Bojan/0000-0001-9295-7886</t>
  </si>
  <si>
    <t>floor 5, Northspring 21-23 Wellington Street, Leeds, W YORKSHIRE, ENGLAND</t>
  </si>
  <si>
    <t>1758-7883</t>
  </si>
  <si>
    <t>SEP 25</t>
  </si>
  <si>
    <t>10.1108/K-05-2022-0679</t>
  </si>
  <si>
    <t>T5NB4</t>
  </si>
  <si>
    <t>WOS:000846916700001</t>
  </si>
  <si>
    <t>Smith, AM; Ayala, NT; Ying, RC</t>
  </si>
  <si>
    <t>Smith, Andrew M.; Ayala, Nydia T.; Ying, Rebecca C.</t>
  </si>
  <si>
    <t>Using Artificial Intelligence to Assess Eyewitness Identification Accuracy</t>
  </si>
  <si>
    <t>JOURNAL OF APPLIED RESEARCH IN MEMORY AND COGNITION</t>
  </si>
  <si>
    <t>artificial intelligence; eyewitness memory; lineup; machine learning; memory</t>
  </si>
  <si>
    <t>LINEAR-MODELS; CONFIDENCE</t>
  </si>
  <si>
    <t>Drawing on recent experimental research, we propose three ways in which artificial intelligence (AI) can be used to assess eyewitness identification accuracy. First, we suggest that AI could be used as an outside evaluator of eyewitness accuracy. AI could be exposed to identification evidence and left to make its own classification decisions. Second, AI could be used as a tool to inform human evaluators on the likely accuracy of an identification decision. This could range from clarifying witness information to providing evaluators with numeric estimates of accuracy. Third, AI could be used as a model of how human evaluators should go about assessing identification accuracy. Researchers could examine how successful AI models discriminate between accurate and inaccurate identification decisions and train human evaluators to use a similar algorithm. We contend that transparency and interpretability will be key ingredients in determining how AI impacts the legal system.</t>
  </si>
  <si>
    <t>[Smith, Andrew M.; Ying, Rebecca C.] Iowa State Univ, Dept Psychol, 1347 Lagomarcino Hall, Ames, IA 50011 USA; [Ayala, Nydia T.] Washington &amp; Lee Univ, Dept Cognit &amp; Behav Sci, Lexington, VA USA</t>
  </si>
  <si>
    <t>Iowa State University; Washington &amp; Lee University</t>
  </si>
  <si>
    <t>Smith, AM (corresponding author), Iowa State Univ, Dept Psychol, 1347 Lagomarcino Hall, Ames, IA 50011 USA.</t>
  </si>
  <si>
    <t>amsmith@iastate.edu</t>
  </si>
  <si>
    <t>Smith, Andrew/AAD-5112-2021</t>
  </si>
  <si>
    <t>Ying, Rebecca/0000-0002-5666-7790; Smith, Andrew/0000-0002-4184-9364; Ayala, Nydia/0000-0003-4073-8141</t>
  </si>
  <si>
    <t>2211-3681</t>
  </si>
  <si>
    <t>2211-369X</t>
  </si>
  <si>
    <t>J APPL RES MEM COGN</t>
  </si>
  <si>
    <t>J. Appl. Res. Mem. Cogn.</t>
  </si>
  <si>
    <t>10.1037/mac0000206</t>
  </si>
  <si>
    <t>R4F8K</t>
  </si>
  <si>
    <t>WOS:001391035800015</t>
  </si>
  <si>
    <t>Samuel, G; Chubb, J; Derrick, G</t>
  </si>
  <si>
    <t>Samuel, Gabrielle; Chubb, Jenn; Derrick, Gemma</t>
  </si>
  <si>
    <t>Boundaries Between Research Ethics and Ethical Research Use in Artificial Intelligence Health Research</t>
  </si>
  <si>
    <t>JOURNAL OF EMPIRICAL RESEARCH ON HUMAN RESEARCH ETHICS</t>
  </si>
  <si>
    <t>responsible research; artificial intelligence; ethics; research ethics; privacy; health; responsible research and innovation; societal impact</t>
  </si>
  <si>
    <t>The governance of ethically acceptable research in higher education institutions has been under scrutiny over the past half a century. Concomitantly, recently, decision makers have required researchers to acknowledge the societal impact of their research, as well as anticipate and respond to ethical dimensions of this societal impact through responsible research and innovation principles. Using artificial intelligence population health research in the United Kingdom and Canada as a case study, we combine a mapping study of journal publications with 18 interviews with researchers to explore how the ethical dimensions associated with this societal impact are incorporated into research agendas. Researchers separated the ethical responsibility of their research with its societal impact. We discuss the implications for both researchers and actors across the Ethics Ecosystem.</t>
  </si>
  <si>
    <t>[Samuel, Gabrielle] Kings Coll London, Dept Global Hlth &amp; Social Med, London, England; [Chubb, Jenn] Univ York, Dept Comp Sci, York, N Yorkshire, England; [Derrick, Gemma] Univ Lancaster, Dept Educ Res, Lancaster, England</t>
  </si>
  <si>
    <t>University of London; King's College London; University of York - UK; Lancaster University</t>
  </si>
  <si>
    <t>Samuel, G (corresponding author), Kings Coll London, Dept Global Hlth &amp; Social Med, London, England.</t>
  </si>
  <si>
    <t>gabbysamuel@gmail.com</t>
  </si>
  <si>
    <t>Derrick, Gemma/D-8970-2018</t>
  </si>
  <si>
    <t>Derrick, Gemma/0000-0001-5386-8653; Samuel, Gabby/0000-0001-8111-2730</t>
  </si>
  <si>
    <t>Wellcome Trust [213619/Z/18/Z/]; EPSRC [EP/M023265/1] Funding Source: UKRI; Wellcome Trust [213619/Z/18/Z] Funding Source: Wellcome Trust</t>
  </si>
  <si>
    <t>Wellcome Trust(Wellcome Trust); EPSRC(UK Research &amp; Innovation (UKRI)Engineering &amp; Physical Sciences Research Council (EPSRC)); Wellcome Trust(Wellcome Trust)</t>
  </si>
  <si>
    <t>The authors disclosed receipt of the following financial support for the research, authorship, and/or publication of this article: This work was supported by the Wellcome Trust (grant number 213619/Z/18/Z/).</t>
  </si>
  <si>
    <t>1556-2646</t>
  </si>
  <si>
    <t>1556-2654</t>
  </si>
  <si>
    <t>J EMPIR RES HUM RES</t>
  </si>
  <si>
    <t>J. Empir. Res. Hum. Res. Ethics</t>
  </si>
  <si>
    <t>10.1177/15562646211002744</t>
  </si>
  <si>
    <t>TA5JE</t>
  </si>
  <si>
    <t>WOS:000630561100001</t>
  </si>
  <si>
    <t>Alserr, N; Salepcioglu, MA</t>
  </si>
  <si>
    <t>Alserr, Nour; Salepcioglu, Murat Adil</t>
  </si>
  <si>
    <t>Success Factors Affecting the Adoption of Artificial Intelligence and the Impacts of on Organizational Excellence: A Case to be Studied in the MENA Region, and Turkey in Particular</t>
  </si>
  <si>
    <t>Artificial intelligence; Adoption of AI; Organizational excellence</t>
  </si>
  <si>
    <t>INNOVATION CHARACTERISTICS; ATTRIBUTES</t>
  </si>
  <si>
    <t>AI adoption behavior requires firms' preparedness, zeal, and high management support. Adoption is depicted by technology as an affected notion by the technologies internal and external gathering to the corporation in addition to their realized utility, organizational and technical harmony, and learning curve, pilot test experimentation, and intelligibility/illusion (Awa and Ojiabo 2016). The research provides supplementary comprehension image regarding adoption success agent, the anticipating defiances; the effect on organizational excellence and post-adoption benefits. The study utilizes the descriptive analytical tactic and data collection resources of both primary and secondary resources. Primary resources used mixed data collection instruments of both questionnaires and interviews. Secondary sources included literature review from pertinent previous studies, research papers, periodicals, books and references. The research sample draws from Turkish private business sector firms in health care, education, marketing and advertising organizations, services outlets, financial organizations, general trading &amp; commerce institutions and telecommunications firms. In order to analyze the data, structural equation modeling was implemented. Total of (11) agents were suggested to critically influence AI adoption. The outcomes exhibit that three agents, namely correspondence, executive support, and observability, directly influence AI adoption. Organization's technical capacity and perceived relative advantage impact compatibility, but they are indirectly related toAI adoption. Competitive pressure impacts relative advantage of Artificial Intelligence technologies, yet it is relevant to the adoption of Artificial Intelligence indirectly. However, the experimental impacts in this study imply that trialability factor is not linked to AI adoption. It should be noticeable that this factor, in other situations, might still exert influence.</t>
  </si>
  <si>
    <t>[Alserr, Nour; Salepcioglu, Murat Adil] Istanbul Aydin Univ, Besyol Inonu Cd 38,34295 Kucukcekmece, Istanbul, Turkiye</t>
  </si>
  <si>
    <t>Istanbul Aydin University</t>
  </si>
  <si>
    <t>Alserr, N (corresponding author), Istanbul Aydin Univ, Besyol Inonu Cd 38,34295 Kucukcekmece, Istanbul, Turkiye.</t>
  </si>
  <si>
    <t>SALEPCIOGLU, MURAT ADIL/0000-0003-0280-9615; naim, Nour/0000-0002-9303-5186</t>
  </si>
  <si>
    <t>10.1007/978-3-031-08093-7_1</t>
  </si>
  <si>
    <t>WOS:000894628000001</t>
  </si>
  <si>
    <t>Cassel, L; Dicheva, D; Dichev, C; Goelman, D; Posner, M</t>
  </si>
  <si>
    <t>Dichev, C; Agre, G</t>
  </si>
  <si>
    <t>Cassel, Lillian; Dicheva, Darina; Dichev, Christo; Goelman, Don; Posner, Michael</t>
  </si>
  <si>
    <t>Artificial Intelligence in Data Science</t>
  </si>
  <si>
    <t>ARTIFICIAL INTELLIGENCE: METHODOLOGY, SYSTEMS, AND APPLICATIONS, AIMSA 2016</t>
  </si>
  <si>
    <t>17th International Conference on Artificial Intelligence - Methodology, Systems and Applications (AIMSA)</t>
  </si>
  <si>
    <t>SEP 07-10, 2016</t>
  </si>
  <si>
    <t>Varna, BULGARIA</t>
  </si>
  <si>
    <t>Bulgarian Acad Sci, Inst Informat &amp; Commun Technologies,Bulgarian Artificial Intelligence Assoc</t>
  </si>
  <si>
    <t>Data science; Machine learning; Big data</t>
  </si>
  <si>
    <t>Data Science programs are emerging in many areas and are related to many disciplines. This includes sciences, social sciences, business, journalism, history, and any other area dealing with massive amounts of data. People may understand that the quantity of data now available has changed the nature of research and has begun to impact the way students must prepare to be part of their discipline. However, they may not understand that artificial intelligence is a key component of the new reality. Massive amounts of data require more than computational power from computers. The size of the data collections also requires machine intelligence to organize and cluster data.</t>
  </si>
  <si>
    <t>[Cassel, Lillian; Goelman, Don; Posner, Michael] Villanova Univ, Dept Comp Sci, Villanova, PA 19085 USA; [Dicheva, Darina; Dichev, Christo] Winston Salem State Univ, Dept Comp Sci, Winston Salem, NC USA</t>
  </si>
  <si>
    <t>Villanova University; Winston-Salem State University</t>
  </si>
  <si>
    <t>Cassel, L (corresponding author), Villanova Univ, Dept Comp Sci, Villanova, PA 19085 USA.</t>
  </si>
  <si>
    <t>lillian.cassel@villanova.edu; dichevad@wssu.edu; dichevc@wssu.edu; don.goelman@villanova.edu; michael.posner@villanova.edu</t>
  </si>
  <si>
    <t>SPRINGER INT PUBLISHING AG</t>
  </si>
  <si>
    <t>978-3-319-44748-3; 978-3-319-44747-6</t>
  </si>
  <si>
    <t>BG4OA</t>
  </si>
  <si>
    <t>WOS:000389020000033</t>
  </si>
  <si>
    <t>Zhavoronkov, A; Vanhaelen, Q; Oprea, TI</t>
  </si>
  <si>
    <t>Zhavoronkov, Alex; Vanhaelen, Quentin; Oprea, Tudor I.</t>
  </si>
  <si>
    <t>Will Artificial Intelligence for Drug Discovery Impact Clinical Pharmacology?</t>
  </si>
  <si>
    <t>CLINICAL PHARMACOLOGY &amp; THERAPEUTICS</t>
  </si>
  <si>
    <t>As the field of artificial intelligence and machine learning (AI/ML) for drug discovery is rapidly advancing, we address the question What is the impact of recent AI/ML trends in the area of Clinical Pharmacology? We address difficulties and AI/ML developments for target identification, their use in generative chemistry for small molecule drug discovery, and the potential role of AI/ML in clinical trial outcome evaluation. We briefly discuss current trends in the use of AI/ML in health care and the impact of AI/ML context of the daily practice of clinical pharmacologists.</t>
  </si>
  <si>
    <t>[Zhavoronkov, Alex; Vanhaelen, Quentin] Insilico Med, Pharmaceut Artificial Intelligence Dept, Hong Kong, Peoples R China; [Oprea, Tudor I.] Univ New Mexico, Sch Med, Dept Internal Med, Albuquerque, NM 87131 USA; [Oprea, Tudor I.] Univ New Mexico, Ctr Comprehens Canc, Albuquerque, NM 87131 USA; [Oprea, Tudor I.] Univ New Mexico, Hlth Sci Ctr, Autophagy Inflammat &amp; Metab Ctr Biomed Res Excell, Albuquerque, NM 87131 USA; [Oprea, Tudor I.] Univ Gothenburg, Inst Med, Dept Rheumatol &amp; Inflammat Res, Sahlgrenska Acad, Gothenburg, Sweden; [Oprea, Tudor I.] Univ Copenhagen, Novo Nordisk Fdn Ctr Prot Res, Fac Hlth &amp; Med Sci, Copenhagen, Denmark</t>
  </si>
  <si>
    <t>University of New Mexico; University of New Mexico; University of New Mexico; University of New Mexico's Health Sciences Center; University of Gothenburg; University of Copenhagen</t>
  </si>
  <si>
    <t>Oprea, TI (corresponding author), Univ New Mexico, Sch Med, Dept Internal Med, Albuquerque, NM 87131 USA.;Oprea, TI (corresponding author), Univ New Mexico, Ctr Comprehens Canc, Albuquerque, NM 87131 USA.;Oprea, TI (corresponding author), Univ New Mexico, Hlth Sci Ctr, Autophagy Inflammat &amp; Metab Ctr Biomed Res Excell, Albuquerque, NM 87131 USA.;Oprea, TI (corresponding author), Univ Gothenburg, Inst Med, Dept Rheumatol &amp; Inflammat Res, Sahlgrenska Acad, Gothenburg, Sweden.;Oprea, TI (corresponding author), Univ Copenhagen, Novo Nordisk Fdn Ctr Prot Res, Fac Hlth &amp; Med Sci, Copenhagen, Denmark.</t>
  </si>
  <si>
    <t>toprea@salud.unm.edu</t>
  </si>
  <si>
    <t>VANHAELEN, QUENTIN/W-3160-2019; Zhavoronkov, Alex/HCI-9762-2022; Zhavoronkov, Alex/E-7141-2014; Oprea, Tudor/A-5746-2011</t>
  </si>
  <si>
    <t>Zhavoronkov, Alex/0000-0001-7067-8966; Oprea, Tudor/0000-0002-6195-6976; VANHAELEN, QUENTIN/0000-0002-4611-2046</t>
  </si>
  <si>
    <t>National Institutes of Health (NIH) [P30 CA118100, U24 CA224370, U01 CA239108, U24 TR002278]</t>
  </si>
  <si>
    <t>National Institutes of Health (NIH)(United States Department of Health &amp; Human ServicesNational Institutes of Health (NIH) - USA)</t>
  </si>
  <si>
    <t>Part of this work was supported by the National Institutes of Health (NIH) grants P30 CA118100, U24 CA224370, U01 CA239108, and U24 TR002278 (T.I.O.).</t>
  </si>
  <si>
    <t>0009-9236</t>
  </si>
  <si>
    <t>1532-6535</t>
  </si>
  <si>
    <t>CLIN PHARMACOL THER</t>
  </si>
  <si>
    <t>Clin. Pharmacol. Ther.</t>
  </si>
  <si>
    <t>10.1002/cpt.1795</t>
  </si>
  <si>
    <t>KW1QL</t>
  </si>
  <si>
    <t>WOS:000517775000001</t>
  </si>
  <si>
    <t>van der Ven, H; Corry, D; Elnur, R; Provost, VJ; Syukron, M; Tappauf, N</t>
  </si>
  <si>
    <t>van der Ven, Hamish; Corry, Diego; Elnur, Rawie; Provost, Viola Jasmine; Syukron, Muh; Tappauf, Niklas</t>
  </si>
  <si>
    <t>Does artificial intelligence bias perceptions of environmental challenges?</t>
  </si>
  <si>
    <t>ENVIRONMENTAL RESEARCH LETTERS</t>
  </si>
  <si>
    <t>artificial intelligence; large language models; chatbots; bias; environment</t>
  </si>
  <si>
    <t>MEDIA COVERAGE; SUSTAINABILITY</t>
  </si>
  <si>
    <t>Artificial intelligence (AI) is reshaping how humans obtain information about environmental challenges. Yet the outputs of AI chatbots contain biases that affect how humans view these challenges. Here, we use qualitative and quantitative content analysis to identify bias in AI chatbot characterizations of the issues, causes, consequences, and solutions to environmental challenges. By manually coding an original dataset of 1512 chatbot responses across multiple environmental challenges and chatbots, we identify a number of overlapping areas of bias. Most notably, chatbots are prone to proposing incremental solutions to environmental challenges that draw heavily on past experience and avoid more radical changes to existing economic, social, and political systems. We also find that chatbots are reluctant to assign accountability to investors and avoid associating environmental challenges with broader social justice issues. These findings present new dimensions of bias in AI and auger towards a more critical treatment of AI's hidden environmental impacts.</t>
  </si>
  <si>
    <t>[van der Ven, Hamish] Univ British Columbia, Fac Forestry, Dept Wood Sci, 4644-2424 Main Mall, Vancouver, BC V6T 1Z4, Canada; [Corry, Diego; Elnur, Rawie; Provost, Viola Jasmine; Syukron, Muh] Univ British Columbia, Fac Forestry, Dept Wood Sci, 2401-2424 Main Mall, Vancouver, BC V6T 1Z4, Canada; [Tappauf, Niklas] Univ British Columbia, Fac Land &amp; Food Syst, FNH 302-2205 East Mall, Vancouver, BC V6T 1Z4, Canada</t>
  </si>
  <si>
    <t>University of British Columbia; University of British Columbia; University of British Columbia</t>
  </si>
  <si>
    <t>van der Ven, H (corresponding author), Univ British Columbia, Fac Forestry, Dept Wood Sci, 4644-2424 Main Mall, Vancouver, BC V6T 1Z4, Canada.</t>
  </si>
  <si>
    <t>hamish.vanderven@ubc.ca; diegocc@mail.ubc.ca; relnur17@mail.ubc.ca; provostv@student.ubc.ca; syukronm@student.ubc.ca; nt050197@mail.ubc.ca</t>
  </si>
  <si>
    <t>Syukron, Muh/LLM-4282-2024</t>
  </si>
  <si>
    <t>Provost, Viola Jasmine/0009-0004-0528-1240</t>
  </si>
  <si>
    <t>Social Sciences and Humanities Research Council of Canadahttp://dx.doi.org/10.13039/501100000155; Social Sciences and Humanities Research Council of Canada</t>
  </si>
  <si>
    <t>Social Sciences and Humanities Research Council of Canadahttp://dx.doi.org/10.13039/501100000155; Social Sciences and Humanities Research Council of Canada(Social Sciences &amp; Humanities Research Council of Canada (SSHRC))</t>
  </si>
  <si>
    <t>The authors gratefully acknowledge financial support from the Social Sciences and Humanities Research Council of Canada and Faculty of Forestry at UBC.</t>
  </si>
  <si>
    <t>1748-9326</t>
  </si>
  <si>
    <t>ENVIRON RES LETT</t>
  </si>
  <si>
    <t>Environ. Res. Lett.</t>
  </si>
  <si>
    <t>10.1088/1748-9326/ad95a2</t>
  </si>
  <si>
    <t>O5A8M</t>
  </si>
  <si>
    <t>WOS:001371261400001</t>
  </si>
  <si>
    <t>Wang, S; Cooper, N; Eby, M</t>
  </si>
  <si>
    <t>Wang, Skyler; Cooper, Ned; Eby, Margaret</t>
  </si>
  <si>
    <t>From human-centered to social-centered artificial intelligence: Assessing ChatGPT's impact through disruptive events</t>
  </si>
  <si>
    <t>Human-centered; social-centered; artificial intelligence; ChatGPT; large language models; dialogue agents</t>
  </si>
  <si>
    <t>CULTURE</t>
  </si>
  <si>
    <t>Large language models (LLMs) and dialogue agents represent a significant shift in artificial intelligence (AI) research, particularly with the recent release of the GPT family of models. ChatGPT's generative capabilities and versatility across technical and creative domains led to its widespread adoption, marking a departure from more limited deployments of previous AI systems. While society grapples with the emerging cultural impacts of this new societal-scale technology, critiques of ChatGPT's impact within machine learning research communities have coalesced around its performance or other conventional safety evaluations relating to bias, toxicity, and hallucination. We argue that these critiques draw heavily on a particular conceptualization of the human-centered framework, which tends to cast atomized individuals as the key recipients of technology's benefits and detriments. In this article, we direct attention to another dimension of LLMs and dialogue agents' impact: their effects on social groups, institutions, and accompanying norms and practices. By analyzing ChatGPT's social impact through a social-centered framework, we challenge individualistic approaches in AI development and contribute to ongoing debates around the ethical and responsible deployment of AI systems. We hope this effort will call attention to more comprehensive and longitudinal evaluation tools (e.g., including more ethnographic analyses and participatory approaches) and compel technologists to complement human-centered thinking with social-centered approaches.</t>
  </si>
  <si>
    <t>[Wang, Skyler] McGill Univ, Dept Sociol, Montreal, PQ, Canada; [Cooper, Ned] Australian Natl Univ, Sch Cybernet, Canberra, ACT, Australia; [Eby, Margaret] Univ Calif Berkeley, Dept Sociol, Berkeley, CA USA</t>
  </si>
  <si>
    <t>McGill University; Australian National University; University of California System; University of California Berkeley</t>
  </si>
  <si>
    <t>Cooper, N (corresponding author), Australian Natl Univ, Sch Cybernet, 35 Sci Rd, Acton 2601, Australia.</t>
  </si>
  <si>
    <t>edward.cooper@anu.edu.au</t>
  </si>
  <si>
    <t>Cooper, Ned/0000-0003-1834-279X; Wang, Skyler/0000-0002-0639-945X; Eby, Margaret/0000-0003-1004-5934</t>
  </si>
  <si>
    <t>Australian Government Research Training Program (RTP) Scholarship; Florence Violet McKenzie scholarship</t>
  </si>
  <si>
    <t>Australian Government Research Training Program (RTP) Scholarship(Australian GovernmentDepartment of Industry, Innovation and Science); Florence Violet McKenzie scholarship</t>
  </si>
  <si>
    <t>The author(s) disclosed receipt of the following financial support for the research, authorship, and/or publication of this article: Ned Cooper is supported by an Australian Government Research Training Program (RTP) Scholarship and a Florence Violet McKenzie scholarship.</t>
  </si>
  <si>
    <t>10.1177/20539517241290220</t>
  </si>
  <si>
    <t>I7P5X</t>
  </si>
  <si>
    <t>WOS:001332143200001</t>
  </si>
  <si>
    <t>Alzoubi, YI; Mishra, A; Topcu, AE; Cibikdiken, AO</t>
  </si>
  <si>
    <t>Alzoubi, Y. I.; Mishra, A.; Topcu, A. E.; Cibikdiken, A. O.</t>
  </si>
  <si>
    <t>Generative Artificial Intelligence Technology for Systems Engineering Research: Contribution and Challenges</t>
  </si>
  <si>
    <t>INTERNATIONAL JOURNAL OF INDUSTRIAL ENGINEERING AND MANAGEMENT</t>
  </si>
  <si>
    <t>Generative Artificial Intelligence; ChatGPT; Research; Systems engineering</t>
  </si>
  <si>
    <t>The advancement of artificial intelligence technology in recent years has had a significant impact on various industries, including the field of systems engineering. Generative Artificial Intelligence (AI), like OpenAI's ChatGPT, is one such tool that has garnered attention. While this technology offers researchers in systems engineering intriguing possibilities, it also introduces certain risks to the traditional research framework. The aim of this paper is to investigate the advantages and drawbacks associated with embracing generative AI. We conducted a comprehensive literature review utilizing resources like Google Scholar, Web of Science, and the Scopus database, along with professional websites and white papers. The analysis highlights the potential benefits of generative AI in systems engineering research, including data processing, analysis, hypothesis formulation, prediction and forecasting, and collaboration enhancement. However, it also underscores various risks, such as potential data bias, the generation of human-like text, potential loss of analytical capabilities, and difficulties in analyzing output from these AI tools. As emphasized in this paper, numerous concerns still need to be addressed regarding the use of generative AI tools due to their relatively new nature and evolving capabilities.</t>
  </si>
  <si>
    <t>[Alzoubi, Y. I.] Amer Univ Middle East, Coll Business Adm, Egaila, Kuwait; [Mishra, A.] Norwegian Univ Sci &amp; Technol, Fac Engn, Trondheim, Norway; [Topcu, A. E.] Amer Univ Middle East, Coll Engn &amp; Technol, Egaila, Kuwait; [Cibikdiken, A. O.] KTO Karatay Univ, Konya, Turkiye</t>
  </si>
  <si>
    <t>American University of the Middle East; Norwegian University of Science &amp; Technology (NTNU); American University of the Middle East; KTO Karatay University</t>
  </si>
  <si>
    <t>Mishra, A (corresponding author), Norwegian Univ Sci &amp; Technol, Fac Engn, Trondheim, Norway.</t>
  </si>
  <si>
    <t>alok.mishra@ntnu.no</t>
  </si>
  <si>
    <t>Alzoubi, Yehia/ACQ-8013-2022; Mishra, Alok/AAE-2673-2019; Mishra, Alok/D-7937-2012</t>
  </si>
  <si>
    <t>Mishra, Alok/0000-0003-1275-2050</t>
  </si>
  <si>
    <t>Univ Novi Sad, Fac Technical Sciences</t>
  </si>
  <si>
    <t>Novi Sad</t>
  </si>
  <si>
    <t>Trg Dositeja Obradovica 6, Novi Sad, SERBIA</t>
  </si>
  <si>
    <t>2217-2661</t>
  </si>
  <si>
    <t>2683-345X</t>
  </si>
  <si>
    <t>INT J IND ENG MANAGE</t>
  </si>
  <si>
    <t>Int. J. Ind. Eng. Manag.</t>
  </si>
  <si>
    <t>10.24867/IJIEM-2024-2-355</t>
  </si>
  <si>
    <t>Engineering, Industrial</t>
  </si>
  <si>
    <t>UJ4T3</t>
  </si>
  <si>
    <t>WOS:001247684000006</t>
  </si>
  <si>
    <t>Ahmad, S; Khan, Z; Khan, M; Aijaz, M; Thakur, S; Kamboj, A</t>
  </si>
  <si>
    <t>Ahmad, Shmmon; Khan, Zafar; Khan, Monish; Aijaz, Moh; Thakur, Shivani; Kamboj, Anjoo</t>
  </si>
  <si>
    <t>The Role of Artificial Intelligence in Diagnosing Malignant Tumors</t>
  </si>
  <si>
    <t>EURASIAN JOURNAL OF MEDICINE AND ONCOLOGY</t>
  </si>
  <si>
    <t>Artificial intelligence; early tumor diagnosis; machine learning; clinical implications; challenges in imple- mentation; malignant tumors</t>
  </si>
  <si>
    <t>NEURAL-NETWORK; LUNG-CANCER; SURVIVAL RATE; CLASSIFICATION; FEATURES; PREDICTION; PATTERNS; SYSTEM; MODEL</t>
  </si>
  <si>
    <t>This paper explores the transformative impact of artificial intelligence (AI) in early tumor diagnosis, emphasizing its role in analyzing health records, medical images, biopsies, and blood tests for improved risk stratification. While screening programs have enhanced survival, challenges remain in patient selection and diagnostic workforces. The review covers diverse AI approaches, including logistic regression, deep learning, and neural networks, applied to various data types in oncology. It discusses the clinical implications, current models in practice, and potential limitations such as ethical concerns and resource demands. We provide an overview of the main artificial intelligence approaches, encompassing historical models like logistic regression, alongside deep learning and neural networks, emphasizing their applications in early diagnosis. We describe the role of AI in tumor detection, prognosis, and treatment administration, and we introduce the application of state-of-the-art large language models in oncology clinics. Our exploration extends to AI applications for omics data types, offering perspectives on their combination for decision-support tools. Concurrently, we evaluate existing constraints and challenges in applying artificial intelligence to precision oncology. The overall aim is to showcase AI's promise in revolutionizing tumor diagnosis while acknowledging and addressing associated challenges, thereby advancing patient care.</t>
  </si>
  <si>
    <t>[Ahmad, Shmmon] Glocal Univ, Glocal Univ Pharm Coll, Saharanpur, India; [Khan, Zafar] AIMIL Pharmaceut, Dept Res &amp; Dev, New Delhi, India; [Khan, Monish] Glocal Univ Mirzapur Pole, Sch Pharmaceut Sci, Saharanpur, India; [Aijaz, Moh] Graph Era Hill Univ, Sch Pharm, Dehra Dun, Uttarakhand, India; [Thakur, Shivani] Maharaja Agrasen Univ, Solan 174103, Himachal Prades, India; [Kamboj, Anjoo] Chandigarh Coll Pharm, Mohali, Punjab, India</t>
  </si>
  <si>
    <t>Ahmad, S (corresponding author), Glocal Univ, Glocal Univ Pharm Coll, Saharanpur, India.</t>
  </si>
  <si>
    <t>shmmon@theglocaluniversity.in</t>
  </si>
  <si>
    <t>Aijaz, Moh/HJP-6913-2023; Kamboj, Anjoo/U-8693-2018; Ahmad, Dr. Shmmon/AAL-1964-2021</t>
  </si>
  <si>
    <t>Ahmad, Dr. Shmmon/0000-0003-2120-2413; Aijaz, Moh/0000-0002-0526-1854</t>
  </si>
  <si>
    <t>KARE PUBL</t>
  </si>
  <si>
    <t>Goztepe Mah. Fahrettin Kerim Gokay Caddesi. No: 200/A D:2 Cemenzar - Kadkoy, ISTANBUL, Turkiye</t>
  </si>
  <si>
    <t>2587-196X</t>
  </si>
  <si>
    <t>EURASIAN J MED ONCOL</t>
  </si>
  <si>
    <t>Eurasian J. Med. Oncol.</t>
  </si>
  <si>
    <t>10.14744/ejmo.2024.24486</t>
  </si>
  <si>
    <t>Oncology; Medicine, General &amp; Internal</t>
  </si>
  <si>
    <t>Oncology; General &amp; Internal Medicine</t>
  </si>
  <si>
    <t>M1Z3L</t>
  </si>
  <si>
    <t>WOS:001355586500005</t>
  </si>
  <si>
    <t>Casteleiro-Roca, JL; Gómez-González, JF; Calvo-Rolle, JL; Jove, E; Quintián, H; Martín, JFA; Perez, SG; Diaz, BG; Calero-Garcia, F; Méndez-Perez, JA</t>
  </si>
  <si>
    <t>Juez, FJD; Villar, JR; DeLaCal, EA; Herrero, A; Quintian, H; Saez, JA; Corchado, E</t>
  </si>
  <si>
    <t>Casteleiro-Roca, Jose-Luis; Francisco Gomez-Gonzalez, Jose; Luis Calvo-Rolle, Jose; Jove, Esteban; Quintian, Hector; Acosta Martin, Juan Francisco; Gonzalez Perez, Sara; Gonzalez Diaz, Benjamin; Calero-Garcia, Francisco; Albino Mendez-Perez, Juan</t>
  </si>
  <si>
    <t>Prediction of the Energy Demand of a Hotel Using an Artificial Intelligence-Based Model</t>
  </si>
  <si>
    <t>HYBRID ARTIFICIAL INTELLIGENT SYSTEMS (HAIS 2018)</t>
  </si>
  <si>
    <t>13th International Conference on Hybrid Artificial Intelligent Systems (HAIS)</t>
  </si>
  <si>
    <t>JUN 20-22, 2018</t>
  </si>
  <si>
    <t>Oviedo, SPAIN</t>
  </si>
  <si>
    <t>Startup OLE,Govt Principado Asturias,Govt Local Council Oviedo,Univ Oviedo,Univ Oviedo, Comp Sci Dept,Univ Salamanca</t>
  </si>
  <si>
    <t>Artificial intelligence; Artificial neural network; Hotel; Tourism</t>
  </si>
  <si>
    <t>NEURAL-NETWORK</t>
  </si>
  <si>
    <t>The growth of the hotel industry in the world, is a reality that increasingly needs a greater use of energy resources, and their optimal management. Of all the available energy resources, renewable energies can give greater economic efficiency and lower environmental impact. To manage these resources it is important the availability of energy prediction models. This allows managing the demand for power and the available energy resources, to obtain maximum efficiency and stability, with the consequent economic savings. This paper focuses in the use of Artificial Intelligence methods for energy prediction in luxury hotels. As a case of study, the energy performance data used were taken from the hotel complex The Ritz-Carlton, Abama, located in the South of the island of Tenerife, in the Canary Islands, Spain. This is a high complexity infrastructure with many services that require a lot of energy, such as restaurants, kitchens, swimming pools, vehicle fleet, etc., which make the hotel a good study model for other resorts. The model developed for the artificial intelligence system is based on a hybrid topology with artificial neural networks. In this paper, the daily power demand prediction using information of last 24 h is presented. This prediction allows the development of appropriate actions to optimize energy management.</t>
  </si>
  <si>
    <t>[Casteleiro-Roca, Jose-Luis; Luis Calvo-Rolle, Jose; Jove, Esteban; Quintian, Hector; Calero-Garcia, Francisco] Univ A Coruna, Dept Ind Engn, La Coruna, Spain; [Casteleiro-Roca, Jose-Luis; Jove, Esteban; Calero-Garcia, Francisco; Albino Mendez-Perez, Juan] Univ La Laguna, Dept Comp Sci &amp; Syst Engn, San Cristobal la Laguna, Spain; [Francisco Gomez-Gonzalez, Jose; Acosta Martin, Juan Francisco; Gonzalez Perez, Sara; Gonzalez Diaz, Benjamin; Calero-Garcia, Francisco] Univ La Laguna Engn, Dept Ind Engn, San Cristobal la Laguna, Spain; [Calero-Garcia, Francisco] Univ La Laguna, Dept Econ Contabilidad &amp; Finanzas, San Cristobal la Laguna, Spain</t>
  </si>
  <si>
    <t>Universidade da Coruna; Universidad de la Laguna; Universidad de la Laguna</t>
  </si>
  <si>
    <t>Jove, E (corresponding author), Univ A Coruna, Dept Ind Engn, La Coruna, Spain.;Jove, E (corresponding author), Univ La Laguna, Dept Comp Sci &amp; Syst Engn, San Cristobal la Laguna, Spain.</t>
  </si>
  <si>
    <t>esteban.jove@udc.es; jamendez@ull.edu.es</t>
  </si>
  <si>
    <t>Perez, Juan/I-1906-2015; Pérez, Sara/ABG-4062-2020; Gonzalez-Diaz, Benjamin/M-6400-2014; Jove, Esteban/E-1953-2017; Gomez -Gonzalez, Jose-Francisco/H-8995-2015; Quintian, Hector/G-4609-2015; Calvo-Rolle, Jose Luis/F-3921-2012; Casteleiro-Roca, Jose-Luis/K-9446-2014</t>
  </si>
  <si>
    <t>Gonzalez Perez, Sara/0000-0001-7830-4248; Gonzalez-Diaz, Benjamin/0000-0003-1975-2520; Jove, Esteban/0000-0002-0625-359X; Gomez -Gonzalez, Jose-Francisco/0000-0001-7737-2249; Quintian, Hector/0000-0002-0268-7999; Calvo-Rolle, Jose Luis/0000-0002-2333-8405; Casteleiro-Roca, Jose-Luis/0000-0001-9740-6477</t>
  </si>
  <si>
    <t>CajaCanarias Foundation [PR705752, 2016TUR17]; Ritz-Carlton Abama Hotel in Tenerife, Spain</t>
  </si>
  <si>
    <t>CajaCanarias Foundation; Ritz-Carlton Abama Hotel in Tenerife, Spain</t>
  </si>
  <si>
    <t>This study was supported by CajaCanarias Foundation with the project PR705752 (GreenTourist, 2016TUR17) and The Ritz-Carlton Abama Hotel in Tenerife, Spain.</t>
  </si>
  <si>
    <t>978-3-319-92639-1; 978-3-319-92638-4</t>
  </si>
  <si>
    <t>10.1007/978-3-319-92639-1_49</t>
  </si>
  <si>
    <t>BK8SD</t>
  </si>
  <si>
    <t>WOS:000443487900049</t>
  </si>
  <si>
    <t>Sánchez-Holgado, P; Arcila-Calderón, C</t>
  </si>
  <si>
    <t>Sanchez-Holgado, Patricia; Arcila-Calderon, Carlos</t>
  </si>
  <si>
    <t>Adoption and use factors of artificial intelligence and big data by citizens</t>
  </si>
  <si>
    <t>Artificial intelligence; intention to use; UTAUT; technology acceptance; PLS-SEM</t>
  </si>
  <si>
    <t>UNIFIED THEORY; TECHNOLOGY UTAUT; INFORMATION-TECHNOLOGY; ACCEPTANCE; MODEL; EDUCATION</t>
  </si>
  <si>
    <t>The impact of artificial intelligence on people's lives is demonstrated today. Previous literature has shown that the use of a specific technology is directly linked to the individuals' intention to use it. The aim of this paper is to study the factors that determine the adoption and use of artificial intelligence and big data in Spain, using a research model based on the Unified Theory of Acceptance and Use of Technology (UTAUT), proposed by Venkatesh et al . (2003). This work addresses the specific gap in the validation of the original theoretical model of UTAUT in two dimensions, with respect to the adoption of artificial intelligence by citizens and with respect to the factors that influence this adoption, evaluating the previous ones and proposing some new ones considering the current context. The methodology used is based on a national survey, and it analyzes the research model using the statistical technique of Partial Least Squares Structural Equation Modelling (PLS-SEM), which details the mediating and moderating relationships between constructs. The results show that Intention to Use has a direct positive influence on the Use of artificial Intelligence and big data, confirming previous literature. Performance Expectancy is the strongest predictor of Intention to Use, and indirectly of the adoption of artificial intelligence and big data applications. Effort Expectancy, in its application to the adoption of AI and big data by citizens, is an indirect determinant mediated by the Intention to Use, but its total effect (direct + indirect) is not significant.</t>
  </si>
  <si>
    <t>[Sanchez-Holgado, Patricia; Arcila-Calderon, Carlos] Univ Salamanca, Salamanca, Spain</t>
  </si>
  <si>
    <t>University of Salamanca</t>
  </si>
  <si>
    <t>Sánchez-Holgado, P (corresponding author), Univ Salamanca, Salamanca, Spain.</t>
  </si>
  <si>
    <t>patriciasanc@usal.es; carcila@usal.es</t>
  </si>
  <si>
    <t>Sanchez-Holgado, Patricia/R-1866-2016; Arcila Calderon, Carlos/D-3178-2012</t>
  </si>
  <si>
    <t>Sanchez-Holgado, Patricia/0000-0002-6253-7087; Arcila Calderon, Carlos/0000-0002-2636-2849</t>
  </si>
  <si>
    <t>10.15581/003.37.2.227-246</t>
  </si>
  <si>
    <t>WOS:001223517200009</t>
  </si>
  <si>
    <t>Al-Khalifa, KS; Ahmed, WM; Azhari, AA; Qaw, M; Alsheikh, R; Alqudaihi, F; Alfaraj, A</t>
  </si>
  <si>
    <t>Al-Khalifa, Khalifa S.; Ahmed, Walaa Magdy; Azhari, Amr Ahmed; Qaw, Masoumah; Alsheikh, Rasha; Alqudaihi, Fatema; Alfaraj, Amal</t>
  </si>
  <si>
    <t>The Use of Artificial Intelligence in Caries Detection: A Review</t>
  </si>
  <si>
    <t>BIOENGINEERING-BASEL</t>
  </si>
  <si>
    <t>dental caries; artificial intelligence; detection; diagnosis; treatment planning</t>
  </si>
  <si>
    <t>Advancements in artificial intelligence (AI) have significantly impacted the field of dentistry, particularly in diagnostic imaging for caries detection. This review critically examines the current state of AI applications in caries detection, focusing on the performance and accuracy of various AI techniques. We evaluated 40 studies from the past 23 years, carefully selected for their relevance and quality. Our analysis highlights the potential of AI, especially convolutional neural networks (CNNs), to improve diagnostic accuracy and efficiency in detecting dental caries. The findings underscore the transformative potential of AI in clinical dental practice.</t>
  </si>
  <si>
    <t>[Al-Khalifa, Khalifa S.] Imam Abdulrahman Bin Faisal Univ, Coll Dent, Dept Prevent Dent Sci, Dammam 31441, Saudi Arabia; [Ahmed, Walaa Magdy; Azhari, Amr Ahmed] King Abdulaziz Univ, Fac Dent, Dept Restorat Dent, Jeddah 21589, Saudi Arabia; [Qaw, Masoumah; Alsheikh, Rasha] Imam Abdulrahman Bin Faisal Univ, Coll Dent, Dept Restorat Dent Sci, Dammam 31441, Saudi Arabia; [Alqudaihi, Fatema] Eastern Hlth Cluster, Dept Restorat Dent, Khobar Dent Complex, Dammam 32253, Saudi Arabia; [Alfaraj, Amal] King Faisal Univ, Coll Dent, Dept Prosthodont &amp; Dent Implantol, Al Hasa 31982, Saudi Arabia</t>
  </si>
  <si>
    <t>Imam Abdulrahman Bin Faisal University; King Abdulaziz University; Imam Abdulrahman Bin Faisal University; King Faisal University</t>
  </si>
  <si>
    <t>Al-Khalifa, KS (corresponding author), Imam Abdulrahman Bin Faisal Univ, Coll Dent, Dept Prevent Dent Sci, Dammam 31441, Saudi Arabia.</t>
  </si>
  <si>
    <t>kalkhalifa@iau.edu.sa; wmahmed@kau.edu.sa; aaaazhari@kau.edu.sa; mssqaw@iau.edu.sa; ralsheikh@iau.edu.sa; fali-alqudaihi@moh.gov.sa; asalfaraj@kfu.edu.sa</t>
  </si>
  <si>
    <t>Al-Khalifa, khalifa/GQO-9218-2022; Azhari, Amr/KBA-5664-2024; Alfaraj, Amal/LQJ-9852-2024; Ahmed, Walaa/JKJ-3292-2023</t>
  </si>
  <si>
    <t>Alfaraj, Amal/0000-0002-9892-2358; Al-Khalifa, Khalifa/0000-0001-8160-9288; Azhari, Amr Ahmed/0000-0002-8749-4714</t>
  </si>
  <si>
    <t>This research received no external funding.</t>
  </si>
  <si>
    <t>2306-5354</t>
  </si>
  <si>
    <t>Bioengineering-Basel</t>
  </si>
  <si>
    <t>10.3390/bioengineering11090936</t>
  </si>
  <si>
    <t>Biotechnology &amp; Applied Microbiology; Engineering, Biomedical</t>
  </si>
  <si>
    <t>Biotechnology &amp; Applied Microbiology; Engineering</t>
  </si>
  <si>
    <t>H5G8T</t>
  </si>
  <si>
    <t>WOS:001323733600001</t>
  </si>
  <si>
    <t>Anithaashri, TP; Ravichandran, G; Kavuru, S; Haribabu, S</t>
  </si>
  <si>
    <t>Anithaashri, T. P.; Ravichandran, G.; Kavuru, Saiteja; Haribabu, Sandesh</t>
  </si>
  <si>
    <t>SECURE DATA ACCESS THROUGH ELECTRONIC DEVICES USING ARTIFICIAL INTELLIGENCE</t>
  </si>
  <si>
    <t>PROCEEDINGS OF THE 3RD INTERNATIONAL CONFERENCE ON COMMUNICATION AND ELECTRONICS SYSTEMS (ICCES 2018)</t>
  </si>
  <si>
    <t>3rd IEEE International Conference on Communication and Electronics Systems (ICCES)</t>
  </si>
  <si>
    <t>OCT 15-16, 2018</t>
  </si>
  <si>
    <t>IEEE,PPG Inst Technol</t>
  </si>
  <si>
    <t>Artificial Intelligence; digital revolution; electronic devices</t>
  </si>
  <si>
    <t>The application of Artificial Intelligence is the major impact on the society in terms of industrial and digital revolutions. While accessing the electronic devices, precaution to secure the accessibility plays a vital role in several applications. The applications such as data mining, data analytics, bitcoin and blockchain technology need to be protected from intrusions while accessing the data. By using the Internet and exploiting the unlimited data access for their applications, more chances of intrusions and vulnerabilities may occur. To overcome such vulnerabilities and additional benefits that will open through the widespread usage of AI inventions. This paper presents the significance of AI in accessing the data with high protection. Also, it helps the user to protect the data in an interactive manner, which is a major advantage of this paper. Thus it provides the solution for the people those who are willing to take entrepreneurial risks in order to maintain the innovative products/services into worldwide for commercial usage.</t>
  </si>
  <si>
    <t>[Anithaashri, T. P.] Chennai Inst Technol, Dept Comp Sci &amp; Engn, Chennai, Tamil Nadu, India; [Kavuru, Saiteja; Haribabu, Sandesh] Chennai Inst Technol, Chennai, Tamil Nadu, India</t>
  </si>
  <si>
    <t>Chennai Institute of Technology; Chennai Institute of Technology</t>
  </si>
  <si>
    <t>Anithaashri, TP (corresponding author), Chennai Inst Technol, Dept Comp Sci &amp; Engn, Chennai, Tamil Nadu, India.</t>
  </si>
  <si>
    <t>shri3krra@gmail.com; vpigcet@gmal.com</t>
  </si>
  <si>
    <t>TP, Anithaashri/AAM-4383-2021</t>
  </si>
  <si>
    <t>TP, Anithaashri/0000-0003-4855-6393</t>
  </si>
  <si>
    <t>978-1-5386-4765-3</t>
  </si>
  <si>
    <t>BN2CW</t>
  </si>
  <si>
    <t>WOS:000475971500120</t>
  </si>
  <si>
    <t>Isgüzar, S; Fendoglu, E; Simsek, AI</t>
  </si>
  <si>
    <t>Isguzar, Seda; Fendoglu, Eda; Simsek, Ahmed Ihsan</t>
  </si>
  <si>
    <t>INNOVATIVE APPLICATIONS IN BUSINESSES: AN EVALUATION ON GENERATIVE ARTIFICIAL INTELLIGENCE</t>
  </si>
  <si>
    <t>ChatGPT; artificial intelligence (AI); generative artificial intelligence (GenAI); OpenAI; business; business management; technology adoption; bibliometric analysis</t>
  </si>
  <si>
    <t>The utilisation of Chat Generative Pre -Trained Transformer (ChatGPT) and generative artificial intelligence (GenAI) technologies has started to demonstrate its impact across several domains. The swift shift and widespread implementation of efficient artificial intelligence (AI) present distinct prospects such as optimisation, advancement, enhanced efficiency, boosted sales and marketing, expansion, reduced costs, and heightened profitability. GenAI has the potential to create a competition crisis between technologically advanced enterprises and less developed ones. Additionally, it may give rise to legal, moral, and ethical issues such as copyright infringement and the production of fake and false information. Hence, it is crucial for organisations to ensure that the productivity of AI is maximized in order to maximise its benefits and minimise any potential harm. The aim of this study is to provide suggestions regarding the use and potential of GenAI technologies in the corporate sector and to emphasise the potential research areas of future GenAI. This study contributes to research and practice in business and management and also identifies future research avenues. This study examines the benefits and disadvantages of using GenAI tools in businesses and individual departments, and it highlights the potential risks and dangers. A bibliometric analysis of 198 studies in the discipline of Business &amp; Management from the Scopus database was conducted using the R program's bibliometrix package. The study focuses on descriptive data, annual scientific production, most productive journals, most productive authors and authors dominance factor, most cited publications, and most relevant keywords. The findings show that GenAI is likely to continue with a strong and rapidly rising trend in 2024 and beyond.</t>
  </si>
  <si>
    <t>[Isguzar, Seda; Fendoglu, Eda] Malatya Turgut Ozal Univ, Malatya, Turkiye; [Simsek, Ahmed Ihsan] Firat Univ, Elazig, Turkiye</t>
  </si>
  <si>
    <t>Malatya Turgut Ozal University; Firat University</t>
  </si>
  <si>
    <t>Fendoglu, E (corresponding author), Malatya Turgut Ozal Univ, Malatya, Turkiye.</t>
  </si>
  <si>
    <t>eda.fendoglu@ozal.edu.tr</t>
  </si>
  <si>
    <t>Simsek, Ahmed/W-3881-2018; FENDOĞLU, EDA/LWK-7307-2024; ISGUZAR, seda/KLY-3036-2024</t>
  </si>
  <si>
    <t>10.24818/EA/2024/66/511</t>
  </si>
  <si>
    <t>WOS:001248217500007</t>
  </si>
  <si>
    <t>Vedapradha, R; Hariharan, R; Sudha, E; Divyashree,</t>
  </si>
  <si>
    <t>Vedapradha, R.; Hariharan, R.; Sudha, E.; Divyashree, V</t>
  </si>
  <si>
    <t>Artificial intelligence - talent acquisition in HEIs recruitments</t>
  </si>
  <si>
    <t>INTERNATIONAL JOURNAL OF INFORMATION AND LEARNING TECHNOLOGY</t>
  </si>
  <si>
    <t>Artificial intelligence; Talent acquisition; Recruitment; Higher educational institution and platforms</t>
  </si>
  <si>
    <t>TECHNOLOGY; ACCEPTANCE; ADOPTION</t>
  </si>
  <si>
    <t>PurposeThe current research study aims to examine the application feasibility and impact of artificial intelligence (AI) among higher educational institutions (HEIs) in talent acquisitions (TA).Design/methodology/approachA systematic sampling method was adopted to collect the responses from the 385 staff working across the various levels of management in HEIs in metropolitan cities in India. JAMOVI &amp; SmartPLS 4 were applied to validate the hypothesis by performing the simple percentage analysis and structural equation modelling. The demographic and construct variables considered were adoption, actual usage, perceived usefulness, perceived ease of use and talent management.FindingsThe key indicators of perceived usefulness are productivity, perceived ease of use, adaptability, candidate experience with the adoption of AI, frequency in decision-making in its actual usage and career path of development in the HEIs. These are the most influential items impacting the application of AI in TA.Originality/valueAI has the potential to revolutionize TA in HEIs in the form of enhanced efficiency, improved candidate experience, more objective hiring decisions, talent analytics and risk automation. However, they facilitate resume screening, candidate sourcing, applicant tracking, interviewing and predictive analytics for attrition.</t>
  </si>
  <si>
    <t>[Vedapradha, R.] Mt Carmel Coll, Sch Commerce, Autonomous, Bangalore, India; [Hariharan, R.; Divyashree, V] CHRIST Univ, Sch Business &amp; Management, Yeshwanthpur Campus, Bangalore, India; [Sudha, E.] CHRIST Univ, Dept Commerce, Yeshwanthpur Campus, Bangalore, India</t>
  </si>
  <si>
    <t>Christ University; Christ University</t>
  </si>
  <si>
    <t>Vedapradha, R (corresponding author), Mt Carmel Coll, Sch Commerce, Autonomous, Bangalore, India.</t>
  </si>
  <si>
    <t>vedahariharan@gmail.com</t>
  </si>
  <si>
    <t>R, Vedapradha/ABE-9156-2022</t>
  </si>
  <si>
    <t>R, Vedapradha/0000-0001-5016-3156</t>
  </si>
  <si>
    <t>2056-4880</t>
  </si>
  <si>
    <t>INT J INF LEARN TECH</t>
  </si>
  <si>
    <t>Int. J. Inf. Learn. Technol.</t>
  </si>
  <si>
    <t>JUN 11</t>
  </si>
  <si>
    <t>10.1108/IJILT-09-2023-0176</t>
  </si>
  <si>
    <t>TS0D7</t>
  </si>
  <si>
    <t>WOS:001223096300001</t>
  </si>
  <si>
    <t>Calderone, A; Latella, D; Bonanno, M; Quartarone, A; Mojdehdehbaher, S; Celesti, A; Calabrò, RS</t>
  </si>
  <si>
    <t>Calderone, Andrea; Latella, Desiree; Bonanno, Mirjam; Quartarone, Angelo; Mojdehdehbaher, Sepehr; Celesti, Antonio; Calabro, Rocco Salvatore</t>
  </si>
  <si>
    <t>Towards Transforming Neurorehabilitation: The Impact of Artificial Intelligence on Diagnosis and Treatment of Neurological Disorders</t>
  </si>
  <si>
    <t>artificial intelligence; prognosis; diagnosis; neurorehabilitation</t>
  </si>
  <si>
    <t>MACHINE LEARNING ALGORITHMS; ACUTE STROKE; PARKINSONS-DISEASE; GLOBAL BURDEN; REHABILITATION; CLASSIFICATION; SYMPTOMS; SENSORS; INJURY; SYSTEM</t>
  </si>
  <si>
    <t>Background and Objectives: Neurological disorders like stroke, spinal cord injury (SCI), and Parkinson's disease (PD) significantly affect global health, requiring accurate diagnosis and long-term neurorehabilitation. Artificial intelligence (AI), such as machine learning (ML), may enhance early diagnosis, personalize treatment, and optimize rehabilitation through predictive analytics, robotic systems, and brain-computer interfaces, improving outcomes for patients. This systematic review examines how AI and ML systems influence diagnosis and treatment in neurorehabilitation among neurological disorders. Materials and Methods: Studies were identified from an online search of PubMed, Web of Science, and Scopus databases with a search time range from 2014 to 2024. This review has been registered on Open OSF (n) EH9PT. Results: Recent advancements in AI and ML are revolutionizing motor rehabilitation and diagnosis for conditions like stroke, SCI, and PD, offering new opportunities for personalized care and improved outcomes. These technologies enhance clinical assessments, therapy personalization, and remote monitoring, providing more precise interventions and better long-term management. Conclusions: AI is revolutionizing neurorehabilitation, offering personalized, data-driven treatments that enhance recovery in neurological disorders. Future efforts should focus on large-scale validation, ethical considerations, and expanding access to advanced, home-based care.</t>
  </si>
  <si>
    <t>[Calderone, Andrea; Latella, Desiree; Bonanno, Mirjam; Quartarone, Angelo; Calabro, Rocco Salvatore] IRCCS Ctr Neurolesi Bonino Pulejo, SS 113 Via Palermo, Cda Casazza, I-98124 Messina, Italy; [Mojdehdehbaher, Sepehr; Celesti, Antonio] Univ Messina, Dept Math &amp; Comp Sci, Phys Sci &amp; Earth Sci, I-98124 Messina, Italy</t>
  </si>
  <si>
    <t>IRCCS Bonino Pulejo; University of Messina</t>
  </si>
  <si>
    <t>Calabrò, RS (corresponding author), IRCCS Ctr Neurolesi Bonino Pulejo, SS 113 Via Palermo, Cda Casazza, I-98124 Messina, Italy.</t>
  </si>
  <si>
    <t>andrea.calderone95@gmail.com; desiree.latella@irccsme.it; mirjam.bonanno@irccsme.it; angelo.quartarone@irccsme.it; sepehrbaher@gmail.com; antonio.celesti@unime.it; roccos.calabro@irccsme.it</t>
  </si>
  <si>
    <t>Calabrò, Rocco/K-7520-2016; Bonanno, Mirjam/IUP-3451-2023; Latella, Desiree/LQJ-7357-2024; CELESTI, ANTONIO/C-6121-2016</t>
  </si>
  <si>
    <t>Latella, Desiree/0000-0002-1812-8454; Calderone, Andrea/0009-0006-5012-4425; CELESTI, ANTONIO/0000-0001-9003-6194; Bonanno, Mirjam/0000-0002-3284-9741; calabro, rocco salvatore/0000-0002-8566-3166</t>
  </si>
  <si>
    <t>Current Research Funds 2024, Ministry of Health, Italy; Ministry of Health, Italy</t>
  </si>
  <si>
    <t>Current Research Funds 2024, Ministry of Health, Italy; Ministry of Health, Italy(Ministry of Health, Italy)</t>
  </si>
  <si>
    <t>This study was supported by Current Research Funds 2024, Ministry of Health, Italy.</t>
  </si>
  <si>
    <t>10.3390/biomedicines12102415</t>
  </si>
  <si>
    <t>K1V6H</t>
  </si>
  <si>
    <t>WOS:001341830300001</t>
  </si>
  <si>
    <t>Stezhko, ZV; Khmil, T</t>
  </si>
  <si>
    <t>Stezhko, Z., V; Khmil, T., V</t>
  </si>
  <si>
    <t>Artificial Intelligence as a Socio-Cultural Phenomenon: the Educational Dimension</t>
  </si>
  <si>
    <t>ANTHROPOLOGICAL MEASUREMENTS OF PHILOSOPHICAL RESEARCH</t>
  </si>
  <si>
    <t>human; alienation; freedom; creativity; artificial intelligence; authentic intelligence; socio-cultural space; education; chatbots</t>
  </si>
  <si>
    <t>Purpose. The study aims to understand artificial intelligence as a socio-cultural phenomenon and its impact on education, where the spiritual sphere of humanity, moral norms, values, and human cognitive abilities are preserved, transferred as well as reproduced. A new discourse on the interaction of artificial and authentic human intelligence becomes inevitable, which has led to a situation of uncertainty. Changes in the socio-cultural environment under the influence of artificial intelligence increase potential threats to the educational space, which stimulates to find the ways to eliminate them. Theoretical basis. Various approaches of classical and postmodern philosophical heritage were taken as a theoretical basis for the research. The originality of the study is in the interpretation of artificial intelligence as a modern form of alienation of essential human characteristics in the socio-cultural context of infor-mation technology. The expansion of artificial intelligence raises awareness of the existential threat to the basic so-cio-cultural, moral and ethical principles of humanism. It is proved that various forms of alienation in the current existing socio-cultural space are typical of our reality, which changes the system of values, moral principles, and social organization of the community. Conclusions. In conclusion, it is proved that AI is a natural stage of scientific and technological progress, which reflects its secondary, derivative nature from human (authentic) intelligence. Hu-man intelligence will always have advantages over AI due to its ability to create, communicate socially and cultural-ly, and be emotional. The dilemma of the counterbalance between human and artificial intelligence is perceived mainly at the emotional level of people. The millennial understanding of the primacy of the creator over his creation can traditionally overcome this contradiction. The universality of human thinking is an undeniable advantage of human intelligence and a guarantee of its, i.e. our, priority.</t>
  </si>
  <si>
    <t>[Stezhko, Z., V] Cent Ukrainian Natl Tech Univ, Kropyvnytskyi, Ukraine; [Khmil, T., V] Dnipro Univ Technol, Dnipro, Ukraine</t>
  </si>
  <si>
    <t>Ministry of Education &amp; Science of Ukraine; Central Ukrainian National Technical University; Ministry of Education &amp; Science of Ukraine; Dnipro University of Technology</t>
  </si>
  <si>
    <t>Stezhko, ZV (corresponding author), Cent Ukrainian Natl Tech Univ, Kropyvnytskyi, Ukraine.</t>
  </si>
  <si>
    <t>zoiastez@ukr.net</t>
  </si>
  <si>
    <t>Стежко, Зоя/AAI-2780-2021</t>
  </si>
  <si>
    <t>Stezhko, Zoia/0000-0002-0172-4487</t>
  </si>
  <si>
    <t>ACAD V LAZARYAN DNIPROPETROVSK NATL RAILWAY TRANSPORT UNIV</t>
  </si>
  <si>
    <t>DNIPROPETROVSK</t>
  </si>
  <si>
    <t>VUL LAZARYANA 2, DNIPROPETROVSK, 00000, UKRAINE</t>
  </si>
  <si>
    <t>2227-7242</t>
  </si>
  <si>
    <t>2304-9685</t>
  </si>
  <si>
    <t>ANTHROPOL MEAS PHILO</t>
  </si>
  <si>
    <t>Anthropol. Meas. Philos. Res.</t>
  </si>
  <si>
    <t>10.15802/ampr.v0i24.295317</t>
  </si>
  <si>
    <t>EC5C0</t>
  </si>
  <si>
    <t>WOS:001136717700002</t>
  </si>
  <si>
    <t>Hu, L; Chen, SS</t>
  </si>
  <si>
    <t>Hu, Liang; Chen, Shishuo</t>
  </si>
  <si>
    <t>Artificial intelligence innovation and corporate environmental investment: A contingent view</t>
  </si>
  <si>
    <t>Artificial intelligence; Corporate environmental investment; Organizational information processing theory</t>
  </si>
  <si>
    <t>RESEARCH-AND-DEVELOPMENT; PERFORMANCE; STRATEGY; GROWTH</t>
  </si>
  <si>
    <t>Existing research has begun to focus on the negative impacts caused by artificial intelligence (AI), but few studies have examined the influence of AI on corporate environmental activities. This study, using 15,779 observations from 3,097 Chinese listed firms from 2008 to 2022, finds that corporate AI innovation has a significant negative impact on CEI. Additionally, we discover that firm size strengthens the negative relationship between AI innovation and CEI, while foreign direct investment (FDI) intensity weakens this negative relationship. This study extends the research on AI in the field of corporate environmentally friendly behavior.</t>
  </si>
  <si>
    <t>[Hu, Liang; Chen, Shishuo] Xiamen Univ, Sch Management, Xiamen, Peoples R China</t>
  </si>
  <si>
    <t>Xiamen University</t>
  </si>
  <si>
    <t>Chen, SS (corresponding author), Xiamen Univ, Sch Management, Xiamen, Peoples R China.</t>
  </si>
  <si>
    <t>33720210156135@stu.xmu.edu.cn; 17520210156118@stu.xmu.edu.cn</t>
  </si>
  <si>
    <t>10.1016/j.frl.2024.106262</t>
  </si>
  <si>
    <t>J7N7O</t>
  </si>
  <si>
    <t>WOS:001338899000001</t>
  </si>
  <si>
    <t>Cox, AM</t>
  </si>
  <si>
    <t>Cox, A. M.</t>
  </si>
  <si>
    <t>Exploring the impact of Artificial Intelligence and robots on higher education through literature-based design fictions</t>
  </si>
  <si>
    <t>Artificial Intelligence; AI; Robots; Social robots; Learning analytics; Big data; AIEd; Design fiction</t>
  </si>
  <si>
    <t>Artificial Intelligence (AI) and robotics are likely to have a significant long-term impact on higher education (HE). The scope of this impact is hard to grasp partly because the literature is siloed, as well as the changing meaning of the concepts themselves. But developments are surrounded by controversies in terms of what is technically possible, what is practical to implement and what is desirable, pedagogically or for the good of society. Design fictions that vividly imagine future scenarios of AI or robotics in use offer a means both to explain and query the technological possibilities. The paper describes the use of a wide-ranging narrative literature review to develop eight such design fictions that capture the range of potential use of AI and robots in learning, administration and research. They prompt wider discussion by instantiating such issues as how they might enable teaching of high order skills or change staff roles, as well as exploring the impact on human agency and the nature of datafication.</t>
  </si>
  <si>
    <t>[Cox, A. M.] Univ Sheffield, Informat Sch, Level 2,Regent Court,211 Portobello, Sheffield S1 4DP, S Yorkshire, England</t>
  </si>
  <si>
    <t>Cox, AM (corresponding author), Univ Sheffield, Informat Sch, Level 2,Regent Court,211 Portobello, Sheffield S1 4DP, S Yorkshire, England.</t>
  </si>
  <si>
    <t>Society of Research into Higher Education-Research Scoping [Award-SA1906]</t>
  </si>
  <si>
    <t>Society of Research into Higher Education-Research Scoping</t>
  </si>
  <si>
    <t>The project was funded by Society of Research into Higher Education-Research Scoping Award-SA1906.</t>
  </si>
  <si>
    <t>JAN 18</t>
  </si>
  <si>
    <t>10.1186/s41239-020-00237-8</t>
  </si>
  <si>
    <t>PT1RS</t>
  </si>
  <si>
    <t>WOS:000608397400001</t>
  </si>
  <si>
    <t>Zhou, SJ; Zhao, JP; Zhang, LL</t>
  </si>
  <si>
    <t>Zhou, Sijia; Zhao, Jingping; Zhang, Lulu</t>
  </si>
  <si>
    <t>Application of Artificial Intelligence on Psychological Interventions and Diagnosis: An Overview</t>
  </si>
  <si>
    <t>FRONTIERS IN PSYCHIATRY</t>
  </si>
  <si>
    <t>artificial intelligence; deep learning; machine; intervention; diagnosis</t>
  </si>
  <si>
    <t>DEEP NEURAL-NETWORKS; MENTAL-HEALTH; THERAPY; ONLINE</t>
  </si>
  <si>
    <t>BackgroundInnovative technologies, such as machine learning, big data, and artificial intelligence (AI) are approaches adopted for personalized medicine, and psychological interventions and diagnosis are facing huge paradigm shifts. In this literature review, we aim to highlight potential applications of AI on psychological interventions and diagnosis. MethodsThis literature review manifest studies that discuss how innovative technology as deep learning (DL) and AI is affecting psychological assessment and psychotherapy, we performed a search on PUBMED, and Web of Science using the terms psychological interventions, diagnosis on mental health disorders, artificial intelligence, and deep learning. Only studies considering patients' datasets are considered. ResultsNine studies met the inclusion criteria. Beneficial effects on clinical symptoms or prediction were shown in these studies, but future study is needed to determine the long-term effects. LimitationsThe major limitation for the current study is the small sample size, and lies in the lack of long-term follow-up-controlled studies for a certain symptom. ConclusionsAI such as DL applications showed promising results on clinical practice, which could lead to profound impact on personalized medicine for mental health conditions. Future studies can improve furthermore by increasing sample sizes and focusing on ethical approvals and adherence for online-therapy.</t>
  </si>
  <si>
    <t>[Zhou, Sijia; Zhang, Lulu] South China Univ Technol, Affiliated Hosp 2, Dept Psychiat, Guangzhou Peoples Hosp 1, Guangzhou, Peoples R China; [Zhao, Jingping] Cent South Univ, Mental Hlth Inst, Xiangya Hosp 2, Changsha, Peoples R China; [Zhao, Jingping] Chinese Natl Clin Res Ctr Mental Disorders, Changsha, Peoples R China; [Zhao, Jingping] Chinese Natl Technol Inst Mental Disorders, Dept Psychiat, Changsha, Peoples R China; [Zhao, Jingping] Hunan Key Lab Psychiat &amp; Mental Hlth, Changsha, Peoples R China</t>
  </si>
  <si>
    <t>South China University of Technology; Central South University</t>
  </si>
  <si>
    <t>Zhang, LL (corresponding author), South China Univ Technol, Affiliated Hosp 2, Dept Psychiat, Guangzhou Peoples Hosp 1, Guangzhou, Peoples R China.</t>
  </si>
  <si>
    <t>llzhang1304@126.com</t>
  </si>
  <si>
    <t>Science and Technology Program of Guangzhou [202002030262]; Natural Science Foundation of Guangdong Province [2017A030313809]</t>
  </si>
  <si>
    <t>Science and Technology Program of Guangzhou; Natural Science Foundation of Guangdong Province(National Natural Science Foundation of Guangdong Province)</t>
  </si>
  <si>
    <t>Funding This study was supported by grants from the Science and Technology Program of Guangzhou (Grant No. 202002030262) and the Natural Science Foundation of Guangdong Province (Grant No. 2017A030313809).</t>
  </si>
  <si>
    <t>1664-0640</t>
  </si>
  <si>
    <t>FRONT PSYCHIATRY</t>
  </si>
  <si>
    <t>Front. Psychiatry</t>
  </si>
  <si>
    <t>MAR 17</t>
  </si>
  <si>
    <t>10.3389/fpsyt.2022.811665</t>
  </si>
  <si>
    <t>0G0XC</t>
  </si>
  <si>
    <t>WOS:000777776800001</t>
  </si>
  <si>
    <t>Success Factors of Artificial Intelligence Implementation in Healthcare</t>
  </si>
  <si>
    <t>FRONTIERS IN DIGITAL HEALTH</t>
  </si>
  <si>
    <t>artificial intelligence; digital health; technology assessment; impact measurement; policy framework; success factor; public health</t>
  </si>
  <si>
    <t>Background: Artificial Intelligence (AI) in healthcare has demonstrated high efficiency in academic research, while only few, and predominantly small, real-world AI applications exist in the preventive, diagnostic and therapeutic contexts. Our identification and analysis of success factors for the implementation of AI aims to close the gap between recent years' significant academic AI advancements and the comparably low level of practical application in healthcare.Methods: A literature and real life cases analysis was conducted in Scopus and OpacPlus as well as the Google advanced search database. The according search queries have been defined based on success factor categories for AI implementation derived from a prior World Health Organization survey about barriers of adoption of Big Data within 125 countries. The eligible publications and real life cases were identified through a catalog of in- and exclusion criteria focused on concrete AI application cases. These were then analyzed to deduct and discuss success factors that facilitate or inhibit a broad-scale implementation of AI in healthcare.Results: The analysis revealed three categories of success factors, namely (1) policy setting, (2) technological implementation, and (3) medical and economic impact measurement. For each of them a set of recommendations has been deducted: First, a risk adjusted policy frame is required that distinguishes between precautionary and permissionless principles, and differentiates among accountability, liability, and culpability. Second, a privacy by design centered technology infrastructure shall be applied that enables practical and legally compliant data access. Third, the medical and economic impact need to be quantified, e.g., through the measurement of quality-adjusted life years while applying the CHEERS and PRISMA reporting criteria.Conclusions: Private and public institutions can already today leverage AI implementation based on the identified results and thus drive the translation from scientific development to real world application. Additional success factors could include trust-building measures, data categorization guidelines, and risk level assessments and as the success factors are interlinked, future research should elaborate on their optimal interaction to utilize the full potential of AI in real world application.</t>
  </si>
  <si>
    <t>[Wolff, Justus; Baumbach, Jan] Tech Univ Munich, Chair Expt Bioinformat, TUM Sch Life Sci, Munich, Germany; [Wolff, Justus; Keck, Andreas] Syte Strategy Inst Digital Hlth, Hamburg, Germany; [Pauling, Josch] Tech Univ Munich, Chair Expt Bioinformat, TUM Sch Life Sci, LipiTUM, Munich, Germany; [Baumbach, Jan] Univ Hamburg, Chair Computat Syst Biol, Hamburg, Germany</t>
  </si>
  <si>
    <t>Technical University of Munich; Technical University of Munich; University of Hamburg</t>
  </si>
  <si>
    <t>Wolff, J (corresponding author), Tech Univ Munich, Chair Expt Bioinformat, TUM Sch Life Sci, Munich, Germany.;Wolff, J (corresponding author), Syte Strategy Inst Digital Hlth, Hamburg, Germany.</t>
  </si>
  <si>
    <t>Villum Young Investigator Grant [13154]; H2020 project RepoTrial [777111, 826078]; H2020 project FeatureCloud [777111, 826078]; Bavarian State Ministry of Science and the Arts</t>
  </si>
  <si>
    <t>Villum Young Investigator Grant(Villum Fonden); H2020 project RepoTrial; H2020 project FeatureCloud; Bavarian State Ministry of Science and the Arts</t>
  </si>
  <si>
    <t>JB was grateful for financial support from Villum Young Investigator Grant No. 13154. In addition, some of the work from JB was funded by H2020 projects RepoTrial and FeatureCloud (Nos. 777111 and 826078). Contributions by JP are funded by the Bavarian State Ministry of Science and the Arts within the framework of the Bavarian Research Institute for Digital Transformation (bidt).</t>
  </si>
  <si>
    <t>2673-253X</t>
  </si>
  <si>
    <t>FRONT DIGIT HEALTH</t>
  </si>
  <si>
    <t>Front. Digit. Health</t>
  </si>
  <si>
    <t>JUN 16</t>
  </si>
  <si>
    <t>10.3389/fdgth.2021.594971</t>
  </si>
  <si>
    <t>N0YH1</t>
  </si>
  <si>
    <t>WOS:001034367600001</t>
  </si>
  <si>
    <t>Sindi, AS; Fiorillo, L; Mathur, A; Noorani, MK; Morsy, MS; Mattoo, K; Mehta, V</t>
  </si>
  <si>
    <t>Sindi, Abdulelah Sameer; Fiorillo, Luca; Mathur, Ankita; Noorani, Mohammad Kashif; Morsy, Mohamed S. M.; Mattoo, Khurshid; Mehta, Vini</t>
  </si>
  <si>
    <t>The Role and Impact of Artificial Intelligence on the Future of Dental Radiography - A Mini-Review</t>
  </si>
  <si>
    <t>ADVANCES IN ARTIFICIAL INTELLIGENCE AND MACHINE LEARNING</t>
  </si>
  <si>
    <t>Artificial intelligence; Dental radiography; Automating; Neural networks; Deep learning</t>
  </si>
  <si>
    <t>Artificial Intelligence (AI) has the potential to revolutionize dental radiography by improving diagnostic efficiency and accuracy. Dental radiography has recently benefited from the application of AI where it refers to the use of technology to enhance or speed up imaging data interpretation or to make duties easier with little to no dentist interaction. By providing a brief overview of AI's role in dental radiography, this review helps dental professionals understand how it can enhance their routine work and improve efficiency. The present paper reviews the current state of AI applications in dental radiography, identifying gaps in existing research, and exploring potential future development. AI has the potential to significantly improve dental radiography by automating and improving the interpretation process. However, there are many challenges, such as the unavailability of high-quality datasets and standardized reporting formats. Future research in AI should focus on enhancing dataset quality, creating standardized reporting formats, resolving legal and ethical issues, and offering instructions and training to dental professionals.</t>
  </si>
  <si>
    <t>[Sindi, Abdulelah Sameer] King Khalid Univ, Coll Dent, Dept Restorat Dent Sci, Abha 61421, Saudi Arabia; [Fiorillo, Luca] Univ Messina, Dept Biomed &amp; Dent Sci, Morphol &amp; Funct Images, I-98100 Messina, Italy; [Mathur, Ankita; Mehta, Vini] Dr DY Patil Dent Coll &amp; Hosp, Dept Dent Res Cell, Pune, Maharashtra, India; [Noorani, Mohammad Kashif] Prosthodont &amp; Crown &amp; Bridge &amp; Oral Implantol, Patna 800001, India; [Morsy, Mohamed S. M.; Mattoo, Khurshid] Jazan Univ, Coll Dent, Dept Prosthet Dent Sci, Jazan 45142, Saudi Arabia</t>
  </si>
  <si>
    <t>King Khalid University; University of Messina; Dr DY Patil Vidyapeeth Pune; Dr D Y Patil Dental College &amp; Hospital; Jazan University</t>
  </si>
  <si>
    <t>Mehta, V (corresponding author), Dr DY Patil Dent Coll &amp; Hosp, Dept Dent Res Cell, Pune, Maharashtra, India.</t>
  </si>
  <si>
    <t>Aali@kku.edu.sa; luca.fiorillo@unime.it; amathur@statsense.in; kashnoor86@gmail.com; dr.m.s99999@gmail.com; drkamattoo@rediffmail.com; vini.mehta@statsense.in</t>
  </si>
  <si>
    <t>mattoo, khurshid/I-2517-2014; Fiorillo, Luca/K-8571-2019; Mehta, Vini/GRY-0016-2022</t>
  </si>
  <si>
    <t>Shimur Publications</t>
  </si>
  <si>
    <t>New Moti Nagar</t>
  </si>
  <si>
    <t>Tc-1/7, TC-1, New Moti Nagar, Delhi, INDIA</t>
  </si>
  <si>
    <t>2582-9793</t>
  </si>
  <si>
    <t>ADV ARTIF INTELL MAC</t>
  </si>
  <si>
    <t>Adv. Artif. Intell. Mach. Learn.</t>
  </si>
  <si>
    <t>I1C2E</t>
  </si>
  <si>
    <t>WOS:001327698000004</t>
  </si>
  <si>
    <t>Longo, L</t>
  </si>
  <si>
    <t>Costa, AP; Reis, LP; Moreira, A</t>
  </si>
  <si>
    <t>Longo, Luca</t>
  </si>
  <si>
    <t>Empowering Qualitative Research Methods in Education with Artificial Intelligence</t>
  </si>
  <si>
    <t>COMPUTER SUPPORTED QUALITATIVE RESEARCH: NEW TRENDS ON QUALITATIVE RESEARCH (WCQR2019)</t>
  </si>
  <si>
    <t>4th World Conference on Qualitative Research (WCQR)</t>
  </si>
  <si>
    <t>OCT 16-18, 2019</t>
  </si>
  <si>
    <t>Lusofona Univ Porto, Porto, PORTUGAL</t>
  </si>
  <si>
    <t>Ludomedia,Aveiro Univ CIDTFF,Natl Ctr Res Methods,Asian Qualitat Res Assoc,Interdisciplinary Res Ctr Educ &amp; Dev,Ibero Amer Congress Qualitat Res,Microio,WebQDA,ATLAS ti,Optimal Workshop</t>
  </si>
  <si>
    <t>Lusofona Univ Porto</t>
  </si>
  <si>
    <t>Artificial intelligence; Qualitative research; Methods; Data analysis; Education; Teaching; Learning; Behaviourism; Constructivism; Cognitivism; Automated reasoning; Knowledge representation; Machine learning; Planning; Perception; Natural language processing</t>
  </si>
  <si>
    <t>RECOGNITION; FEATURES; SPEECH; TEXT; ONTOLOGIES; EMOTIONS; SYSTEMS; TRENDS</t>
  </si>
  <si>
    <t>Artificial Intelligence is one of the fastest growing disciplines, disrupting many sectors. Originally mainly for computer scientists and engineers, it has been expanding its horizons and empowering many other disciplines contributing to the development of many novel applications in many sectors. These include medicine and health care, business and finance, psychology and neuroscience, physics and biology to mention a few. However, one of the disciplines in which artificial intelligence has not been fully explored and exploited yet is education. In this discipline, many research methods are employed by scholars, lecturers and practitioners to investigate the impact of different instructional approaches on learning and to understand the ways skills and knowledge are acquired by learners. One of these is qualitative research, a scientific method grounded in observations that manipulates and analyses non-numerical data. It focuses on seeking answers to why and how a particular observed phenomenon occurs rather than on its occurrences. This study aims to explore and discuss the impact of artificial intelligence on qualitative research methods. In particular, it focuses on how artificial intelligence have empowered qualitative research methods so far, and how it can be used in education for enhancing teaching and learning.</t>
  </si>
  <si>
    <t>[Longo, Luca] Technol Univ Dublin, Sch Comp Sci, Dublin, Ireland</t>
  </si>
  <si>
    <t>Longo, L (corresponding author), Technol Univ Dublin, Sch Comp Sci, Dublin, Ireland.</t>
  </si>
  <si>
    <t>luca.longo@dit.ie</t>
  </si>
  <si>
    <t>Longo, dr. Luca/C-2099-2019</t>
  </si>
  <si>
    <t>Longo, dr. Luca/0000-0002-2718-5426</t>
  </si>
  <si>
    <t>978-3-030-31787-4; 978-3-030-31786-7</t>
  </si>
  <si>
    <t>10.1007/978-3-030-31787-4_1</t>
  </si>
  <si>
    <t>BR3OO</t>
  </si>
  <si>
    <t>WOS:000648625900001</t>
  </si>
  <si>
    <t>García-Martínez, I; Fernández-Batanero, JM; Fernández-Cerero, J; León, SP</t>
  </si>
  <si>
    <t>Garcia-Martinez, Inmaculada; Fernandez-Batanero, Jose Maria; Fernandez-Cerero, Jose; Leon, Samuel P.</t>
  </si>
  <si>
    <t>Analysing the Impact of Artificial Intelligence and Computational Sciences on Student Performance: Systematic Review and Meta-analysis</t>
  </si>
  <si>
    <t>JOURNAL OF NEW APPROACHES IN EDUCATIONAL RESEARCH</t>
  </si>
  <si>
    <t>ARTIFICIAL INTELLIGENCE; LEARNING ACHIEVEMENT; EDUCATION; TEACHING METHODS; EDUCATIONAL IMPROVEMENT</t>
  </si>
  <si>
    <t>VIRTUAL-REALITY; SIMULATION; SCHOOL; PHYSICS; TECHNOLOGY; EDUCATION; ROBOTICS</t>
  </si>
  <si>
    <t>Artificial intelligence (AI) and computational sciences have aroused a growing interest in education. Despite its relatively recent history, AI is increasingly being introduced into the classroom through different modalities, with the aim of improving student achievement. Thus, the purpose of the research is to analyse, quantitatively and qualitatively, the impact of AI components and computational sciences on student performance. For this purpose, a systematic review and meta-analysis have been carried out in WOS and Scopus databases. After applying the inclusion and exclusion criteria, the sample was set at 25 articles. The results support the positive impact that AI and computational sciences have on student performance, finding a rise in their attitude towards learning and their motivation, especially in the STEM (Science, Technology, Engineering, and Mathematics) areas. Despite the multiple benefits provided, the implementation of these technologies in instructional processes involves a great educational and ethical challenge for teachers in relation to their design and implementation, which requires further analysis from the educational research. These findings are consistent at all educational stages.</t>
  </si>
  <si>
    <t>[Garcia-Martinez, Inmaculada] Univ Granada, Dept Didact &amp; Sch Org, Granada, Spain; [Fernandez-Batanero, Jose Maria; Fernandez-Cerero, Jose] Univ Seville, Dept Didact &amp; Sch Org, Seville, Spain; [Leon, Samuel P.] Univ Jaen, Dept Pedag, Jaen, Spain</t>
  </si>
  <si>
    <t>University of Granada; University of Sevilla; Universidad de Jaen</t>
  </si>
  <si>
    <t>García-Martínez, I (corresponding author), Fac Ciencias Educ, Dept Didact &amp; Org Escolar, Campus Cartuja S-N, Granada 18071, Spain.</t>
  </si>
  <si>
    <t>igmartinez@ugr.es</t>
  </si>
  <si>
    <t>Fernández Cerero, José/IWE-0194-2023; Fernandez-Batanero, Jose M./G-7119-2014; Garcia-Martinez, Inmaculada/I-9915-2017</t>
  </si>
  <si>
    <t>Fernandez-Batanero, Jose M./0000-0003-4097-5382; Garcia-Martinez, Inmaculada/0000-0003-2620-5779; Parra Leon, Samuel/0000-0002-6980-2680; Fernandez Cerero, Jose/0000-0002-2745-6986</t>
  </si>
  <si>
    <t>Spanish State Research Agency, Spain [PID2019-108230RB-I00]</t>
  </si>
  <si>
    <t>Spanish State Research Agency, Spain</t>
  </si>
  <si>
    <t>Funded by: Spanish State Research Agency, Spain Funder Identifier: http://dx.doi.org/10.13039/501100011033 Award: PID2019-108230RB-I00</t>
  </si>
  <si>
    <t>2254-7339</t>
  </si>
  <si>
    <t>J NEW APPROACHES EDU</t>
  </si>
  <si>
    <t>J. New Approaches Educ. Res.</t>
  </si>
  <si>
    <t>10.7821/naer.2023.1.1240</t>
  </si>
  <si>
    <t>8D0HR</t>
  </si>
  <si>
    <t>WOS:000917980700010</t>
  </si>
  <si>
    <t>Daldrup-Link, H</t>
  </si>
  <si>
    <t>Daldrup-Link, Heike</t>
  </si>
  <si>
    <t>Artificial intelligence applications for pediatric oncology imaging</t>
  </si>
  <si>
    <t>Artificial intelligence; Cancer; Children; Imaging; Machine learning; Oncology</t>
  </si>
  <si>
    <t>CLASSIFICATION; SEGMENTATION; CANCER; IDENTIFICATION; PLASMA; PET/MR</t>
  </si>
  <si>
    <t>Machine learning algorithms can help to improve the accuracy and efficiency of cancer diagnosis, selection of personalized therapies and prediction of long-term outcomes. Artificial intelligence (AI) describes a subset of machine learning that can identify patterns in data and take actions to reach pre-set goals without specific programming. Machine learning tools can help to identify high-risk populations, prescribe personalized screening tests and enrich patient populations that are most likely to benefit from advanced imaging tests. AI algorithms can also help to plan personalized therapies and predict the impact of genomic variations on the sensitivity of normal and tumor tissue to chemotherapy or radiation therapy. The two main bottlenecks for successful AI applications in pediatric oncology imaging to date are the needs for large data sets and appropriate computer and memory power. With appropriate data entry and processing power, deep convolutional neural networks (CNNs) can process large amounts of imaging data, clinical data and medical literature in very short periods of time and thereby accelerate literature reviews, correct diagnoses and personalized treatments. This article provides a focused review of emerging AI applications that are relevant for the pediatric oncology imaging community.</t>
  </si>
  <si>
    <t>[Daldrup-Link, Heike] Stanford Univ, Lucile Packard Childrens Hosp, Dept Radiol, Pediat Mol Imaging Program,Sch Med, 725 Welch Rd,Room 1665, Stanford, CA 94305 USA; [Daldrup-Link, Heike] Stanford Univ, Sch Med, Dept Pediat, Hematol Oncol Sect, Stanford, CA 94305 USA</t>
  </si>
  <si>
    <t>Lucile Packard Children's Hospital (LPCH); Stanford University; Stanford University</t>
  </si>
  <si>
    <t>Daldrup-Link, H (corresponding author), Stanford Univ, Lucile Packard Childrens Hosp, Dept Radiol, Pediat Mol Imaging Program,Sch Med, 725 Welch Rd,Room 1665, Stanford, CA 94305 USA.;Daldrup-Link, H (corresponding author), Stanford Univ, Sch Med, Dept Pediat, Hematol Oncol Sect, Stanford, CA 94305 USA.</t>
  </si>
  <si>
    <t>H.E.Daldrup-Link@stanford.edu</t>
  </si>
  <si>
    <t>Eunice Kennedy Shriver National Institute of Child Health and Human Development [R01 HD081123-01A1]</t>
  </si>
  <si>
    <t>Eunice Kennedy Shriver National Institute of Child Health and Human Development(United States Department of Health &amp; Human ServicesNational Institutes of Health (NIH) - USANIH Eunice Kennedy Shriver National Institute of Child Health &amp; Human Development (NICHD))</t>
  </si>
  <si>
    <t>This work was supported by a grant from the Eunice Kennedy Shriver National Institute of Child Health and Human Development, grant number R01 HD081123-01A1.</t>
  </si>
  <si>
    <t>10.1007/s00247-019-04360-1</t>
  </si>
  <si>
    <t>JE3UA</t>
  </si>
  <si>
    <t>WOS:000490619100003</t>
  </si>
  <si>
    <t>Pérez-Romero, J; Sallent, O; Ferrús, R; Agustí, R</t>
  </si>
  <si>
    <t>Perez-Romero, J.; Sallent, O.; Ferrus, R.; Agusti, R.</t>
  </si>
  <si>
    <t>Artificial Intelligence-based 5G Network Capacity Planning and Operation</t>
  </si>
  <si>
    <t>2015 12TH INTERNATIONAL SYMPOSIUM ON WIRELESS COMMUNICATION SYSTEMS (ISWCS)</t>
  </si>
  <si>
    <t>12th International Symposium on Wireless Communication Systems (ISWCS)</t>
  </si>
  <si>
    <t>AUG 25-28, 2015</t>
  </si>
  <si>
    <t>Brussels, BELGIUM</t>
  </si>
  <si>
    <t>5G; artificial intelligence; capacity planning; network operation</t>
  </si>
  <si>
    <t>The highly demanding requirements envisaged for future 5G networks together with the required support of new customers from vertical industries (e.g. e-health, automotive, energy) pose a big challenge for operators in 5G on how to balance investments, user experience and profitability. There will be the need to revisit the actual methodologies of network planning and operation, fully exploiting cognitive capabilities that embrace knowledge and intelligence to achieve a proper understanding of the network usage in multiple dimensions. In this respect, this paper presents a vision on how these planning and operation processes can rely on the inclusion of Artificial Intelligence (AI) concepts that will allow devising models to characterize the impact of many correlated inputs on specific operator objectives and to drive decisions for different processes.</t>
  </si>
  <si>
    <t>[Perez-Romero, J.; Sallent, O.; Ferrus, R.; Agusti, R.] UPC, Dept Signal Theory &amp; Commun, Barcelona, Spain</t>
  </si>
  <si>
    <t>Pérez-Romero, J (corresponding author), UPC, Dept Signal Theory &amp; Commun, Barcelona, Spain.</t>
  </si>
  <si>
    <t>jorperez@tsc.upc.edu; sallent@tsc.upc.edu; ferrus@tsc.upc.edu; ramon@tsc.upc.edu</t>
  </si>
  <si>
    <t>Roig, José/F-4163-2014; Perez-Romero, Jordi/F-8268-2013; Ferrus, Ramon/F-8205-2013</t>
  </si>
  <si>
    <t>Perez-Romero, Jordi/0000-0001-9131-5013; Ferrus, Ramon/0000-0002-8296-6233</t>
  </si>
  <si>
    <t>978-1-4673-6540-6</t>
  </si>
  <si>
    <t>BF2MP</t>
  </si>
  <si>
    <t>WOS:000380480900050</t>
  </si>
  <si>
    <t>Chen, PY; Chu, ZZ; Zhao, M</t>
  </si>
  <si>
    <t>Chen, Pengyu; Chu, Zhongzhu; Zhao, Miao</t>
  </si>
  <si>
    <t>The Road to corporate sustainability: The importance of artificial intelligence</t>
  </si>
  <si>
    <t>Artificial intelligence; Corporate sustainable development; Potential pathways analysis</t>
  </si>
  <si>
    <t>SOCIAL-RESPONSIBILITY; PERFORMANCE; MANAGEMENT; AI; CONFUCIAN; IMPACT; VALUES; TECHNOLOGY; GOVERNANCE; ROBOTS</t>
  </si>
  <si>
    <t>Artificial intelligence (AI) is playing an increasingly important role in the corporate strategic development, and this study explores the relationship between AI and corporate sustainable development for the first time. By analyzing data from Chinese listed companies from 2011 to 2020 and employing a series of robust methods, this study makes the following findings: First, AI promotes corporate sustainable development, with a greater impact on environmental governance and social responsibility. Second, this study focuses on the moderating effects of internal and external pressures. Confucian culture and public pressure hinder the positive effects of AI, while technological proficiency and data security awareness amplify this positive impact. Finally, this study explores the potential pathways of AI based on corporate resource allocation and stakeholders. AI achieves corporate sustainable development by alleviating financing constraints, reducing agency costs, improving supply chain performance, labor productivity, resource utilization efficiency, and reducing corporate risks. These findings have significant implications for the application of AI technology and corporate sustainable development in emerging countries, including China.</t>
  </si>
  <si>
    <t>[Chen, Pengyu] Inner Mongolia Univ, Sch Econ &amp; Management, Hohhot 010021, Inner Mongolia, Peoples R China; [Chu, Zhongzhu] Shanghai Jiao Tong Univ, Sch Int &amp; Publ Affairs, Shanghai 200030, Peoples R China; [Zhao, Miao] Inner Mongolia Univ, Sch Publ Adm, Hohhot 010021, Inner Mongolia, Peoples R China</t>
  </si>
  <si>
    <t>Inner Mongolia University; Shanghai Jiao Tong University; Inner Mongolia University</t>
  </si>
  <si>
    <t>Chen, PY (corresponding author), Inner Mongolia Univ, Sch Econ &amp; Management, Hohhot 010021, Inner Mongolia, Peoples R China.</t>
  </si>
  <si>
    <t>cpy702018@163.com; zhongzhu_chu@sjtu.edu.cn; zhaomiao199511@163.com</t>
  </si>
  <si>
    <t>Chen, Pengyu/AFD-1843-2022; Chu, Zhongzhu/GLU-5085-2022</t>
  </si>
  <si>
    <t>Chen, Pengyu/0000-0003-4584-2036; Chu, Zhongzhu/0000-0001-7409-9646</t>
  </si>
  <si>
    <t>10.1016/j.techsoc.2023.102440</t>
  </si>
  <si>
    <t>DV7M8</t>
  </si>
  <si>
    <t>WOS:001134922700001</t>
  </si>
  <si>
    <t>Janumpally, R; Nanua, S; Ngo, A; Youens, K</t>
  </si>
  <si>
    <t>Janumpally, Ravi; Nanua, Suparna; Ngo, Andy; Youens, Kenneth</t>
  </si>
  <si>
    <t>Generative artificial intelligence in graduate medical education</t>
  </si>
  <si>
    <t>Generative AI; LLM; gpt; GME; graduate medical education; ChatGPT; artificial intelligence; education</t>
  </si>
  <si>
    <t>DOCUMENTATION BURDEN; PHYSICIANS; CHATGPT</t>
  </si>
  <si>
    <t>Generative artificial intelligence (GenAI) is rapidly transforming various sectors, including healthcare and education. This paper explores the potential opportunities and risks of GenAI in graduate medical education (GME). We review the existing literature and provide commentary on how GenAI could impact GME, including five key areas of opportunity: electronic health record (EHR) workload reduction, clinical simulation, individualized education, research and analytics support, and clinical decision support. We then discuss significant risks, including inaccuracy and overreliance on AI-generated content, challenges to authenticity and academic integrity, potential biases in AI outputs, and privacy concerns. As GenAI technology matures, it will likely come to have an important role in the future of GME, but its integration should be guided by a thorough understanding of both its benefits and limitations.</t>
  </si>
  <si>
    <t>[Janumpally, Ravi; Nanua, Suparna; Ngo, Andy; Youens, Kenneth] Baylor Scott &amp; White Hlth, Clin Informat Fellowship Program, Round Rock, TX 78665 USA</t>
  </si>
  <si>
    <t>Baylor Health Care System</t>
  </si>
  <si>
    <t>Youens, K (corresponding author), Baylor Scott &amp; White Hlth, Clin Informat Fellowship Program, Round Rock, TX 78665 USA.</t>
  </si>
  <si>
    <t>kenneth.youens@bswhealth.org</t>
  </si>
  <si>
    <t>10.3389/fmed.2024.1525604</t>
  </si>
  <si>
    <t>T2U2H</t>
  </si>
  <si>
    <t>WOS:001403614700001</t>
  </si>
  <si>
    <t>Baldassarre, A; Padovan, M</t>
  </si>
  <si>
    <t>Baldassarre, Antonio; Padovan, Martina</t>
  </si>
  <si>
    <t>Regulatory and Ethical Considerations on Artificial Intelligence for Occupational Medicine</t>
  </si>
  <si>
    <t>Generative Artificial Intelligence; Large Language Models; Code of Ethics</t>
  </si>
  <si>
    <t>Generative artificial intelligence and Large Language Models reshape labor dynamics and occupational health practices. As AI continues to evolve, there's a critical need to customize ethical considerations for its specific impacts on occupational health. Recognizing potential ethical challenges and dilemmas, stakeholders and physicians are urged to proactively adjust the practice of Occupational Medicine in response to shifting ethical paradigms. By advocating ensure responsible medical AI deployment, safeguarding the well-being of workers amidst the transformative effects of automation in healthcare.</t>
  </si>
  <si>
    <t>[Baldassarre, Antonio] Univ Florence, Dept Expt &amp; Clin Med, Florence, Italy; [Padovan, Martina] Tuscany North West Hlth Local Unit, Prevent Med, Lucca, Italy</t>
  </si>
  <si>
    <t>University of Florence</t>
  </si>
  <si>
    <t>Baldassarre, A (corresponding author), Univ Florence, Dept Expt &amp; Clin Med, Florence, Italy.</t>
  </si>
  <si>
    <t>antonio.baldassarre@unifi.it</t>
  </si>
  <si>
    <t>Baldassarre, Antonio/GPS-7594-2022</t>
  </si>
  <si>
    <t>PADOVAN, MARTINA/0000-0001-8461-1527</t>
  </si>
  <si>
    <t>e2024013</t>
  </si>
  <si>
    <t>10.23749/mdl.v115i2.15881</t>
  </si>
  <si>
    <t>WOS:001223327200002</t>
  </si>
  <si>
    <t>Toker, K; Atas, K; Mayadagli, A; Görmezoglu, Z; Tuncay, I; Kazancioglu, R</t>
  </si>
  <si>
    <t>Toker, Kerem; Atas, Kadir; Mayadagli, Alpaslan; Gormezoglu, Zeynep; Tuncay, Ibrahim; Kazancioglu, Rumeyza</t>
  </si>
  <si>
    <t>A Solution to Reduce the Impact of Patients' No-Show Behavior on Hospital Operating Costs: Artificial Intelligence-Based Appointment System</t>
  </si>
  <si>
    <t>no-show behavior; hospital costs; artificial intelligence; hospital appointment systems</t>
  </si>
  <si>
    <t>HEALTH-CARE; PERFORMANCE; CHALLENGES; TIME</t>
  </si>
  <si>
    <t>Background: Patient no-show behavior is a critical factor complicating hospital resource optimization and causing waste. The inefficiency caused by patients' no-shows and the resulting increased operating costs negatively affect the hospitals' financial structure and service quality. For this reason, health managers must make accurate predictions about whether patients will attend an appointment and plan the appointment system within the framework of these predictions. This research aims to optimize the hospital appointment system by making accurate predictions regarding the no-show behavior of the patients, based on recorded data. Methods: An artificial intelligence-based appointment system has been developed according to patients' demographics and past behavior patterns. The forecast results and realized performance results were compared. The artificial intelligence we have developed continuously improves appointment assignments by learning from past and current data. Results: According to the findings, the artificial intelligence-based appointment system increased the rate of patients attending appointments by 10% per month. Likewise, the hospital capacity utilization rate increased by 6%. Conclusions: Findings from the study confirmed that no-show risks could be managed in the appointment process through artificial intelligence. This artificial intelligence-based design for appointment systems significantly decreases hospital costs and improves service quality performance.</t>
  </si>
  <si>
    <t>[Toker, Kerem] Bezmialem Vakif Univ, Fac Hlth Sci, Hlth Management, TR-34065 Istanbul, Turkiye; [Atas, Kadir] Bezmialem Vakif Univ, Dept Informat Technol, TR-34093 Istanbul, Turkiye; [Mayadagli, Alpaslan; Tuncay, Ibrahim; Kazancioglu, Rumeyza] Bezmialem Vakif Univ, Fac Med, TR-34093 Istanbul, Turkiye; [Gormezoglu, Zeynep] Bezmialem Vakif Univ, Gen Secretariat, TR-34093 Istanbul, Turkiye</t>
  </si>
  <si>
    <t>Bezmialem Vakif University; Bezmialem Vakif University; Bezmialem Vakif University; Bezmialem Vakif University</t>
  </si>
  <si>
    <t>Toker, K (corresponding author), Bezmialem Vakif Univ, Fac Hlth Sci, Hlth Management, TR-34065 Istanbul, Turkiye.</t>
  </si>
  <si>
    <t>ktoker@bezmialem.edu.tr; kadir.atas@bezmialem.edu.tr; amayadagli@bezmialem.edu.tr; zgormezoglu@bezmialem.edu.tr; ituncay@bezmialem.edu.tr; rkazancioglu@bezmialem.edu.tr</t>
  </si>
  <si>
    <t>Tuncay, Ibrahim/ABA-2415-2020; Kazancıoğlu, Rümeyza/AAH-7666-2019; TOKER, Kerem/AAC-9725-2022</t>
  </si>
  <si>
    <t>Kazancioglu, Rumeyza/0000-0003-1217-588X; TOKER, Kerem/0000-0002-1904-1406</t>
  </si>
  <si>
    <t>10.3390/healthcare12212161</t>
  </si>
  <si>
    <t>L5S1V</t>
  </si>
  <si>
    <t>WOS:001351307000001</t>
  </si>
  <si>
    <t>Xie, HY; Jia, Y; Liu, SR</t>
  </si>
  <si>
    <t>Xie, Heying; Jia, Yin; Liu, Shanrong</t>
  </si>
  <si>
    <t>Integration of artificial intelligence in clinical laboratory medicine: Advancements and challenges</t>
  </si>
  <si>
    <t>INTERDISCIPLINARY MEDICINE</t>
  </si>
  <si>
    <t>artificial intelligence; big data; clinical laboratory medicine</t>
  </si>
  <si>
    <t>PRECISION MEDICINE; LEARNING-MODEL; NEURAL-NETWORK; RISK SCORE; BLOOD-TEST; MACHINE; QUALITY; SYSTEM; CANCER; BIOMARKERS</t>
  </si>
  <si>
    <t>Artificial intelligence (AI)-driven analysis of comprehensive clinical parameters is bringing about a significant transformation in traditional routine clinical laboratory testing. This transformation impacts the prediction, prevention, diagnosis, and prognosis of human diseases. AI possesses the capability to efficiently analyze and process vast and intricate datasets, thereby facilitating the development of diverse and efficient diagnostic or predictive models. This advancement is fueling significant improvements in laboratory quality, automation, and the accuracy of diagnoses. In this context, we conducted a thorough review and discussion on the progression of AI applications in clinical laboratory medicine, encompassing advancements, implementation, and challenges. Our conclusion underscores that integrating AI into clinical laboratory testing will notably propel personalized precision medicine forward and enhance diagnostic accuracy, especially benefiting patients for whom accurate diagnoses are elusive through traditional laboratory testing systems. Artificial intelligence (AI) is involved in the processing of big data within the medical domain. The big data amassed from hospital laboratory tests is processed by AI and subsequently utilized for disease diagnosis, prognostication, and prediction, as well as for the automation of hospital laboratory management and visualization of data. image</t>
  </si>
  <si>
    <t>[Xie, Heying; Jia, Yin; Liu, Shanrong] Navy Med Univ, Changhai Hosp, Dept Lab &amp; Diag, Shanghai 200433, Peoples R China</t>
  </si>
  <si>
    <t>Naval Medical University</t>
  </si>
  <si>
    <t>Liu, SR (corresponding author), Navy Med Univ, Changhai Hosp, Dept Lab &amp; Diag, Shanghai 200433, Peoples R China.</t>
  </si>
  <si>
    <t>liushanrong01@126.com</t>
  </si>
  <si>
    <t>National Natural Science Foundation of China [82272437]</t>
  </si>
  <si>
    <t>National Natural Science Foundation of China, Grant/Award Number:82272437</t>
  </si>
  <si>
    <t>2832-6237</t>
  </si>
  <si>
    <t>2832-6245</t>
  </si>
  <si>
    <t>INTERD MED</t>
  </si>
  <si>
    <t>Interdiscip. Med.</t>
  </si>
  <si>
    <t>e20230056</t>
  </si>
  <si>
    <t>10.1002/INMD.20230056</t>
  </si>
  <si>
    <t>I1X9V</t>
  </si>
  <si>
    <t>WOS:001328267700001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</si>
</sst>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7" width="8.0"/>
    <col customWidth="1" min="18" max="18" width="11.88"/>
    <col customWidth="1" min="19" max="72" width="8.0"/>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ht="12.75" customHeight="1">
      <c r="A2" s="1" t="s">
        <v>72</v>
      </c>
      <c r="B2" s="1" t="s">
        <v>73</v>
      </c>
      <c r="C2" s="1" t="s">
        <v>74</v>
      </c>
      <c r="D2" s="1" t="s">
        <v>75</v>
      </c>
      <c r="E2" s="1" t="s">
        <v>74</v>
      </c>
      <c r="F2" s="1" t="s">
        <v>76</v>
      </c>
      <c r="G2" s="1" t="s">
        <v>74</v>
      </c>
      <c r="H2" s="1" t="s">
        <v>74</v>
      </c>
      <c r="I2" s="1" t="s">
        <v>77</v>
      </c>
      <c r="J2" s="1" t="s">
        <v>78</v>
      </c>
      <c r="K2" s="1" t="s">
        <v>79</v>
      </c>
      <c r="L2" s="1" t="s">
        <v>74</v>
      </c>
      <c r="M2" s="1" t="s">
        <v>80</v>
      </c>
      <c r="N2" s="1" t="s">
        <v>81</v>
      </c>
      <c r="O2" s="1" t="s">
        <v>82</v>
      </c>
      <c r="P2" s="1" t="s">
        <v>83</v>
      </c>
      <c r="Q2" s="1" t="s">
        <v>84</v>
      </c>
      <c r="R2" s="1" t="s">
        <v>85</v>
      </c>
      <c r="S2" s="1" t="s">
        <v>74</v>
      </c>
      <c r="T2" s="1" t="s">
        <v>86</v>
      </c>
      <c r="U2" s="1" t="s">
        <v>74</v>
      </c>
      <c r="V2" s="1" t="s">
        <v>87</v>
      </c>
      <c r="W2" s="1" t="s">
        <v>88</v>
      </c>
      <c r="X2" s="1" t="s">
        <v>89</v>
      </c>
      <c r="Y2" s="1" t="s">
        <v>90</v>
      </c>
      <c r="Z2" s="1" t="s">
        <v>91</v>
      </c>
      <c r="AA2" s="1" t="s">
        <v>74</v>
      </c>
      <c r="AB2" s="1" t="s">
        <v>74</v>
      </c>
      <c r="AC2" s="1" t="s">
        <v>74</v>
      </c>
      <c r="AD2" s="1" t="s">
        <v>74</v>
      </c>
      <c r="AE2" s="1" t="s">
        <v>74</v>
      </c>
      <c r="AF2" s="1" t="s">
        <v>74</v>
      </c>
      <c r="AG2" s="1">
        <v>6.0</v>
      </c>
      <c r="AH2" s="1">
        <v>4.0</v>
      </c>
      <c r="AI2" s="1">
        <v>6.0</v>
      </c>
      <c r="AJ2" s="1">
        <v>8.0</v>
      </c>
      <c r="AK2" s="1">
        <v>53.0</v>
      </c>
      <c r="AL2" s="1" t="s">
        <v>92</v>
      </c>
      <c r="AM2" s="1" t="s">
        <v>93</v>
      </c>
      <c r="AN2" s="1" t="s">
        <v>94</v>
      </c>
      <c r="AO2" s="1" t="s">
        <v>95</v>
      </c>
      <c r="AP2" s="1" t="s">
        <v>74</v>
      </c>
      <c r="AQ2" s="1" t="s">
        <v>96</v>
      </c>
      <c r="AR2" s="1" t="s">
        <v>97</v>
      </c>
      <c r="AS2" s="1" t="s">
        <v>74</v>
      </c>
      <c r="AT2" s="1" t="s">
        <v>74</v>
      </c>
      <c r="AU2" s="1">
        <v>2018.0</v>
      </c>
      <c r="AV2" s="1">
        <v>181.0</v>
      </c>
      <c r="AW2" s="1" t="s">
        <v>74</v>
      </c>
      <c r="AX2" s="1" t="s">
        <v>74</v>
      </c>
      <c r="AY2" s="1" t="s">
        <v>74</v>
      </c>
      <c r="AZ2" s="1" t="s">
        <v>74</v>
      </c>
      <c r="BA2" s="1" t="s">
        <v>74</v>
      </c>
      <c r="BB2" s="1">
        <v>813.0</v>
      </c>
      <c r="BC2" s="1">
        <v>816.0</v>
      </c>
      <c r="BD2" s="1" t="s">
        <v>74</v>
      </c>
      <c r="BE2" s="1" t="s">
        <v>74</v>
      </c>
      <c r="BF2" s="1" t="s">
        <v>74</v>
      </c>
      <c r="BG2" s="1" t="s">
        <v>74</v>
      </c>
      <c r="BH2" s="1" t="s">
        <v>74</v>
      </c>
      <c r="BI2" s="1">
        <v>4.0</v>
      </c>
      <c r="BJ2" s="1" t="s">
        <v>98</v>
      </c>
      <c r="BK2" s="1" t="s">
        <v>99</v>
      </c>
      <c r="BL2" s="1" t="s">
        <v>100</v>
      </c>
      <c r="BM2" s="1" t="s">
        <v>101</v>
      </c>
      <c r="BN2" s="1" t="s">
        <v>74</v>
      </c>
      <c r="BO2" s="1" t="s">
        <v>74</v>
      </c>
      <c r="BP2" s="1" t="s">
        <v>74</v>
      </c>
      <c r="BQ2" s="1" t="s">
        <v>74</v>
      </c>
      <c r="BR2" s="1" t="s">
        <v>102</v>
      </c>
      <c r="BS2" s="1" t="s">
        <v>103</v>
      </c>
      <c r="BT2" s="1" t="str">
        <f>HYPERLINK("https%3A%2F%2Fwww.webofscience.com%2Fwos%2Fwoscc%2Ffull-record%2FWOS:000448308500202","View Full Record in Web of Science")</f>
        <v>View Full Record in Web of Science</v>
      </c>
    </row>
    <row r="3" ht="12.75" customHeight="1">
      <c r="A3" s="1" t="s">
        <v>72</v>
      </c>
      <c r="B3" s="1" t="s">
        <v>104</v>
      </c>
      <c r="C3" s="1" t="s">
        <v>74</v>
      </c>
      <c r="D3" s="1" t="s">
        <v>105</v>
      </c>
      <c r="E3" s="1" t="s">
        <v>74</v>
      </c>
      <c r="F3" s="1" t="s">
        <v>106</v>
      </c>
      <c r="G3" s="1" t="s">
        <v>74</v>
      </c>
      <c r="H3" s="1" t="s">
        <v>74</v>
      </c>
      <c r="I3" s="1" t="s">
        <v>107</v>
      </c>
      <c r="J3" s="1" t="s">
        <v>108</v>
      </c>
      <c r="K3" s="1" t="s">
        <v>74</v>
      </c>
      <c r="L3" s="1" t="s">
        <v>74</v>
      </c>
      <c r="M3" s="1" t="s">
        <v>80</v>
      </c>
      <c r="N3" s="1" t="s">
        <v>81</v>
      </c>
      <c r="O3" s="1" t="s">
        <v>109</v>
      </c>
      <c r="P3" s="1" t="s">
        <v>110</v>
      </c>
      <c r="Q3" s="1" t="s">
        <v>111</v>
      </c>
      <c r="R3" s="1" t="s">
        <v>112</v>
      </c>
      <c r="S3" s="1" t="s">
        <v>113</v>
      </c>
      <c r="T3" s="1" t="s">
        <v>114</v>
      </c>
      <c r="U3" s="1" t="s">
        <v>115</v>
      </c>
      <c r="V3" s="1" t="s">
        <v>116</v>
      </c>
      <c r="W3" s="1" t="s">
        <v>117</v>
      </c>
      <c r="X3" s="1" t="s">
        <v>118</v>
      </c>
      <c r="Y3" s="1" t="s">
        <v>119</v>
      </c>
      <c r="Z3" s="1" t="s">
        <v>120</v>
      </c>
      <c r="AA3" s="1" t="s">
        <v>121</v>
      </c>
      <c r="AB3" s="1" t="s">
        <v>74</v>
      </c>
      <c r="AC3" s="1" t="s">
        <v>74</v>
      </c>
      <c r="AD3" s="1" t="s">
        <v>74</v>
      </c>
      <c r="AE3" s="1" t="s">
        <v>74</v>
      </c>
      <c r="AF3" s="1" t="s">
        <v>74</v>
      </c>
      <c r="AG3" s="1">
        <v>15.0</v>
      </c>
      <c r="AH3" s="1">
        <v>0.0</v>
      </c>
      <c r="AI3" s="1">
        <v>0.0</v>
      </c>
      <c r="AJ3" s="1">
        <v>11.0</v>
      </c>
      <c r="AK3" s="1">
        <v>44.0</v>
      </c>
      <c r="AL3" s="1" t="s">
        <v>122</v>
      </c>
      <c r="AM3" s="1" t="s">
        <v>123</v>
      </c>
      <c r="AN3" s="1" t="s">
        <v>124</v>
      </c>
      <c r="AO3" s="1" t="s">
        <v>74</v>
      </c>
      <c r="AP3" s="1" t="s">
        <v>74</v>
      </c>
      <c r="AQ3" s="1" t="s">
        <v>125</v>
      </c>
      <c r="AR3" s="1" t="s">
        <v>74</v>
      </c>
      <c r="AS3" s="1" t="s">
        <v>74</v>
      </c>
      <c r="AT3" s="1" t="s">
        <v>74</v>
      </c>
      <c r="AU3" s="1">
        <v>2021.0</v>
      </c>
      <c r="AV3" s="1" t="s">
        <v>74</v>
      </c>
      <c r="AW3" s="1" t="s">
        <v>74</v>
      </c>
      <c r="AX3" s="1" t="s">
        <v>74</v>
      </c>
      <c r="AY3" s="1" t="s">
        <v>74</v>
      </c>
      <c r="AZ3" s="1" t="s">
        <v>74</v>
      </c>
      <c r="BA3" s="1" t="s">
        <v>74</v>
      </c>
      <c r="BB3" s="1">
        <v>174.0</v>
      </c>
      <c r="BC3" s="1">
        <v>182.0</v>
      </c>
      <c r="BD3" s="1" t="s">
        <v>74</v>
      </c>
      <c r="BE3" s="1" t="s">
        <v>126</v>
      </c>
      <c r="BF3" s="2" t="str">
        <f>HYPERLINK("http://dx.doi.org/10.34190/EAIR.21.021","http://dx.doi.org/10.34190/EAIR.21.021")</f>
        <v>http://dx.doi.org/10.34190/EAIR.21.021</v>
      </c>
      <c r="BG3" s="1" t="s">
        <v>74</v>
      </c>
      <c r="BH3" s="1" t="s">
        <v>74</v>
      </c>
      <c r="BI3" s="1">
        <v>9.0</v>
      </c>
      <c r="BJ3" s="1" t="s">
        <v>127</v>
      </c>
      <c r="BK3" s="1" t="s">
        <v>128</v>
      </c>
      <c r="BL3" s="1" t="s">
        <v>129</v>
      </c>
      <c r="BM3" s="1" t="s">
        <v>130</v>
      </c>
      <c r="BN3" s="1" t="s">
        <v>74</v>
      </c>
      <c r="BO3" s="1" t="s">
        <v>74</v>
      </c>
      <c r="BP3" s="1" t="s">
        <v>74</v>
      </c>
      <c r="BQ3" s="1" t="s">
        <v>74</v>
      </c>
      <c r="BR3" s="1" t="s">
        <v>102</v>
      </c>
      <c r="BS3" s="1" t="s">
        <v>131</v>
      </c>
      <c r="BT3" s="1" t="str">
        <f>HYPERLINK("https%3A%2F%2Fwww.webofscience.com%2Fwos%2Fwoscc%2Ffull-record%2FWOS:000838033200023","View Full Record in Web of Science")</f>
        <v>View Full Record in Web of Science</v>
      </c>
    </row>
    <row r="4" ht="12.75" customHeight="1">
      <c r="A4" s="1" t="s">
        <v>132</v>
      </c>
      <c r="B4" s="1" t="s">
        <v>133</v>
      </c>
      <c r="C4" s="1" t="s">
        <v>74</v>
      </c>
      <c r="D4" s="1" t="s">
        <v>74</v>
      </c>
      <c r="E4" s="1" t="s">
        <v>74</v>
      </c>
      <c r="F4" s="1" t="s">
        <v>133</v>
      </c>
      <c r="G4" s="1" t="s">
        <v>74</v>
      </c>
      <c r="H4" s="1" t="s">
        <v>74</v>
      </c>
      <c r="I4" s="1" t="s">
        <v>134</v>
      </c>
      <c r="J4" s="1" t="s">
        <v>135</v>
      </c>
      <c r="K4" s="1" t="s">
        <v>74</v>
      </c>
      <c r="L4" s="1" t="s">
        <v>74</v>
      </c>
      <c r="M4" s="1" t="s">
        <v>80</v>
      </c>
      <c r="N4" s="1" t="s">
        <v>136</v>
      </c>
      <c r="O4" s="1" t="s">
        <v>74</v>
      </c>
      <c r="P4" s="1" t="s">
        <v>74</v>
      </c>
      <c r="Q4" s="1" t="s">
        <v>74</v>
      </c>
      <c r="R4" s="1" t="s">
        <v>74</v>
      </c>
      <c r="S4" s="1" t="s">
        <v>74</v>
      </c>
      <c r="T4" s="1" t="s">
        <v>137</v>
      </c>
      <c r="U4" s="1" t="s">
        <v>138</v>
      </c>
      <c r="V4" s="1" t="s">
        <v>139</v>
      </c>
      <c r="W4" s="1" t="s">
        <v>74</v>
      </c>
      <c r="X4" s="1" t="s">
        <v>74</v>
      </c>
      <c r="Y4" s="1" t="s">
        <v>140</v>
      </c>
      <c r="Z4" s="1" t="s">
        <v>74</v>
      </c>
      <c r="AA4" s="1" t="s">
        <v>74</v>
      </c>
      <c r="AB4" s="1" t="s">
        <v>74</v>
      </c>
      <c r="AC4" s="1" t="s">
        <v>74</v>
      </c>
      <c r="AD4" s="1" t="s">
        <v>74</v>
      </c>
      <c r="AE4" s="1" t="s">
        <v>74</v>
      </c>
      <c r="AF4" s="1" t="s">
        <v>74</v>
      </c>
      <c r="AG4" s="1">
        <v>17.0</v>
      </c>
      <c r="AH4" s="1">
        <v>30.0</v>
      </c>
      <c r="AI4" s="1">
        <v>36.0</v>
      </c>
      <c r="AJ4" s="1">
        <v>0.0</v>
      </c>
      <c r="AK4" s="1">
        <v>10.0</v>
      </c>
      <c r="AL4" s="1" t="s">
        <v>141</v>
      </c>
      <c r="AM4" s="1" t="s">
        <v>142</v>
      </c>
      <c r="AN4" s="1" t="s">
        <v>143</v>
      </c>
      <c r="AO4" s="1" t="s">
        <v>144</v>
      </c>
      <c r="AP4" s="1" t="s">
        <v>74</v>
      </c>
      <c r="AQ4" s="1" t="s">
        <v>74</v>
      </c>
      <c r="AR4" s="1" t="s">
        <v>145</v>
      </c>
      <c r="AS4" s="1" t="s">
        <v>146</v>
      </c>
      <c r="AT4" s="1" t="s">
        <v>147</v>
      </c>
      <c r="AU4" s="1">
        <v>1992.0</v>
      </c>
      <c r="AV4" s="1">
        <v>89.0</v>
      </c>
      <c r="AW4" s="1">
        <v>2.0</v>
      </c>
      <c r="AX4" s="1" t="s">
        <v>74</v>
      </c>
      <c r="AY4" s="1" t="s">
        <v>74</v>
      </c>
      <c r="AZ4" s="1" t="s">
        <v>74</v>
      </c>
      <c r="BA4" s="1" t="s">
        <v>74</v>
      </c>
      <c r="BB4" s="1">
        <v>178.0</v>
      </c>
      <c r="BC4" s="1">
        <v>187.0</v>
      </c>
      <c r="BD4" s="1" t="s">
        <v>74</v>
      </c>
      <c r="BE4" s="1" t="s">
        <v>74</v>
      </c>
      <c r="BF4" s="1" t="s">
        <v>74</v>
      </c>
      <c r="BG4" s="1" t="s">
        <v>74</v>
      </c>
      <c r="BH4" s="1" t="s">
        <v>74</v>
      </c>
      <c r="BI4" s="1">
        <v>10.0</v>
      </c>
      <c r="BJ4" s="1" t="s">
        <v>148</v>
      </c>
      <c r="BK4" s="1" t="s">
        <v>149</v>
      </c>
      <c r="BL4" s="1" t="s">
        <v>150</v>
      </c>
      <c r="BM4" s="1" t="s">
        <v>151</v>
      </c>
      <c r="BN4" s="1" t="s">
        <v>74</v>
      </c>
      <c r="BO4" s="1" t="s">
        <v>74</v>
      </c>
      <c r="BP4" s="1" t="s">
        <v>74</v>
      </c>
      <c r="BQ4" s="1" t="s">
        <v>74</v>
      </c>
      <c r="BR4" s="1" t="s">
        <v>102</v>
      </c>
      <c r="BS4" s="1" t="s">
        <v>152</v>
      </c>
      <c r="BT4" s="1" t="str">
        <f>HYPERLINK("https%3A%2F%2Fwww.webofscience.com%2Fwos%2Fwoscc%2Ffull-record%2FWOS:A1992HM99000008","View Full Record in Web of Science")</f>
        <v>View Full Record in Web of Science</v>
      </c>
    </row>
    <row r="5" ht="12.75" customHeight="1">
      <c r="A5" s="1" t="s">
        <v>132</v>
      </c>
      <c r="B5" s="1" t="s">
        <v>153</v>
      </c>
      <c r="C5" s="1" t="s">
        <v>74</v>
      </c>
      <c r="D5" s="1" t="s">
        <v>74</v>
      </c>
      <c r="E5" s="1" t="s">
        <v>74</v>
      </c>
      <c r="F5" s="1" t="s">
        <v>154</v>
      </c>
      <c r="G5" s="1" t="s">
        <v>74</v>
      </c>
      <c r="H5" s="1" t="s">
        <v>74</v>
      </c>
      <c r="I5" s="1" t="s">
        <v>155</v>
      </c>
      <c r="J5" s="1" t="s">
        <v>156</v>
      </c>
      <c r="K5" s="1" t="s">
        <v>74</v>
      </c>
      <c r="L5" s="1" t="s">
        <v>74</v>
      </c>
      <c r="M5" s="1" t="s">
        <v>157</v>
      </c>
      <c r="N5" s="1" t="s">
        <v>136</v>
      </c>
      <c r="O5" s="1" t="s">
        <v>74</v>
      </c>
      <c r="P5" s="1" t="s">
        <v>74</v>
      </c>
      <c r="Q5" s="1" t="s">
        <v>74</v>
      </c>
      <c r="R5" s="1" t="s">
        <v>74</v>
      </c>
      <c r="S5" s="1" t="s">
        <v>74</v>
      </c>
      <c r="T5" s="1" t="s">
        <v>158</v>
      </c>
      <c r="U5" s="1" t="s">
        <v>74</v>
      </c>
      <c r="V5" s="1" t="s">
        <v>159</v>
      </c>
      <c r="W5" s="1" t="s">
        <v>160</v>
      </c>
      <c r="X5" s="1" t="s">
        <v>74</v>
      </c>
      <c r="Y5" s="1" t="s">
        <v>161</v>
      </c>
      <c r="Z5" s="1" t="s">
        <v>162</v>
      </c>
      <c r="AA5" s="1" t="s">
        <v>163</v>
      </c>
      <c r="AB5" s="1" t="s">
        <v>74</v>
      </c>
      <c r="AC5" s="1" t="s">
        <v>74</v>
      </c>
      <c r="AD5" s="1" t="s">
        <v>74</v>
      </c>
      <c r="AE5" s="1" t="s">
        <v>74</v>
      </c>
      <c r="AF5" s="1" t="s">
        <v>74</v>
      </c>
      <c r="AG5" s="1">
        <v>41.0</v>
      </c>
      <c r="AH5" s="1">
        <v>0.0</v>
      </c>
      <c r="AI5" s="1">
        <v>0.0</v>
      </c>
      <c r="AJ5" s="1">
        <v>87.0</v>
      </c>
      <c r="AK5" s="1">
        <v>87.0</v>
      </c>
      <c r="AL5" s="1" t="s">
        <v>164</v>
      </c>
      <c r="AM5" s="1" t="s">
        <v>165</v>
      </c>
      <c r="AN5" s="1" t="s">
        <v>166</v>
      </c>
      <c r="AO5" s="1" t="s">
        <v>167</v>
      </c>
      <c r="AP5" s="1" t="s">
        <v>74</v>
      </c>
      <c r="AQ5" s="1" t="s">
        <v>74</v>
      </c>
      <c r="AR5" s="1" t="s">
        <v>168</v>
      </c>
      <c r="AS5" s="1" t="s">
        <v>169</v>
      </c>
      <c r="AT5" s="1" t="s">
        <v>74</v>
      </c>
      <c r="AU5" s="1">
        <v>2024.0</v>
      </c>
      <c r="AV5" s="1">
        <v>17.0</v>
      </c>
      <c r="AW5" s="1">
        <v>2.0</v>
      </c>
      <c r="AX5" s="1" t="s">
        <v>74</v>
      </c>
      <c r="AY5" s="1" t="s">
        <v>74</v>
      </c>
      <c r="AZ5" s="1" t="s">
        <v>74</v>
      </c>
      <c r="BA5" s="1" t="s">
        <v>74</v>
      </c>
      <c r="BB5" s="1">
        <v>683.0</v>
      </c>
      <c r="BC5" s="1">
        <v>695.0</v>
      </c>
      <c r="BD5" s="1" t="s">
        <v>74</v>
      </c>
      <c r="BE5" s="1" t="s">
        <v>170</v>
      </c>
      <c r="BF5" s="2" t="str">
        <f>HYPERLINK("http://dx.doi.org/10.14571/brajets.v17.n2.683-695","http://dx.doi.org/10.14571/brajets.v17.n2.683-695")</f>
        <v>http://dx.doi.org/10.14571/brajets.v17.n2.683-695</v>
      </c>
      <c r="BG5" s="1" t="s">
        <v>74</v>
      </c>
      <c r="BH5" s="1" t="s">
        <v>74</v>
      </c>
      <c r="BI5" s="1">
        <v>13.0</v>
      </c>
      <c r="BJ5" s="1" t="s">
        <v>171</v>
      </c>
      <c r="BK5" s="1" t="s">
        <v>172</v>
      </c>
      <c r="BL5" s="1" t="s">
        <v>171</v>
      </c>
      <c r="BM5" s="1" t="s">
        <v>173</v>
      </c>
      <c r="BN5" s="1" t="s">
        <v>74</v>
      </c>
      <c r="BO5" s="1" t="s">
        <v>174</v>
      </c>
      <c r="BP5" s="1" t="s">
        <v>74</v>
      </c>
      <c r="BQ5" s="1" t="s">
        <v>74</v>
      </c>
      <c r="BR5" s="1" t="s">
        <v>102</v>
      </c>
      <c r="BS5" s="1" t="s">
        <v>175</v>
      </c>
      <c r="BT5" s="1" t="str">
        <f>HYPERLINK("https%3A%2F%2Fwww.webofscience.com%2Fwos%2Fwoscc%2Ffull-record%2FWOS:001296097600013","View Full Record in Web of Science")</f>
        <v>View Full Record in Web of Science</v>
      </c>
    </row>
    <row r="6" ht="12.75" customHeight="1">
      <c r="A6" s="1" t="s">
        <v>132</v>
      </c>
      <c r="B6" s="1" t="s">
        <v>176</v>
      </c>
      <c r="C6" s="1" t="s">
        <v>74</v>
      </c>
      <c r="D6" s="1" t="s">
        <v>74</v>
      </c>
      <c r="E6" s="1" t="s">
        <v>74</v>
      </c>
      <c r="F6" s="1" t="s">
        <v>177</v>
      </c>
      <c r="G6" s="1" t="s">
        <v>74</v>
      </c>
      <c r="H6" s="1" t="s">
        <v>74</v>
      </c>
      <c r="I6" s="1" t="s">
        <v>178</v>
      </c>
      <c r="J6" s="1" t="s">
        <v>179</v>
      </c>
      <c r="K6" s="1" t="s">
        <v>74</v>
      </c>
      <c r="L6" s="1" t="s">
        <v>74</v>
      </c>
      <c r="M6" s="1" t="s">
        <v>80</v>
      </c>
      <c r="N6" s="1" t="s">
        <v>136</v>
      </c>
      <c r="O6" s="1" t="s">
        <v>74</v>
      </c>
      <c r="P6" s="1" t="s">
        <v>74</v>
      </c>
      <c r="Q6" s="1" t="s">
        <v>74</v>
      </c>
      <c r="R6" s="1" t="s">
        <v>74</v>
      </c>
      <c r="S6" s="1" t="s">
        <v>74</v>
      </c>
      <c r="T6" s="1" t="s">
        <v>180</v>
      </c>
      <c r="U6" s="1" t="s">
        <v>181</v>
      </c>
      <c r="V6" s="1" t="s">
        <v>182</v>
      </c>
      <c r="W6" s="1" t="s">
        <v>183</v>
      </c>
      <c r="X6" s="1" t="s">
        <v>184</v>
      </c>
      <c r="Y6" s="1" t="s">
        <v>185</v>
      </c>
      <c r="Z6" s="1" t="s">
        <v>186</v>
      </c>
      <c r="AA6" s="1" t="s">
        <v>187</v>
      </c>
      <c r="AB6" s="1" t="s">
        <v>188</v>
      </c>
      <c r="AC6" s="1" t="s">
        <v>189</v>
      </c>
      <c r="AD6" s="1" t="s">
        <v>190</v>
      </c>
      <c r="AE6" s="1" t="s">
        <v>191</v>
      </c>
      <c r="AF6" s="1" t="s">
        <v>74</v>
      </c>
      <c r="AG6" s="1">
        <v>81.0</v>
      </c>
      <c r="AH6" s="1">
        <v>4.0</v>
      </c>
      <c r="AI6" s="1">
        <v>4.0</v>
      </c>
      <c r="AJ6" s="1">
        <v>31.0</v>
      </c>
      <c r="AK6" s="1">
        <v>91.0</v>
      </c>
      <c r="AL6" s="1" t="s">
        <v>192</v>
      </c>
      <c r="AM6" s="1" t="s">
        <v>193</v>
      </c>
      <c r="AN6" s="1" t="s">
        <v>194</v>
      </c>
      <c r="AO6" s="1" t="s">
        <v>195</v>
      </c>
      <c r="AP6" s="1" t="s">
        <v>196</v>
      </c>
      <c r="AQ6" s="1" t="s">
        <v>74</v>
      </c>
      <c r="AR6" s="1" t="s">
        <v>197</v>
      </c>
      <c r="AS6" s="1" t="s">
        <v>198</v>
      </c>
      <c r="AT6" s="1" t="s">
        <v>199</v>
      </c>
      <c r="AU6" s="1">
        <v>2023.0</v>
      </c>
      <c r="AV6" s="1">
        <v>33.0</v>
      </c>
      <c r="AW6" s="1">
        <v>5.0</v>
      </c>
      <c r="AX6" s="1" t="s">
        <v>74</v>
      </c>
      <c r="AY6" s="1" t="s">
        <v>74</v>
      </c>
      <c r="AZ6" s="1" t="s">
        <v>74</v>
      </c>
      <c r="BA6" s="1" t="s">
        <v>74</v>
      </c>
      <c r="BB6" s="1">
        <v>1473.0</v>
      </c>
      <c r="BC6" s="1">
        <v>1517.0</v>
      </c>
      <c r="BD6" s="1" t="s">
        <v>74</v>
      </c>
      <c r="BE6" s="1" t="s">
        <v>200</v>
      </c>
      <c r="BF6" s="2" t="str">
        <f>HYPERLINK("http://dx.doi.org/10.1007/s00191-023-00845-3","http://dx.doi.org/10.1007/s00191-023-00845-3")</f>
        <v>http://dx.doi.org/10.1007/s00191-023-00845-3</v>
      </c>
      <c r="BG6" s="1" t="s">
        <v>74</v>
      </c>
      <c r="BH6" s="1" t="s">
        <v>201</v>
      </c>
      <c r="BI6" s="1">
        <v>45.0</v>
      </c>
      <c r="BJ6" s="1" t="s">
        <v>202</v>
      </c>
      <c r="BK6" s="1" t="s">
        <v>203</v>
      </c>
      <c r="BL6" s="1" t="s">
        <v>204</v>
      </c>
      <c r="BM6" s="1" t="s">
        <v>205</v>
      </c>
      <c r="BN6" s="1" t="s">
        <v>74</v>
      </c>
      <c r="BO6" s="1" t="s">
        <v>74</v>
      </c>
      <c r="BP6" s="1" t="s">
        <v>74</v>
      </c>
      <c r="BQ6" s="1" t="s">
        <v>74</v>
      </c>
      <c r="BR6" s="1" t="s">
        <v>102</v>
      </c>
      <c r="BS6" s="1" t="s">
        <v>206</v>
      </c>
      <c r="BT6" s="1" t="str">
        <f>HYPERLINK("https%3A%2F%2Fwww.webofscience.com%2Fwos%2Fwoscc%2Ffull-record%2FWOS:001106601900001","View Full Record in Web of Science")</f>
        <v>View Full Record in Web of Science</v>
      </c>
    </row>
    <row r="7" ht="12.75" customHeight="1">
      <c r="A7" s="1" t="s">
        <v>72</v>
      </c>
      <c r="B7" s="1" t="s">
        <v>207</v>
      </c>
      <c r="C7" s="1" t="s">
        <v>74</v>
      </c>
      <c r="D7" s="1" t="s">
        <v>208</v>
      </c>
      <c r="E7" s="1" t="s">
        <v>74</v>
      </c>
      <c r="F7" s="1" t="s">
        <v>209</v>
      </c>
      <c r="G7" s="1" t="s">
        <v>74</v>
      </c>
      <c r="H7" s="1" t="s">
        <v>74</v>
      </c>
      <c r="I7" s="1" t="s">
        <v>210</v>
      </c>
      <c r="J7" s="1" t="s">
        <v>211</v>
      </c>
      <c r="K7" s="1" t="s">
        <v>212</v>
      </c>
      <c r="L7" s="1" t="s">
        <v>74</v>
      </c>
      <c r="M7" s="1" t="s">
        <v>80</v>
      </c>
      <c r="N7" s="1" t="s">
        <v>81</v>
      </c>
      <c r="O7" s="1" t="s">
        <v>213</v>
      </c>
      <c r="P7" s="1" t="s">
        <v>214</v>
      </c>
      <c r="Q7" s="1" t="s">
        <v>215</v>
      </c>
      <c r="R7" s="1" t="s">
        <v>74</v>
      </c>
      <c r="S7" s="1" t="s">
        <v>74</v>
      </c>
      <c r="T7" s="1" t="s">
        <v>216</v>
      </c>
      <c r="U7" s="1" t="s">
        <v>217</v>
      </c>
      <c r="V7" s="1" t="s">
        <v>218</v>
      </c>
      <c r="W7" s="1" t="s">
        <v>219</v>
      </c>
      <c r="X7" s="1" t="s">
        <v>220</v>
      </c>
      <c r="Y7" s="1" t="s">
        <v>221</v>
      </c>
      <c r="Z7" s="1" t="s">
        <v>222</v>
      </c>
      <c r="AA7" s="1" t="s">
        <v>74</v>
      </c>
      <c r="AB7" s="1" t="s">
        <v>74</v>
      </c>
      <c r="AC7" s="1" t="s">
        <v>74</v>
      </c>
      <c r="AD7" s="1" t="s">
        <v>74</v>
      </c>
      <c r="AE7" s="1" t="s">
        <v>74</v>
      </c>
      <c r="AF7" s="1" t="s">
        <v>74</v>
      </c>
      <c r="AG7" s="1">
        <v>20.0</v>
      </c>
      <c r="AH7" s="1">
        <v>15.0</v>
      </c>
      <c r="AI7" s="1">
        <v>15.0</v>
      </c>
      <c r="AJ7" s="1">
        <v>42.0</v>
      </c>
      <c r="AK7" s="1">
        <v>351.0</v>
      </c>
      <c r="AL7" s="1" t="s">
        <v>223</v>
      </c>
      <c r="AM7" s="1" t="s">
        <v>224</v>
      </c>
      <c r="AN7" s="1" t="s">
        <v>225</v>
      </c>
      <c r="AO7" s="1" t="s">
        <v>226</v>
      </c>
      <c r="AP7" s="1" t="s">
        <v>227</v>
      </c>
      <c r="AQ7" s="1" t="s">
        <v>228</v>
      </c>
      <c r="AR7" s="1" t="s">
        <v>229</v>
      </c>
      <c r="AS7" s="1" t="s">
        <v>74</v>
      </c>
      <c r="AT7" s="1" t="s">
        <v>74</v>
      </c>
      <c r="AU7" s="1">
        <v>2020.0</v>
      </c>
      <c r="AV7" s="1">
        <v>928.0</v>
      </c>
      <c r="AW7" s="1" t="s">
        <v>74</v>
      </c>
      <c r="AX7" s="1" t="s">
        <v>74</v>
      </c>
      <c r="AY7" s="1" t="s">
        <v>74</v>
      </c>
      <c r="AZ7" s="1" t="s">
        <v>74</v>
      </c>
      <c r="BA7" s="1" t="s">
        <v>74</v>
      </c>
      <c r="BB7" s="1">
        <v>971.0</v>
      </c>
      <c r="BC7" s="1">
        <v>978.0</v>
      </c>
      <c r="BD7" s="1" t="s">
        <v>74</v>
      </c>
      <c r="BE7" s="1" t="s">
        <v>230</v>
      </c>
      <c r="BF7" s="2" t="str">
        <f>HYPERLINK("http://dx.doi.org/10.1007/978-3-030-15235-2_129","http://dx.doi.org/10.1007/978-3-030-15235-2_129")</f>
        <v>http://dx.doi.org/10.1007/978-3-030-15235-2_129</v>
      </c>
      <c r="BG7" s="1" t="s">
        <v>74</v>
      </c>
      <c r="BH7" s="1" t="s">
        <v>74</v>
      </c>
      <c r="BI7" s="1">
        <v>8.0</v>
      </c>
      <c r="BJ7" s="1" t="s">
        <v>231</v>
      </c>
      <c r="BK7" s="1" t="s">
        <v>128</v>
      </c>
      <c r="BL7" s="1" t="s">
        <v>232</v>
      </c>
      <c r="BM7" s="1" t="s">
        <v>233</v>
      </c>
      <c r="BN7" s="1" t="s">
        <v>74</v>
      </c>
      <c r="BO7" s="1" t="s">
        <v>74</v>
      </c>
      <c r="BP7" s="1" t="s">
        <v>74</v>
      </c>
      <c r="BQ7" s="1" t="s">
        <v>74</v>
      </c>
      <c r="BR7" s="1" t="s">
        <v>102</v>
      </c>
      <c r="BS7" s="1" t="s">
        <v>234</v>
      </c>
      <c r="BT7" s="1" t="str">
        <f>HYPERLINK("https%3A%2F%2Fwww.webofscience.com%2Fwos%2Fwoscc%2Ffull-record%2FWOS:000490430400129","View Full Record in Web of Science")</f>
        <v>View Full Record in Web of Science</v>
      </c>
    </row>
    <row r="8" ht="12.75" customHeight="1">
      <c r="A8" s="1" t="s">
        <v>72</v>
      </c>
      <c r="B8" s="1" t="s">
        <v>235</v>
      </c>
      <c r="C8" s="1" t="s">
        <v>74</v>
      </c>
      <c r="D8" s="1" t="s">
        <v>74</v>
      </c>
      <c r="E8" s="1" t="s">
        <v>236</v>
      </c>
      <c r="F8" s="1" t="s">
        <v>237</v>
      </c>
      <c r="G8" s="1" t="s">
        <v>74</v>
      </c>
      <c r="H8" s="1" t="s">
        <v>74</v>
      </c>
      <c r="I8" s="1" t="s">
        <v>238</v>
      </c>
      <c r="J8" s="1" t="s">
        <v>239</v>
      </c>
      <c r="K8" s="1" t="s">
        <v>240</v>
      </c>
      <c r="L8" s="1" t="s">
        <v>74</v>
      </c>
      <c r="M8" s="1" t="s">
        <v>80</v>
      </c>
      <c r="N8" s="1" t="s">
        <v>81</v>
      </c>
      <c r="O8" s="1" t="s">
        <v>241</v>
      </c>
      <c r="P8" s="1" t="s">
        <v>242</v>
      </c>
      <c r="Q8" s="1" t="s">
        <v>243</v>
      </c>
      <c r="R8" s="1" t="s">
        <v>244</v>
      </c>
      <c r="S8" s="1" t="s">
        <v>74</v>
      </c>
      <c r="T8" s="1" t="s">
        <v>245</v>
      </c>
      <c r="U8" s="1" t="s">
        <v>74</v>
      </c>
      <c r="V8" s="1" t="s">
        <v>246</v>
      </c>
      <c r="W8" s="1" t="s">
        <v>247</v>
      </c>
      <c r="X8" s="1" t="s">
        <v>248</v>
      </c>
      <c r="Y8" s="1" t="s">
        <v>249</v>
      </c>
      <c r="Z8" s="1" t="s">
        <v>250</v>
      </c>
      <c r="AA8" s="1" t="s">
        <v>251</v>
      </c>
      <c r="AB8" s="1" t="s">
        <v>74</v>
      </c>
      <c r="AC8" s="1" t="s">
        <v>74</v>
      </c>
      <c r="AD8" s="1" t="s">
        <v>74</v>
      </c>
      <c r="AE8" s="1" t="s">
        <v>74</v>
      </c>
      <c r="AF8" s="1" t="s">
        <v>74</v>
      </c>
      <c r="AG8" s="1">
        <v>17.0</v>
      </c>
      <c r="AH8" s="1">
        <v>0.0</v>
      </c>
      <c r="AI8" s="1">
        <v>0.0</v>
      </c>
      <c r="AJ8" s="1">
        <v>12.0</v>
      </c>
      <c r="AK8" s="1">
        <v>12.0</v>
      </c>
      <c r="AL8" s="1" t="s">
        <v>236</v>
      </c>
      <c r="AM8" s="1" t="s">
        <v>193</v>
      </c>
      <c r="AN8" s="1" t="s">
        <v>252</v>
      </c>
      <c r="AO8" s="1" t="s">
        <v>253</v>
      </c>
      <c r="AP8" s="1" t="s">
        <v>74</v>
      </c>
      <c r="AQ8" s="1" t="s">
        <v>254</v>
      </c>
      <c r="AR8" s="1" t="s">
        <v>255</v>
      </c>
      <c r="AS8" s="1" t="s">
        <v>74</v>
      </c>
      <c r="AT8" s="1" t="s">
        <v>74</v>
      </c>
      <c r="AU8" s="1">
        <v>2024.0</v>
      </c>
      <c r="AV8" s="1" t="s">
        <v>74</v>
      </c>
      <c r="AW8" s="1" t="s">
        <v>74</v>
      </c>
      <c r="AX8" s="1" t="s">
        <v>74</v>
      </c>
      <c r="AY8" s="1" t="s">
        <v>74</v>
      </c>
      <c r="AZ8" s="1" t="s">
        <v>74</v>
      </c>
      <c r="BA8" s="1" t="s">
        <v>74</v>
      </c>
      <c r="BB8" s="1">
        <v>538.0</v>
      </c>
      <c r="BC8" s="1">
        <v>542.0</v>
      </c>
      <c r="BD8" s="1" t="s">
        <v>74</v>
      </c>
      <c r="BE8" s="1" t="s">
        <v>256</v>
      </c>
      <c r="BF8" s="2" t="str">
        <f>HYPERLINK("http://dx.doi.org/10.1109/ICAIBD62003.2024.10604496","http://dx.doi.org/10.1109/ICAIBD62003.2024.10604496")</f>
        <v>http://dx.doi.org/10.1109/ICAIBD62003.2024.10604496</v>
      </c>
      <c r="BG8" s="1" t="s">
        <v>74</v>
      </c>
      <c r="BH8" s="1" t="s">
        <v>74</v>
      </c>
      <c r="BI8" s="1">
        <v>5.0</v>
      </c>
      <c r="BJ8" s="1" t="s">
        <v>257</v>
      </c>
      <c r="BK8" s="1" t="s">
        <v>128</v>
      </c>
      <c r="BL8" s="1" t="s">
        <v>232</v>
      </c>
      <c r="BM8" s="1" t="s">
        <v>258</v>
      </c>
      <c r="BN8" s="1" t="s">
        <v>74</v>
      </c>
      <c r="BO8" s="1" t="s">
        <v>74</v>
      </c>
      <c r="BP8" s="1" t="s">
        <v>74</v>
      </c>
      <c r="BQ8" s="1" t="s">
        <v>74</v>
      </c>
      <c r="BR8" s="1" t="s">
        <v>102</v>
      </c>
      <c r="BS8" s="1" t="s">
        <v>259</v>
      </c>
      <c r="BT8" s="1" t="str">
        <f>HYPERLINK("https%3A%2F%2Fwww.webofscience.com%2Fwos%2Fwoscc%2Ffull-record%2FWOS:001291266000088","View Full Record in Web of Science")</f>
        <v>View Full Record in Web of Science</v>
      </c>
    </row>
    <row r="9" ht="12.75" customHeight="1">
      <c r="A9" s="1" t="s">
        <v>132</v>
      </c>
      <c r="B9" s="1" t="s">
        <v>260</v>
      </c>
      <c r="C9" s="1" t="s">
        <v>74</v>
      </c>
      <c r="D9" s="1" t="s">
        <v>74</v>
      </c>
      <c r="E9" s="1" t="s">
        <v>74</v>
      </c>
      <c r="F9" s="1" t="s">
        <v>261</v>
      </c>
      <c r="G9" s="1" t="s">
        <v>74</v>
      </c>
      <c r="H9" s="1" t="s">
        <v>74</v>
      </c>
      <c r="I9" s="1" t="s">
        <v>262</v>
      </c>
      <c r="J9" s="1" t="s">
        <v>263</v>
      </c>
      <c r="K9" s="1" t="s">
        <v>74</v>
      </c>
      <c r="L9" s="1" t="s">
        <v>74</v>
      </c>
      <c r="M9" s="1" t="s">
        <v>80</v>
      </c>
      <c r="N9" s="1" t="s">
        <v>136</v>
      </c>
      <c r="O9" s="1" t="s">
        <v>74</v>
      </c>
      <c r="P9" s="1" t="s">
        <v>74</v>
      </c>
      <c r="Q9" s="1" t="s">
        <v>74</v>
      </c>
      <c r="R9" s="1" t="s">
        <v>74</v>
      </c>
      <c r="S9" s="1" t="s">
        <v>74</v>
      </c>
      <c r="T9" s="1" t="s">
        <v>264</v>
      </c>
      <c r="U9" s="1" t="s">
        <v>265</v>
      </c>
      <c r="V9" s="1" t="s">
        <v>266</v>
      </c>
      <c r="W9" s="1" t="s">
        <v>267</v>
      </c>
      <c r="X9" s="1" t="s">
        <v>268</v>
      </c>
      <c r="Y9" s="1" t="s">
        <v>269</v>
      </c>
      <c r="Z9" s="1" t="s">
        <v>270</v>
      </c>
      <c r="AA9" s="1" t="s">
        <v>74</v>
      </c>
      <c r="AB9" s="1" t="s">
        <v>271</v>
      </c>
      <c r="AC9" s="1" t="s">
        <v>272</v>
      </c>
      <c r="AD9" s="1" t="s">
        <v>273</v>
      </c>
      <c r="AE9" s="1" t="s">
        <v>274</v>
      </c>
      <c r="AF9" s="1" t="s">
        <v>74</v>
      </c>
      <c r="AG9" s="1">
        <v>101.0</v>
      </c>
      <c r="AH9" s="1">
        <v>145.0</v>
      </c>
      <c r="AI9" s="1">
        <v>154.0</v>
      </c>
      <c r="AJ9" s="1">
        <v>303.0</v>
      </c>
      <c r="AK9" s="1">
        <v>1761.0</v>
      </c>
      <c r="AL9" s="1" t="s">
        <v>275</v>
      </c>
      <c r="AM9" s="1" t="s">
        <v>276</v>
      </c>
      <c r="AN9" s="1" t="s">
        <v>277</v>
      </c>
      <c r="AO9" s="1" t="s">
        <v>74</v>
      </c>
      <c r="AP9" s="1" t="s">
        <v>278</v>
      </c>
      <c r="AQ9" s="1" t="s">
        <v>74</v>
      </c>
      <c r="AR9" s="1" t="s">
        <v>279</v>
      </c>
      <c r="AS9" s="1" t="s">
        <v>280</v>
      </c>
      <c r="AT9" s="1" t="s">
        <v>74</v>
      </c>
      <c r="AU9" s="1">
        <v>2021.0</v>
      </c>
      <c r="AV9" s="1">
        <v>4.0</v>
      </c>
      <c r="AW9" s="1" t="s">
        <v>74</v>
      </c>
      <c r="AX9" s="1" t="s">
        <v>74</v>
      </c>
      <c r="AY9" s="1" t="s">
        <v>74</v>
      </c>
      <c r="AZ9" s="1" t="s">
        <v>74</v>
      </c>
      <c r="BA9" s="1" t="s">
        <v>74</v>
      </c>
      <c r="BB9" s="1" t="s">
        <v>74</v>
      </c>
      <c r="BC9" s="1" t="s">
        <v>74</v>
      </c>
      <c r="BD9" s="1">
        <v>622364.0</v>
      </c>
      <c r="BE9" s="1" t="s">
        <v>281</v>
      </c>
      <c r="BF9" s="2" t="str">
        <f>HYPERLINK("http://dx.doi.org/10.3389/frai.2021.622364","http://dx.doi.org/10.3389/frai.2021.622364")</f>
        <v>http://dx.doi.org/10.3389/frai.2021.622364</v>
      </c>
      <c r="BG9" s="1" t="s">
        <v>74</v>
      </c>
      <c r="BH9" s="1" t="s">
        <v>74</v>
      </c>
      <c r="BI9" s="1">
        <v>13.0</v>
      </c>
      <c r="BJ9" s="1" t="s">
        <v>282</v>
      </c>
      <c r="BK9" s="1" t="s">
        <v>172</v>
      </c>
      <c r="BL9" s="1" t="s">
        <v>232</v>
      </c>
      <c r="BM9" s="1" t="s">
        <v>283</v>
      </c>
      <c r="BN9" s="1">
        <v>3.398199E7</v>
      </c>
      <c r="BO9" s="1" t="s">
        <v>284</v>
      </c>
      <c r="BP9" s="1" t="s">
        <v>74</v>
      </c>
      <c r="BQ9" s="1" t="s">
        <v>74</v>
      </c>
      <c r="BR9" s="1" t="s">
        <v>102</v>
      </c>
      <c r="BS9" s="1" t="s">
        <v>285</v>
      </c>
      <c r="BT9" s="1" t="str">
        <f>HYPERLINK("https%3A%2F%2Fwww.webofscience.com%2Fwos%2Fwoscc%2Ffull-record%2FWOS:000751704800034","View Full Record in Web of Science")</f>
        <v>View Full Record in Web of Science</v>
      </c>
    </row>
    <row r="10" ht="12.75" customHeight="1">
      <c r="A10" s="1" t="s">
        <v>132</v>
      </c>
      <c r="B10" s="1" t="s">
        <v>286</v>
      </c>
      <c r="C10" s="1" t="s">
        <v>74</v>
      </c>
      <c r="D10" s="1" t="s">
        <v>74</v>
      </c>
      <c r="E10" s="1" t="s">
        <v>74</v>
      </c>
      <c r="F10" s="1" t="s">
        <v>287</v>
      </c>
      <c r="G10" s="1" t="s">
        <v>74</v>
      </c>
      <c r="H10" s="1" t="s">
        <v>74</v>
      </c>
      <c r="I10" s="1" t="s">
        <v>288</v>
      </c>
      <c r="J10" s="1" t="s">
        <v>289</v>
      </c>
      <c r="K10" s="1" t="s">
        <v>74</v>
      </c>
      <c r="L10" s="1" t="s">
        <v>74</v>
      </c>
      <c r="M10" s="1" t="s">
        <v>80</v>
      </c>
      <c r="N10" s="1" t="s">
        <v>136</v>
      </c>
      <c r="O10" s="1" t="s">
        <v>74</v>
      </c>
      <c r="P10" s="1" t="s">
        <v>74</v>
      </c>
      <c r="Q10" s="1" t="s">
        <v>74</v>
      </c>
      <c r="R10" s="1" t="s">
        <v>74</v>
      </c>
      <c r="S10" s="1" t="s">
        <v>74</v>
      </c>
      <c r="T10" s="1" t="s">
        <v>290</v>
      </c>
      <c r="U10" s="1" t="s">
        <v>74</v>
      </c>
      <c r="V10" s="1" t="s">
        <v>291</v>
      </c>
      <c r="W10" s="1" t="s">
        <v>292</v>
      </c>
      <c r="X10" s="1" t="s">
        <v>74</v>
      </c>
      <c r="Y10" s="1" t="s">
        <v>293</v>
      </c>
      <c r="Z10" s="1" t="s">
        <v>294</v>
      </c>
      <c r="AA10" s="1" t="s">
        <v>74</v>
      </c>
      <c r="AB10" s="1" t="s">
        <v>295</v>
      </c>
      <c r="AC10" s="1" t="s">
        <v>74</v>
      </c>
      <c r="AD10" s="1" t="s">
        <v>74</v>
      </c>
      <c r="AE10" s="1" t="s">
        <v>74</v>
      </c>
      <c r="AF10" s="1" t="s">
        <v>74</v>
      </c>
      <c r="AG10" s="1">
        <v>11.0</v>
      </c>
      <c r="AH10" s="1">
        <v>0.0</v>
      </c>
      <c r="AI10" s="1">
        <v>0.0</v>
      </c>
      <c r="AJ10" s="1">
        <v>5.0</v>
      </c>
      <c r="AK10" s="1">
        <v>15.0</v>
      </c>
      <c r="AL10" s="1" t="s">
        <v>296</v>
      </c>
      <c r="AM10" s="1" t="s">
        <v>297</v>
      </c>
      <c r="AN10" s="1" t="s">
        <v>298</v>
      </c>
      <c r="AO10" s="1" t="s">
        <v>299</v>
      </c>
      <c r="AP10" s="1" t="s">
        <v>300</v>
      </c>
      <c r="AQ10" s="1" t="s">
        <v>74</v>
      </c>
      <c r="AR10" s="1" t="s">
        <v>289</v>
      </c>
      <c r="AS10" s="1" t="s">
        <v>301</v>
      </c>
      <c r="AT10" s="1" t="s">
        <v>302</v>
      </c>
      <c r="AU10" s="1">
        <v>2023.0</v>
      </c>
      <c r="AV10" s="1">
        <v>56.0</v>
      </c>
      <c r="AW10" s="1">
        <v>8.0</v>
      </c>
      <c r="AX10" s="1" t="s">
        <v>74</v>
      </c>
      <c r="AY10" s="1" t="s">
        <v>74</v>
      </c>
      <c r="AZ10" s="1" t="s">
        <v>74</v>
      </c>
      <c r="BA10" s="1" t="s">
        <v>74</v>
      </c>
      <c r="BB10" s="1">
        <v>20.0</v>
      </c>
      <c r="BC10" s="1">
        <v>27.0</v>
      </c>
      <c r="BD10" s="1" t="s">
        <v>74</v>
      </c>
      <c r="BE10" s="1" t="s">
        <v>303</v>
      </c>
      <c r="BF10" s="2" t="str">
        <f>HYPERLINK("http://dx.doi.org/10.1109/MC.2022.3231551","http://dx.doi.org/10.1109/MC.2022.3231551")</f>
        <v>http://dx.doi.org/10.1109/MC.2022.3231551</v>
      </c>
      <c r="BG10" s="1" t="s">
        <v>74</v>
      </c>
      <c r="BH10" s="1" t="s">
        <v>74</v>
      </c>
      <c r="BI10" s="1">
        <v>8.0</v>
      </c>
      <c r="BJ10" s="1" t="s">
        <v>304</v>
      </c>
      <c r="BK10" s="1" t="s">
        <v>149</v>
      </c>
      <c r="BL10" s="1" t="s">
        <v>232</v>
      </c>
      <c r="BM10" s="1" t="s">
        <v>305</v>
      </c>
      <c r="BN10" s="1" t="s">
        <v>74</v>
      </c>
      <c r="BO10" s="1" t="s">
        <v>306</v>
      </c>
      <c r="BP10" s="1" t="s">
        <v>74</v>
      </c>
      <c r="BQ10" s="1" t="s">
        <v>74</v>
      </c>
      <c r="BR10" s="1" t="s">
        <v>102</v>
      </c>
      <c r="BS10" s="1" t="s">
        <v>307</v>
      </c>
      <c r="BT10" s="1" t="str">
        <f>HYPERLINK("https%3A%2F%2Fwww.webofscience.com%2Fwos%2Fwoscc%2Ffull-record%2FWOS:001055084500005","View Full Record in Web of Science")</f>
        <v>View Full Record in Web of Science</v>
      </c>
    </row>
    <row r="11" ht="12.75" customHeight="1">
      <c r="A11" s="1" t="s">
        <v>132</v>
      </c>
      <c r="B11" s="1" t="s">
        <v>308</v>
      </c>
      <c r="C11" s="1" t="s">
        <v>74</v>
      </c>
      <c r="D11" s="1" t="s">
        <v>74</v>
      </c>
      <c r="E11" s="1" t="s">
        <v>74</v>
      </c>
      <c r="F11" s="1" t="s">
        <v>309</v>
      </c>
      <c r="G11" s="1" t="s">
        <v>74</v>
      </c>
      <c r="H11" s="1" t="s">
        <v>74</v>
      </c>
      <c r="I11" s="1" t="s">
        <v>310</v>
      </c>
      <c r="J11" s="1" t="s">
        <v>311</v>
      </c>
      <c r="K11" s="1" t="s">
        <v>74</v>
      </c>
      <c r="L11" s="1" t="s">
        <v>74</v>
      </c>
      <c r="M11" s="1" t="s">
        <v>80</v>
      </c>
      <c r="N11" s="1" t="s">
        <v>136</v>
      </c>
      <c r="O11" s="1" t="s">
        <v>74</v>
      </c>
      <c r="P11" s="1" t="s">
        <v>74</v>
      </c>
      <c r="Q11" s="1" t="s">
        <v>74</v>
      </c>
      <c r="R11" s="1" t="s">
        <v>74</v>
      </c>
      <c r="S11" s="1" t="s">
        <v>74</v>
      </c>
      <c r="T11" s="1" t="s">
        <v>312</v>
      </c>
      <c r="U11" s="1" t="s">
        <v>313</v>
      </c>
      <c r="V11" s="1" t="s">
        <v>314</v>
      </c>
      <c r="W11" s="1" t="s">
        <v>315</v>
      </c>
      <c r="X11" s="1" t="s">
        <v>316</v>
      </c>
      <c r="Y11" s="1" t="s">
        <v>317</v>
      </c>
      <c r="Z11" s="1" t="s">
        <v>318</v>
      </c>
      <c r="AA11" s="1" t="s">
        <v>319</v>
      </c>
      <c r="AB11" s="1" t="s">
        <v>320</v>
      </c>
      <c r="AC11" s="1" t="s">
        <v>74</v>
      </c>
      <c r="AD11" s="1" t="s">
        <v>74</v>
      </c>
      <c r="AE11" s="1" t="s">
        <v>74</v>
      </c>
      <c r="AF11" s="1" t="s">
        <v>74</v>
      </c>
      <c r="AG11" s="1">
        <v>54.0</v>
      </c>
      <c r="AH11" s="1">
        <v>23.0</v>
      </c>
      <c r="AI11" s="1">
        <v>23.0</v>
      </c>
      <c r="AJ11" s="1">
        <v>96.0</v>
      </c>
      <c r="AK11" s="1">
        <v>331.0</v>
      </c>
      <c r="AL11" s="1" t="s">
        <v>321</v>
      </c>
      <c r="AM11" s="1" t="s">
        <v>322</v>
      </c>
      <c r="AN11" s="1" t="s">
        <v>323</v>
      </c>
      <c r="AO11" s="1" t="s">
        <v>324</v>
      </c>
      <c r="AP11" s="1" t="s">
        <v>325</v>
      </c>
      <c r="AQ11" s="1" t="s">
        <v>74</v>
      </c>
      <c r="AR11" s="1" t="s">
        <v>326</v>
      </c>
      <c r="AS11" s="1" t="s">
        <v>327</v>
      </c>
      <c r="AT11" s="1" t="s">
        <v>328</v>
      </c>
      <c r="AU11" s="1">
        <v>2023.0</v>
      </c>
      <c r="AV11" s="1">
        <v>49.0</v>
      </c>
      <c r="AW11" s="1" t="s">
        <v>74</v>
      </c>
      <c r="AX11" s="1" t="s">
        <v>74</v>
      </c>
      <c r="AY11" s="1" t="s">
        <v>74</v>
      </c>
      <c r="AZ11" s="1" t="s">
        <v>74</v>
      </c>
      <c r="BA11" s="1" t="s">
        <v>74</v>
      </c>
      <c r="BB11" s="1" t="s">
        <v>74</v>
      </c>
      <c r="BC11" s="1" t="s">
        <v>74</v>
      </c>
      <c r="BD11" s="1">
        <v>100619.0</v>
      </c>
      <c r="BE11" s="1" t="s">
        <v>329</v>
      </c>
      <c r="BF11" s="2" t="str">
        <f>HYPERLINK("http://dx.doi.org/10.1016/j.accinf.2023.100619","http://dx.doi.org/10.1016/j.accinf.2023.100619")</f>
        <v>http://dx.doi.org/10.1016/j.accinf.2023.100619</v>
      </c>
      <c r="BG11" s="1" t="s">
        <v>74</v>
      </c>
      <c r="BH11" s="1" t="s">
        <v>330</v>
      </c>
      <c r="BI11" s="1">
        <v>19.0</v>
      </c>
      <c r="BJ11" s="1" t="s">
        <v>331</v>
      </c>
      <c r="BK11" s="1" t="s">
        <v>203</v>
      </c>
      <c r="BL11" s="1" t="s">
        <v>204</v>
      </c>
      <c r="BM11" s="1" t="s">
        <v>332</v>
      </c>
      <c r="BN11" s="1" t="s">
        <v>74</v>
      </c>
      <c r="BO11" s="1" t="s">
        <v>74</v>
      </c>
      <c r="BP11" s="1" t="s">
        <v>74</v>
      </c>
      <c r="BQ11" s="1" t="s">
        <v>74</v>
      </c>
      <c r="BR11" s="1" t="s">
        <v>102</v>
      </c>
      <c r="BS11" s="1" t="s">
        <v>333</v>
      </c>
      <c r="BT11" s="1" t="str">
        <f>HYPERLINK("https%3A%2F%2Fwww.webofscience.com%2Fwos%2Fwoscc%2Ffull-record%2FWOS:000953690600001","View Full Record in Web of Science")</f>
        <v>View Full Record in Web of Science</v>
      </c>
    </row>
    <row r="12" ht="12.75" customHeight="1">
      <c r="A12" s="1" t="s">
        <v>132</v>
      </c>
      <c r="B12" s="1" t="s">
        <v>334</v>
      </c>
      <c r="C12" s="1" t="s">
        <v>74</v>
      </c>
      <c r="D12" s="1" t="s">
        <v>74</v>
      </c>
      <c r="E12" s="1" t="s">
        <v>74</v>
      </c>
      <c r="F12" s="1" t="s">
        <v>335</v>
      </c>
      <c r="G12" s="1" t="s">
        <v>74</v>
      </c>
      <c r="H12" s="1" t="s">
        <v>74</v>
      </c>
      <c r="I12" s="1" t="s">
        <v>336</v>
      </c>
      <c r="J12" s="1" t="s">
        <v>337</v>
      </c>
      <c r="K12" s="1" t="s">
        <v>74</v>
      </c>
      <c r="L12" s="1" t="s">
        <v>74</v>
      </c>
      <c r="M12" s="1" t="s">
        <v>80</v>
      </c>
      <c r="N12" s="1" t="s">
        <v>338</v>
      </c>
      <c r="O12" s="1" t="s">
        <v>74</v>
      </c>
      <c r="P12" s="1" t="s">
        <v>74</v>
      </c>
      <c r="Q12" s="1" t="s">
        <v>74</v>
      </c>
      <c r="R12" s="1" t="s">
        <v>74</v>
      </c>
      <c r="S12" s="1" t="s">
        <v>74</v>
      </c>
      <c r="T12" s="1" t="s">
        <v>339</v>
      </c>
      <c r="U12" s="1" t="s">
        <v>340</v>
      </c>
      <c r="V12" s="1" t="s">
        <v>341</v>
      </c>
      <c r="W12" s="1" t="s">
        <v>342</v>
      </c>
      <c r="X12" s="1" t="s">
        <v>343</v>
      </c>
      <c r="Y12" s="1" t="s">
        <v>344</v>
      </c>
      <c r="Z12" s="1" t="s">
        <v>345</v>
      </c>
      <c r="AA12" s="1" t="s">
        <v>346</v>
      </c>
      <c r="AB12" s="1" t="s">
        <v>347</v>
      </c>
      <c r="AC12" s="1" t="s">
        <v>74</v>
      </c>
      <c r="AD12" s="1" t="s">
        <v>74</v>
      </c>
      <c r="AE12" s="1" t="s">
        <v>74</v>
      </c>
      <c r="AF12" s="1" t="s">
        <v>74</v>
      </c>
      <c r="AG12" s="1">
        <v>142.0</v>
      </c>
      <c r="AH12" s="1">
        <v>45.0</v>
      </c>
      <c r="AI12" s="1">
        <v>45.0</v>
      </c>
      <c r="AJ12" s="1">
        <v>145.0</v>
      </c>
      <c r="AK12" s="1">
        <v>521.0</v>
      </c>
      <c r="AL12" s="1" t="s">
        <v>348</v>
      </c>
      <c r="AM12" s="1" t="s">
        <v>349</v>
      </c>
      <c r="AN12" s="1" t="s">
        <v>350</v>
      </c>
      <c r="AO12" s="1" t="s">
        <v>351</v>
      </c>
      <c r="AP12" s="1" t="s">
        <v>352</v>
      </c>
      <c r="AQ12" s="1" t="s">
        <v>74</v>
      </c>
      <c r="AR12" s="1" t="s">
        <v>353</v>
      </c>
      <c r="AS12" s="1" t="s">
        <v>354</v>
      </c>
      <c r="AT12" s="1" t="s">
        <v>355</v>
      </c>
      <c r="AU12" s="1">
        <v>2023.0</v>
      </c>
      <c r="AV12" s="1" t="s">
        <v>74</v>
      </c>
      <c r="AW12" s="1" t="s">
        <v>74</v>
      </c>
      <c r="AX12" s="1" t="s">
        <v>74</v>
      </c>
      <c r="AY12" s="1" t="s">
        <v>74</v>
      </c>
      <c r="AZ12" s="1" t="s">
        <v>74</v>
      </c>
      <c r="BA12" s="1" t="s">
        <v>74</v>
      </c>
      <c r="BB12" s="1" t="s">
        <v>74</v>
      </c>
      <c r="BC12" s="1" t="s">
        <v>74</v>
      </c>
      <c r="BD12" s="1" t="s">
        <v>74</v>
      </c>
      <c r="BE12" s="1" t="s">
        <v>356</v>
      </c>
      <c r="BF12" s="2" t="str">
        <f>HYPERLINK("http://dx.doi.org/10.1177/02666669231200628","http://dx.doi.org/10.1177/02666669231200628")</f>
        <v>http://dx.doi.org/10.1177/02666669231200628</v>
      </c>
      <c r="BG12" s="1" t="s">
        <v>74</v>
      </c>
      <c r="BH12" s="1" t="s">
        <v>357</v>
      </c>
      <c r="BI12" s="1">
        <v>19.0</v>
      </c>
      <c r="BJ12" s="1" t="s">
        <v>358</v>
      </c>
      <c r="BK12" s="1" t="s">
        <v>203</v>
      </c>
      <c r="BL12" s="1" t="s">
        <v>358</v>
      </c>
      <c r="BM12" s="1" t="s">
        <v>359</v>
      </c>
      <c r="BN12" s="1" t="s">
        <v>74</v>
      </c>
      <c r="BO12" s="1" t="s">
        <v>74</v>
      </c>
      <c r="BP12" s="1" t="s">
        <v>74</v>
      </c>
      <c r="BQ12" s="1" t="s">
        <v>74</v>
      </c>
      <c r="BR12" s="1" t="s">
        <v>102</v>
      </c>
      <c r="BS12" s="1" t="s">
        <v>360</v>
      </c>
      <c r="BT12" s="1" t="str">
        <f>HYPERLINK("https%3A%2F%2Fwww.webofscience.com%2Fwos%2Fwoscc%2Ffull-record%2FWOS:001066552100001","View Full Record in Web of Science")</f>
        <v>View Full Record in Web of Science</v>
      </c>
    </row>
    <row r="13" ht="12.75" customHeight="1">
      <c r="A13" s="1" t="s">
        <v>72</v>
      </c>
      <c r="B13" s="1" t="s">
        <v>361</v>
      </c>
      <c r="C13" s="1" t="s">
        <v>74</v>
      </c>
      <c r="D13" s="1" t="s">
        <v>362</v>
      </c>
      <c r="E13" s="1" t="s">
        <v>74</v>
      </c>
      <c r="F13" s="1" t="s">
        <v>363</v>
      </c>
      <c r="G13" s="1" t="s">
        <v>74</v>
      </c>
      <c r="H13" s="1" t="s">
        <v>74</v>
      </c>
      <c r="I13" s="1" t="s">
        <v>364</v>
      </c>
      <c r="J13" s="1" t="s">
        <v>365</v>
      </c>
      <c r="K13" s="1" t="s">
        <v>74</v>
      </c>
      <c r="L13" s="1" t="s">
        <v>74</v>
      </c>
      <c r="M13" s="1" t="s">
        <v>80</v>
      </c>
      <c r="N13" s="1" t="s">
        <v>81</v>
      </c>
      <c r="O13" s="1" t="s">
        <v>366</v>
      </c>
      <c r="P13" s="1" t="s">
        <v>367</v>
      </c>
      <c r="Q13" s="1" t="s">
        <v>368</v>
      </c>
      <c r="R13" s="1" t="s">
        <v>74</v>
      </c>
      <c r="S13" s="1" t="s">
        <v>369</v>
      </c>
      <c r="T13" s="1" t="s">
        <v>370</v>
      </c>
      <c r="U13" s="1" t="s">
        <v>74</v>
      </c>
      <c r="V13" s="1" t="s">
        <v>371</v>
      </c>
      <c r="W13" s="1" t="s">
        <v>372</v>
      </c>
      <c r="X13" s="1" t="s">
        <v>373</v>
      </c>
      <c r="Y13" s="1" t="s">
        <v>374</v>
      </c>
      <c r="Z13" s="1" t="s">
        <v>375</v>
      </c>
      <c r="AA13" s="1" t="s">
        <v>74</v>
      </c>
      <c r="AB13" s="1" t="s">
        <v>74</v>
      </c>
      <c r="AC13" s="1" t="s">
        <v>74</v>
      </c>
      <c r="AD13" s="1" t="s">
        <v>74</v>
      </c>
      <c r="AE13" s="1" t="s">
        <v>74</v>
      </c>
      <c r="AF13" s="1" t="s">
        <v>74</v>
      </c>
      <c r="AG13" s="1">
        <v>11.0</v>
      </c>
      <c r="AH13" s="1">
        <v>0.0</v>
      </c>
      <c r="AI13" s="1">
        <v>0.0</v>
      </c>
      <c r="AJ13" s="1">
        <v>3.0</v>
      </c>
      <c r="AK13" s="1">
        <v>34.0</v>
      </c>
      <c r="AL13" s="1" t="s">
        <v>122</v>
      </c>
      <c r="AM13" s="1" t="s">
        <v>123</v>
      </c>
      <c r="AN13" s="1" t="s">
        <v>124</v>
      </c>
      <c r="AO13" s="1" t="s">
        <v>74</v>
      </c>
      <c r="AP13" s="1" t="s">
        <v>74</v>
      </c>
      <c r="AQ13" s="1" t="s">
        <v>376</v>
      </c>
      <c r="AR13" s="1" t="s">
        <v>74</v>
      </c>
      <c r="AS13" s="1" t="s">
        <v>74</v>
      </c>
      <c r="AT13" s="1" t="s">
        <v>74</v>
      </c>
      <c r="AU13" s="1">
        <v>2019.0</v>
      </c>
      <c r="AV13" s="1" t="s">
        <v>74</v>
      </c>
      <c r="AW13" s="1" t="s">
        <v>74</v>
      </c>
      <c r="AX13" s="1" t="s">
        <v>74</v>
      </c>
      <c r="AY13" s="1" t="s">
        <v>74</v>
      </c>
      <c r="AZ13" s="1" t="s">
        <v>74</v>
      </c>
      <c r="BA13" s="1" t="s">
        <v>74</v>
      </c>
      <c r="BB13" s="1">
        <v>477.0</v>
      </c>
      <c r="BC13" s="1">
        <v>480.0</v>
      </c>
      <c r="BD13" s="1" t="s">
        <v>74</v>
      </c>
      <c r="BE13" s="1" t="s">
        <v>377</v>
      </c>
      <c r="BF13" s="2" t="str">
        <f>HYPERLINK("http://dx.doi.org/10.34190/ECIAIR.19.010","http://dx.doi.org/10.34190/ECIAIR.19.010")</f>
        <v>http://dx.doi.org/10.34190/ECIAIR.19.010</v>
      </c>
      <c r="BG13" s="1" t="s">
        <v>74</v>
      </c>
      <c r="BH13" s="1" t="s">
        <v>74</v>
      </c>
      <c r="BI13" s="1">
        <v>4.0</v>
      </c>
      <c r="BJ13" s="1" t="s">
        <v>127</v>
      </c>
      <c r="BK13" s="1" t="s">
        <v>128</v>
      </c>
      <c r="BL13" s="1" t="s">
        <v>129</v>
      </c>
      <c r="BM13" s="1" t="s">
        <v>378</v>
      </c>
      <c r="BN13" s="1" t="s">
        <v>74</v>
      </c>
      <c r="BO13" s="1" t="s">
        <v>74</v>
      </c>
      <c r="BP13" s="1" t="s">
        <v>74</v>
      </c>
      <c r="BQ13" s="1" t="s">
        <v>74</v>
      </c>
      <c r="BR13" s="1" t="s">
        <v>102</v>
      </c>
      <c r="BS13" s="1" t="s">
        <v>379</v>
      </c>
      <c r="BT13" s="1" t="str">
        <f>HYPERLINK("https%3A%2F%2Fwww.webofscience.com%2Fwos%2Fwoscc%2Ffull-record%2FWOS:000539633500055","View Full Record in Web of Science")</f>
        <v>View Full Record in Web of Science</v>
      </c>
    </row>
    <row r="14" ht="12.75" customHeight="1">
      <c r="A14" s="1" t="s">
        <v>72</v>
      </c>
      <c r="B14" s="1" t="s">
        <v>380</v>
      </c>
      <c r="C14" s="1" t="s">
        <v>74</v>
      </c>
      <c r="D14" s="1" t="s">
        <v>381</v>
      </c>
      <c r="E14" s="1" t="s">
        <v>74</v>
      </c>
      <c r="F14" s="1" t="s">
        <v>382</v>
      </c>
      <c r="G14" s="1" t="s">
        <v>74</v>
      </c>
      <c r="H14" s="1" t="s">
        <v>74</v>
      </c>
      <c r="I14" s="1" t="s">
        <v>383</v>
      </c>
      <c r="J14" s="1" t="s">
        <v>384</v>
      </c>
      <c r="K14" s="1" t="s">
        <v>385</v>
      </c>
      <c r="L14" s="1" t="s">
        <v>74</v>
      </c>
      <c r="M14" s="1" t="s">
        <v>80</v>
      </c>
      <c r="N14" s="1" t="s">
        <v>81</v>
      </c>
      <c r="O14" s="1" t="s">
        <v>386</v>
      </c>
      <c r="P14" s="1" t="s">
        <v>387</v>
      </c>
      <c r="Q14" s="1" t="s">
        <v>388</v>
      </c>
      <c r="R14" s="1" t="s">
        <v>74</v>
      </c>
      <c r="S14" s="1" t="s">
        <v>389</v>
      </c>
      <c r="T14" s="1" t="s">
        <v>390</v>
      </c>
      <c r="U14" s="1" t="s">
        <v>391</v>
      </c>
      <c r="V14" s="1" t="s">
        <v>392</v>
      </c>
      <c r="W14" s="1" t="s">
        <v>393</v>
      </c>
      <c r="X14" s="1" t="s">
        <v>394</v>
      </c>
      <c r="Y14" s="1" t="s">
        <v>395</v>
      </c>
      <c r="Z14" s="1" t="s">
        <v>396</v>
      </c>
      <c r="AA14" s="1" t="s">
        <v>397</v>
      </c>
      <c r="AB14" s="1" t="s">
        <v>398</v>
      </c>
      <c r="AC14" s="1" t="s">
        <v>74</v>
      </c>
      <c r="AD14" s="1" t="s">
        <v>74</v>
      </c>
      <c r="AE14" s="1" t="s">
        <v>74</v>
      </c>
      <c r="AF14" s="1" t="s">
        <v>74</v>
      </c>
      <c r="AG14" s="1">
        <v>32.0</v>
      </c>
      <c r="AH14" s="1">
        <v>6.0</v>
      </c>
      <c r="AI14" s="1">
        <v>6.0</v>
      </c>
      <c r="AJ14" s="1">
        <v>5.0</v>
      </c>
      <c r="AK14" s="1">
        <v>42.0</v>
      </c>
      <c r="AL14" s="1" t="s">
        <v>223</v>
      </c>
      <c r="AM14" s="1" t="s">
        <v>224</v>
      </c>
      <c r="AN14" s="1" t="s">
        <v>225</v>
      </c>
      <c r="AO14" s="1" t="s">
        <v>399</v>
      </c>
      <c r="AP14" s="1" t="s">
        <v>400</v>
      </c>
      <c r="AQ14" s="1" t="s">
        <v>401</v>
      </c>
      <c r="AR14" s="1" t="s">
        <v>402</v>
      </c>
      <c r="AS14" s="1" t="s">
        <v>74</v>
      </c>
      <c r="AT14" s="1" t="s">
        <v>74</v>
      </c>
      <c r="AU14" s="1">
        <v>2020.0</v>
      </c>
      <c r="AV14" s="1">
        <v>377.0</v>
      </c>
      <c r="AW14" s="1" t="s">
        <v>74</v>
      </c>
      <c r="AX14" s="1" t="s">
        <v>74</v>
      </c>
      <c r="AY14" s="1" t="s">
        <v>74</v>
      </c>
      <c r="AZ14" s="1" t="s">
        <v>74</v>
      </c>
      <c r="BA14" s="1" t="s">
        <v>74</v>
      </c>
      <c r="BB14" s="1">
        <v>202.0</v>
      </c>
      <c r="BC14" s="1">
        <v>213.0</v>
      </c>
      <c r="BD14" s="1" t="s">
        <v>74</v>
      </c>
      <c r="BE14" s="1" t="s">
        <v>403</v>
      </c>
      <c r="BF14" s="2" t="str">
        <f>HYPERLINK("http://dx.doi.org/10.1007/978-3-030-38724-2_15","http://dx.doi.org/10.1007/978-3-030-38724-2_15")</f>
        <v>http://dx.doi.org/10.1007/978-3-030-38724-2_15</v>
      </c>
      <c r="BG14" s="1" t="s">
        <v>74</v>
      </c>
      <c r="BH14" s="1" t="s">
        <v>74</v>
      </c>
      <c r="BI14" s="1">
        <v>12.0</v>
      </c>
      <c r="BJ14" s="1" t="s">
        <v>404</v>
      </c>
      <c r="BK14" s="1" t="s">
        <v>405</v>
      </c>
      <c r="BL14" s="1" t="s">
        <v>406</v>
      </c>
      <c r="BM14" s="1" t="s">
        <v>407</v>
      </c>
      <c r="BN14" s="1" t="s">
        <v>74</v>
      </c>
      <c r="BO14" s="1" t="s">
        <v>74</v>
      </c>
      <c r="BP14" s="1" t="s">
        <v>74</v>
      </c>
      <c r="BQ14" s="1" t="s">
        <v>74</v>
      </c>
      <c r="BR14" s="1" t="s">
        <v>102</v>
      </c>
      <c r="BS14" s="1" t="s">
        <v>408</v>
      </c>
      <c r="BT14" s="1" t="str">
        <f>HYPERLINK("https%3A%2F%2Fwww.webofscience.com%2Fwos%2Fwoscc%2Ffull-record%2FWOS:000654630700015","View Full Record in Web of Science")</f>
        <v>View Full Record in Web of Science</v>
      </c>
    </row>
    <row r="15" ht="12.75" customHeight="1">
      <c r="A15" s="1" t="s">
        <v>72</v>
      </c>
      <c r="B15" s="1" t="s">
        <v>409</v>
      </c>
      <c r="C15" s="1" t="s">
        <v>74</v>
      </c>
      <c r="D15" s="1" t="s">
        <v>410</v>
      </c>
      <c r="E15" s="1" t="s">
        <v>74</v>
      </c>
      <c r="F15" s="1" t="s">
        <v>411</v>
      </c>
      <c r="G15" s="1" t="s">
        <v>74</v>
      </c>
      <c r="H15" s="1" t="s">
        <v>74</v>
      </c>
      <c r="I15" s="1" t="s">
        <v>412</v>
      </c>
      <c r="J15" s="1" t="s">
        <v>413</v>
      </c>
      <c r="K15" s="1" t="s">
        <v>414</v>
      </c>
      <c r="L15" s="1" t="s">
        <v>74</v>
      </c>
      <c r="M15" s="1" t="s">
        <v>80</v>
      </c>
      <c r="N15" s="1" t="s">
        <v>81</v>
      </c>
      <c r="O15" s="1" t="s">
        <v>415</v>
      </c>
      <c r="P15" s="1" t="s">
        <v>416</v>
      </c>
      <c r="Q15" s="1" t="s">
        <v>417</v>
      </c>
      <c r="R15" s="1" t="s">
        <v>74</v>
      </c>
      <c r="S15" s="1" t="s">
        <v>418</v>
      </c>
      <c r="T15" s="1" t="s">
        <v>419</v>
      </c>
      <c r="U15" s="1" t="s">
        <v>74</v>
      </c>
      <c r="V15" s="1" t="s">
        <v>420</v>
      </c>
      <c r="W15" s="1" t="s">
        <v>421</v>
      </c>
      <c r="X15" s="1" t="s">
        <v>422</v>
      </c>
      <c r="Y15" s="1" t="s">
        <v>423</v>
      </c>
      <c r="Z15" s="1" t="s">
        <v>424</v>
      </c>
      <c r="AA15" s="1" t="s">
        <v>425</v>
      </c>
      <c r="AB15" s="1" t="s">
        <v>426</v>
      </c>
      <c r="AC15" s="1" t="s">
        <v>427</v>
      </c>
      <c r="AD15" s="1" t="s">
        <v>428</v>
      </c>
      <c r="AE15" s="1" t="s">
        <v>429</v>
      </c>
      <c r="AF15" s="1" t="s">
        <v>74</v>
      </c>
      <c r="AG15" s="1">
        <v>16.0</v>
      </c>
      <c r="AH15" s="1">
        <v>2.0</v>
      </c>
      <c r="AI15" s="1">
        <v>2.0</v>
      </c>
      <c r="AJ15" s="1">
        <v>1.0</v>
      </c>
      <c r="AK15" s="1">
        <v>13.0</v>
      </c>
      <c r="AL15" s="1" t="s">
        <v>223</v>
      </c>
      <c r="AM15" s="1" t="s">
        <v>224</v>
      </c>
      <c r="AN15" s="1" t="s">
        <v>225</v>
      </c>
      <c r="AO15" s="1" t="s">
        <v>430</v>
      </c>
      <c r="AP15" s="1" t="s">
        <v>431</v>
      </c>
      <c r="AQ15" s="1" t="s">
        <v>432</v>
      </c>
      <c r="AR15" s="1" t="s">
        <v>433</v>
      </c>
      <c r="AS15" s="1" t="s">
        <v>74</v>
      </c>
      <c r="AT15" s="1" t="s">
        <v>74</v>
      </c>
      <c r="AU15" s="1">
        <v>2022.0</v>
      </c>
      <c r="AV15" s="1">
        <v>1720.0</v>
      </c>
      <c r="AW15" s="1" t="s">
        <v>74</v>
      </c>
      <c r="AX15" s="1" t="s">
        <v>74</v>
      </c>
      <c r="AY15" s="1" t="s">
        <v>74</v>
      </c>
      <c r="AZ15" s="1" t="s">
        <v>74</v>
      </c>
      <c r="BA15" s="1" t="s">
        <v>74</v>
      </c>
      <c r="BB15" s="1">
        <v>481.0</v>
      </c>
      <c r="BC15" s="1">
        <v>486.0</v>
      </c>
      <c r="BD15" s="1" t="s">
        <v>74</v>
      </c>
      <c r="BE15" s="1" t="s">
        <v>434</v>
      </c>
      <c r="BF15" s="2" t="str">
        <f>HYPERLINK("http://dx.doi.org/10.1007/978-3-031-22918-3_39","http://dx.doi.org/10.1007/978-3-031-22918-3_39")</f>
        <v>http://dx.doi.org/10.1007/978-3-031-22918-3_39</v>
      </c>
      <c r="BG15" s="1" t="s">
        <v>74</v>
      </c>
      <c r="BH15" s="1" t="s">
        <v>74</v>
      </c>
      <c r="BI15" s="1">
        <v>6.0</v>
      </c>
      <c r="BJ15" s="1" t="s">
        <v>435</v>
      </c>
      <c r="BK15" s="1" t="s">
        <v>405</v>
      </c>
      <c r="BL15" s="1" t="s">
        <v>436</v>
      </c>
      <c r="BM15" s="1" t="s">
        <v>437</v>
      </c>
      <c r="BN15" s="1" t="s">
        <v>74</v>
      </c>
      <c r="BO15" s="1" t="s">
        <v>74</v>
      </c>
      <c r="BP15" s="1" t="s">
        <v>74</v>
      </c>
      <c r="BQ15" s="1" t="s">
        <v>74</v>
      </c>
      <c r="BR15" s="1" t="s">
        <v>102</v>
      </c>
      <c r="BS15" s="1" t="s">
        <v>438</v>
      </c>
      <c r="BT15" s="1" t="str">
        <f>HYPERLINK("https%3A%2F%2Fwww.webofscience.com%2Fwos%2Fwoscc%2Ffull-record%2FWOS:000976791200039","View Full Record in Web of Science")</f>
        <v>View Full Record in Web of Science</v>
      </c>
    </row>
    <row r="16" ht="12.75" customHeight="1">
      <c r="A16" s="1" t="s">
        <v>72</v>
      </c>
      <c r="B16" s="1" t="s">
        <v>439</v>
      </c>
      <c r="C16" s="1" t="s">
        <v>74</v>
      </c>
      <c r="D16" s="1" t="s">
        <v>362</v>
      </c>
      <c r="E16" s="1" t="s">
        <v>74</v>
      </c>
      <c r="F16" s="1" t="s">
        <v>440</v>
      </c>
      <c r="G16" s="1" t="s">
        <v>74</v>
      </c>
      <c r="H16" s="1" t="s">
        <v>74</v>
      </c>
      <c r="I16" s="1" t="s">
        <v>441</v>
      </c>
      <c r="J16" s="1" t="s">
        <v>365</v>
      </c>
      <c r="K16" s="1" t="s">
        <v>74</v>
      </c>
      <c r="L16" s="1" t="s">
        <v>74</v>
      </c>
      <c r="M16" s="1" t="s">
        <v>80</v>
      </c>
      <c r="N16" s="1" t="s">
        <v>81</v>
      </c>
      <c r="O16" s="1" t="s">
        <v>366</v>
      </c>
      <c r="P16" s="1" t="s">
        <v>367</v>
      </c>
      <c r="Q16" s="1" t="s">
        <v>368</v>
      </c>
      <c r="R16" s="1" t="s">
        <v>74</v>
      </c>
      <c r="S16" s="1" t="s">
        <v>369</v>
      </c>
      <c r="T16" s="1" t="s">
        <v>442</v>
      </c>
      <c r="U16" s="1" t="s">
        <v>74</v>
      </c>
      <c r="V16" s="1" t="s">
        <v>443</v>
      </c>
      <c r="W16" s="1" t="s">
        <v>444</v>
      </c>
      <c r="X16" s="1" t="s">
        <v>445</v>
      </c>
      <c r="Y16" s="1" t="s">
        <v>446</v>
      </c>
      <c r="Z16" s="1" t="s">
        <v>447</v>
      </c>
      <c r="AA16" s="1" t="s">
        <v>448</v>
      </c>
      <c r="AB16" s="1" t="s">
        <v>271</v>
      </c>
      <c r="AC16" s="1" t="s">
        <v>74</v>
      </c>
      <c r="AD16" s="1" t="s">
        <v>74</v>
      </c>
      <c r="AE16" s="1" t="s">
        <v>74</v>
      </c>
      <c r="AF16" s="1" t="s">
        <v>74</v>
      </c>
      <c r="AG16" s="1">
        <v>7.0</v>
      </c>
      <c r="AH16" s="1">
        <v>0.0</v>
      </c>
      <c r="AI16" s="1">
        <v>0.0</v>
      </c>
      <c r="AJ16" s="1">
        <v>12.0</v>
      </c>
      <c r="AK16" s="1">
        <v>92.0</v>
      </c>
      <c r="AL16" s="1" t="s">
        <v>122</v>
      </c>
      <c r="AM16" s="1" t="s">
        <v>123</v>
      </c>
      <c r="AN16" s="1" t="s">
        <v>124</v>
      </c>
      <c r="AO16" s="1" t="s">
        <v>74</v>
      </c>
      <c r="AP16" s="1" t="s">
        <v>74</v>
      </c>
      <c r="AQ16" s="1" t="s">
        <v>376</v>
      </c>
      <c r="AR16" s="1" t="s">
        <v>74</v>
      </c>
      <c r="AS16" s="1" t="s">
        <v>74</v>
      </c>
      <c r="AT16" s="1" t="s">
        <v>74</v>
      </c>
      <c r="AU16" s="1">
        <v>2019.0</v>
      </c>
      <c r="AV16" s="1" t="s">
        <v>74</v>
      </c>
      <c r="AW16" s="1" t="s">
        <v>74</v>
      </c>
      <c r="AX16" s="1" t="s">
        <v>74</v>
      </c>
      <c r="AY16" s="1" t="s">
        <v>74</v>
      </c>
      <c r="AZ16" s="1" t="s">
        <v>74</v>
      </c>
      <c r="BA16" s="1" t="s">
        <v>74</v>
      </c>
      <c r="BB16" s="1">
        <v>255.0</v>
      </c>
      <c r="BC16" s="1">
        <v>260.0</v>
      </c>
      <c r="BD16" s="1" t="s">
        <v>74</v>
      </c>
      <c r="BE16" s="1" t="s">
        <v>449</v>
      </c>
      <c r="BF16" s="2" t="str">
        <f>HYPERLINK("http://dx.doi.org/10.34190/ECIAIR.19.100","http://dx.doi.org/10.34190/ECIAIR.19.100")</f>
        <v>http://dx.doi.org/10.34190/ECIAIR.19.100</v>
      </c>
      <c r="BG16" s="1" t="s">
        <v>74</v>
      </c>
      <c r="BH16" s="1" t="s">
        <v>74</v>
      </c>
      <c r="BI16" s="1">
        <v>6.0</v>
      </c>
      <c r="BJ16" s="1" t="s">
        <v>127</v>
      </c>
      <c r="BK16" s="1" t="s">
        <v>128</v>
      </c>
      <c r="BL16" s="1" t="s">
        <v>129</v>
      </c>
      <c r="BM16" s="1" t="s">
        <v>378</v>
      </c>
      <c r="BN16" s="1" t="s">
        <v>74</v>
      </c>
      <c r="BO16" s="1" t="s">
        <v>74</v>
      </c>
      <c r="BP16" s="1" t="s">
        <v>74</v>
      </c>
      <c r="BQ16" s="1" t="s">
        <v>74</v>
      </c>
      <c r="BR16" s="1" t="s">
        <v>102</v>
      </c>
      <c r="BS16" s="1" t="s">
        <v>450</v>
      </c>
      <c r="BT16" s="1" t="str">
        <f>HYPERLINK("https%3A%2F%2Fwww.webofscience.com%2Fwos%2Fwoscc%2Ffull-record%2FWOS:000539633500030","View Full Record in Web of Science")</f>
        <v>View Full Record in Web of Science</v>
      </c>
    </row>
    <row r="17" ht="12.75" customHeight="1">
      <c r="A17" s="1" t="s">
        <v>132</v>
      </c>
      <c r="B17" s="1" t="s">
        <v>451</v>
      </c>
      <c r="C17" s="1" t="s">
        <v>74</v>
      </c>
      <c r="D17" s="1" t="s">
        <v>74</v>
      </c>
      <c r="E17" s="1" t="s">
        <v>74</v>
      </c>
      <c r="F17" s="1" t="s">
        <v>452</v>
      </c>
      <c r="G17" s="1" t="s">
        <v>74</v>
      </c>
      <c r="H17" s="1" t="s">
        <v>74</v>
      </c>
      <c r="I17" s="1" t="s">
        <v>453</v>
      </c>
      <c r="J17" s="1" t="s">
        <v>454</v>
      </c>
      <c r="K17" s="1" t="s">
        <v>74</v>
      </c>
      <c r="L17" s="1" t="s">
        <v>74</v>
      </c>
      <c r="M17" s="1" t="s">
        <v>80</v>
      </c>
      <c r="N17" s="1" t="s">
        <v>136</v>
      </c>
      <c r="O17" s="1" t="s">
        <v>74</v>
      </c>
      <c r="P17" s="1" t="s">
        <v>74</v>
      </c>
      <c r="Q17" s="1" t="s">
        <v>74</v>
      </c>
      <c r="R17" s="1" t="s">
        <v>74</v>
      </c>
      <c r="S17" s="1" t="s">
        <v>74</v>
      </c>
      <c r="T17" s="1" t="s">
        <v>455</v>
      </c>
      <c r="U17" s="1" t="s">
        <v>456</v>
      </c>
      <c r="V17" s="1" t="s">
        <v>457</v>
      </c>
      <c r="W17" s="1" t="s">
        <v>458</v>
      </c>
      <c r="X17" s="1" t="s">
        <v>459</v>
      </c>
      <c r="Y17" s="1" t="s">
        <v>460</v>
      </c>
      <c r="Z17" s="1" t="s">
        <v>461</v>
      </c>
      <c r="AA17" s="1" t="s">
        <v>462</v>
      </c>
      <c r="AB17" s="1" t="s">
        <v>463</v>
      </c>
      <c r="AC17" s="1" t="s">
        <v>464</v>
      </c>
      <c r="AD17" s="1" t="s">
        <v>464</v>
      </c>
      <c r="AE17" s="1" t="s">
        <v>465</v>
      </c>
      <c r="AF17" s="1" t="s">
        <v>74</v>
      </c>
      <c r="AG17" s="1">
        <v>167.0</v>
      </c>
      <c r="AH17" s="1">
        <v>24.0</v>
      </c>
      <c r="AI17" s="1">
        <v>24.0</v>
      </c>
      <c r="AJ17" s="1">
        <v>28.0</v>
      </c>
      <c r="AK17" s="1">
        <v>121.0</v>
      </c>
      <c r="AL17" s="1" t="s">
        <v>466</v>
      </c>
      <c r="AM17" s="1" t="s">
        <v>467</v>
      </c>
      <c r="AN17" s="1" t="s">
        <v>468</v>
      </c>
      <c r="AO17" s="1" t="s">
        <v>469</v>
      </c>
      <c r="AP17" s="1" t="s">
        <v>470</v>
      </c>
      <c r="AQ17" s="1" t="s">
        <v>74</v>
      </c>
      <c r="AR17" s="1" t="s">
        <v>471</v>
      </c>
      <c r="AS17" s="1" t="s">
        <v>472</v>
      </c>
      <c r="AT17" s="1" t="s">
        <v>473</v>
      </c>
      <c r="AU17" s="1">
        <v>2023.0</v>
      </c>
      <c r="AV17" s="1">
        <v>32.0</v>
      </c>
      <c r="AW17" s="1">
        <v>3.0</v>
      </c>
      <c r="AX17" s="1" t="s">
        <v>74</v>
      </c>
      <c r="AY17" s="1" t="s">
        <v>74</v>
      </c>
      <c r="AZ17" s="1" t="s">
        <v>474</v>
      </c>
      <c r="BA17" s="1" t="s">
        <v>74</v>
      </c>
      <c r="BB17" s="1">
        <v>566.0</v>
      </c>
      <c r="BC17" s="1">
        <v>599.0</v>
      </c>
      <c r="BD17" s="1" t="s">
        <v>74</v>
      </c>
      <c r="BE17" s="1" t="s">
        <v>475</v>
      </c>
      <c r="BF17" s="2" t="str">
        <f>HYPERLINK("http://dx.doi.org/10.1080/12460125.2022.2069537","http://dx.doi.org/10.1080/12460125.2022.2069537")</f>
        <v>http://dx.doi.org/10.1080/12460125.2022.2069537</v>
      </c>
      <c r="BG17" s="1" t="s">
        <v>74</v>
      </c>
      <c r="BH17" s="1" t="s">
        <v>476</v>
      </c>
      <c r="BI17" s="1">
        <v>34.0</v>
      </c>
      <c r="BJ17" s="1" t="s">
        <v>477</v>
      </c>
      <c r="BK17" s="1" t="s">
        <v>172</v>
      </c>
      <c r="BL17" s="1" t="s">
        <v>477</v>
      </c>
      <c r="BM17" s="1" t="s">
        <v>478</v>
      </c>
      <c r="BN17" s="1" t="s">
        <v>74</v>
      </c>
      <c r="BO17" s="1" t="s">
        <v>74</v>
      </c>
      <c r="BP17" s="1" t="s">
        <v>74</v>
      </c>
      <c r="BQ17" s="1" t="s">
        <v>74</v>
      </c>
      <c r="BR17" s="1" t="s">
        <v>102</v>
      </c>
      <c r="BS17" s="1" t="s">
        <v>479</v>
      </c>
      <c r="BT17" s="1" t="str">
        <f>HYPERLINK("https%3A%2F%2Fwww.webofscience.com%2Fwos%2Fwoscc%2Ffull-record%2FWOS:000811167800001","View Full Record in Web of Science")</f>
        <v>View Full Record in Web of Science</v>
      </c>
    </row>
    <row r="18" ht="12.75" customHeight="1">
      <c r="A18" s="1" t="s">
        <v>132</v>
      </c>
      <c r="B18" s="1" t="s">
        <v>480</v>
      </c>
      <c r="C18" s="1" t="s">
        <v>74</v>
      </c>
      <c r="D18" s="1" t="s">
        <v>74</v>
      </c>
      <c r="E18" s="1" t="s">
        <v>74</v>
      </c>
      <c r="F18" s="1" t="s">
        <v>481</v>
      </c>
      <c r="G18" s="1" t="s">
        <v>74</v>
      </c>
      <c r="H18" s="1" t="s">
        <v>74</v>
      </c>
      <c r="I18" s="1" t="s">
        <v>482</v>
      </c>
      <c r="J18" s="1" t="s">
        <v>483</v>
      </c>
      <c r="K18" s="1" t="s">
        <v>74</v>
      </c>
      <c r="L18" s="1" t="s">
        <v>74</v>
      </c>
      <c r="M18" s="1" t="s">
        <v>80</v>
      </c>
      <c r="N18" s="1" t="s">
        <v>136</v>
      </c>
      <c r="O18" s="1" t="s">
        <v>74</v>
      </c>
      <c r="P18" s="1" t="s">
        <v>74</v>
      </c>
      <c r="Q18" s="1" t="s">
        <v>74</v>
      </c>
      <c r="R18" s="1" t="s">
        <v>74</v>
      </c>
      <c r="S18" s="1" t="s">
        <v>74</v>
      </c>
      <c r="T18" s="1" t="s">
        <v>484</v>
      </c>
      <c r="U18" s="1" t="s">
        <v>74</v>
      </c>
      <c r="V18" s="1" t="s">
        <v>485</v>
      </c>
      <c r="W18" s="1" t="s">
        <v>486</v>
      </c>
      <c r="X18" s="1" t="s">
        <v>487</v>
      </c>
      <c r="Y18" s="1" t="s">
        <v>488</v>
      </c>
      <c r="Z18" s="1" t="s">
        <v>489</v>
      </c>
      <c r="AA18" s="1" t="s">
        <v>490</v>
      </c>
      <c r="AB18" s="1" t="s">
        <v>491</v>
      </c>
      <c r="AC18" s="1" t="s">
        <v>492</v>
      </c>
      <c r="AD18" s="1" t="s">
        <v>493</v>
      </c>
      <c r="AE18" s="1" t="s">
        <v>494</v>
      </c>
      <c r="AF18" s="1" t="s">
        <v>74</v>
      </c>
      <c r="AG18" s="1">
        <v>58.0</v>
      </c>
      <c r="AH18" s="1">
        <v>0.0</v>
      </c>
      <c r="AI18" s="1">
        <v>0.0</v>
      </c>
      <c r="AJ18" s="1">
        <v>17.0</v>
      </c>
      <c r="AK18" s="1">
        <v>17.0</v>
      </c>
      <c r="AL18" s="1" t="s">
        <v>321</v>
      </c>
      <c r="AM18" s="1" t="s">
        <v>322</v>
      </c>
      <c r="AN18" s="1" t="s">
        <v>323</v>
      </c>
      <c r="AO18" s="1" t="s">
        <v>495</v>
      </c>
      <c r="AP18" s="1" t="s">
        <v>74</v>
      </c>
      <c r="AQ18" s="1" t="s">
        <v>74</v>
      </c>
      <c r="AR18" s="1" t="s">
        <v>496</v>
      </c>
      <c r="AS18" s="1" t="s">
        <v>497</v>
      </c>
      <c r="AT18" s="1" t="s">
        <v>199</v>
      </c>
      <c r="AU18" s="1">
        <v>2024.0</v>
      </c>
      <c r="AV18" s="1">
        <v>58.0</v>
      </c>
      <c r="AW18" s="1" t="s">
        <v>74</v>
      </c>
      <c r="AX18" s="1" t="s">
        <v>74</v>
      </c>
      <c r="AY18" s="1" t="s">
        <v>74</v>
      </c>
      <c r="AZ18" s="1" t="s">
        <v>74</v>
      </c>
      <c r="BA18" s="1" t="s">
        <v>74</v>
      </c>
      <c r="BB18" s="1" t="s">
        <v>74</v>
      </c>
      <c r="BC18" s="1" t="s">
        <v>74</v>
      </c>
      <c r="BD18" s="1">
        <v>102202.0</v>
      </c>
      <c r="BE18" s="1" t="s">
        <v>498</v>
      </c>
      <c r="BF18" s="2" t="str">
        <f>HYPERLINK("http://dx.doi.org/10.1016/j.uclim.2024.102202","http://dx.doi.org/10.1016/j.uclim.2024.102202")</f>
        <v>http://dx.doi.org/10.1016/j.uclim.2024.102202</v>
      </c>
      <c r="BG18" s="1" t="s">
        <v>74</v>
      </c>
      <c r="BH18" s="1" t="s">
        <v>499</v>
      </c>
      <c r="BI18" s="1">
        <v>14.0</v>
      </c>
      <c r="BJ18" s="1" t="s">
        <v>500</v>
      </c>
      <c r="BK18" s="1" t="s">
        <v>149</v>
      </c>
      <c r="BL18" s="1" t="s">
        <v>501</v>
      </c>
      <c r="BM18" s="1" t="s">
        <v>502</v>
      </c>
      <c r="BN18" s="1" t="s">
        <v>74</v>
      </c>
      <c r="BO18" s="1" t="s">
        <v>74</v>
      </c>
      <c r="BP18" s="1" t="s">
        <v>74</v>
      </c>
      <c r="BQ18" s="1" t="s">
        <v>74</v>
      </c>
      <c r="BR18" s="1" t="s">
        <v>102</v>
      </c>
      <c r="BS18" s="1" t="s">
        <v>503</v>
      </c>
      <c r="BT18" s="1" t="str">
        <f>HYPERLINK("https%3A%2F%2Fwww.webofscience.com%2Fwos%2Fwoscc%2Ffull-record%2FWOS:001355795200001","View Full Record in Web of Science")</f>
        <v>View Full Record in Web of Science</v>
      </c>
    </row>
    <row r="19" ht="12.75" customHeight="1">
      <c r="A19" s="1" t="s">
        <v>72</v>
      </c>
      <c r="B19" s="1" t="s">
        <v>504</v>
      </c>
      <c r="C19" s="1" t="s">
        <v>74</v>
      </c>
      <c r="D19" s="1" t="s">
        <v>505</v>
      </c>
      <c r="E19" s="1" t="s">
        <v>74</v>
      </c>
      <c r="F19" s="1" t="s">
        <v>506</v>
      </c>
      <c r="G19" s="1" t="s">
        <v>74</v>
      </c>
      <c r="H19" s="1" t="s">
        <v>74</v>
      </c>
      <c r="I19" s="1" t="s">
        <v>507</v>
      </c>
      <c r="J19" s="1" t="s">
        <v>508</v>
      </c>
      <c r="K19" s="1" t="s">
        <v>509</v>
      </c>
      <c r="L19" s="1" t="s">
        <v>74</v>
      </c>
      <c r="M19" s="1" t="s">
        <v>80</v>
      </c>
      <c r="N19" s="1" t="s">
        <v>81</v>
      </c>
      <c r="O19" s="1" t="s">
        <v>510</v>
      </c>
      <c r="P19" s="1" t="s">
        <v>511</v>
      </c>
      <c r="Q19" s="1" t="s">
        <v>512</v>
      </c>
      <c r="R19" s="1" t="s">
        <v>513</v>
      </c>
      <c r="S19" s="1" t="s">
        <v>514</v>
      </c>
      <c r="T19" s="1" t="s">
        <v>515</v>
      </c>
      <c r="U19" s="1" t="s">
        <v>74</v>
      </c>
      <c r="V19" s="1" t="s">
        <v>516</v>
      </c>
      <c r="W19" s="1" t="s">
        <v>517</v>
      </c>
      <c r="X19" s="1" t="s">
        <v>74</v>
      </c>
      <c r="Y19" s="1" t="s">
        <v>518</v>
      </c>
      <c r="Z19" s="1" t="s">
        <v>519</v>
      </c>
      <c r="AA19" s="1" t="s">
        <v>520</v>
      </c>
      <c r="AB19" s="1" t="s">
        <v>521</v>
      </c>
      <c r="AC19" s="1" t="s">
        <v>74</v>
      </c>
      <c r="AD19" s="1" t="s">
        <v>74</v>
      </c>
      <c r="AE19" s="1" t="s">
        <v>74</v>
      </c>
      <c r="AF19" s="1" t="s">
        <v>74</v>
      </c>
      <c r="AG19" s="1">
        <v>22.0</v>
      </c>
      <c r="AH19" s="1">
        <v>1.0</v>
      </c>
      <c r="AI19" s="1">
        <v>1.0</v>
      </c>
      <c r="AJ19" s="1">
        <v>2.0</v>
      </c>
      <c r="AK19" s="1">
        <v>24.0</v>
      </c>
      <c r="AL19" s="1" t="s">
        <v>223</v>
      </c>
      <c r="AM19" s="1" t="s">
        <v>224</v>
      </c>
      <c r="AN19" s="1" t="s">
        <v>225</v>
      </c>
      <c r="AO19" s="1" t="s">
        <v>522</v>
      </c>
      <c r="AP19" s="1" t="s">
        <v>523</v>
      </c>
      <c r="AQ19" s="1" t="s">
        <v>524</v>
      </c>
      <c r="AR19" s="1" t="s">
        <v>525</v>
      </c>
      <c r="AS19" s="1" t="s">
        <v>74</v>
      </c>
      <c r="AT19" s="1" t="s">
        <v>74</v>
      </c>
      <c r="AU19" s="1">
        <v>2023.0</v>
      </c>
      <c r="AV19" s="1">
        <v>207.0</v>
      </c>
      <c r="AW19" s="1" t="s">
        <v>74</v>
      </c>
      <c r="AX19" s="1" t="s">
        <v>74</v>
      </c>
      <c r="AY19" s="1" t="s">
        <v>74</v>
      </c>
      <c r="AZ19" s="1" t="s">
        <v>74</v>
      </c>
      <c r="BA19" s="1" t="s">
        <v>74</v>
      </c>
      <c r="BB19" s="1">
        <v>521.0</v>
      </c>
      <c r="BC19" s="1">
        <v>528.0</v>
      </c>
      <c r="BD19" s="1" t="s">
        <v>74</v>
      </c>
      <c r="BE19" s="1" t="s">
        <v>526</v>
      </c>
      <c r="BF19" s="2" t="str">
        <f>HYPERLINK("http://dx.doi.org/10.1007/978-3-031-04435-9_54","http://dx.doi.org/10.1007/978-3-031-04435-9_54")</f>
        <v>http://dx.doi.org/10.1007/978-3-031-04435-9_54</v>
      </c>
      <c r="BG19" s="1" t="s">
        <v>74</v>
      </c>
      <c r="BH19" s="1" t="s">
        <v>74</v>
      </c>
      <c r="BI19" s="1">
        <v>8.0</v>
      </c>
      <c r="BJ19" s="1" t="s">
        <v>527</v>
      </c>
      <c r="BK19" s="1" t="s">
        <v>128</v>
      </c>
      <c r="BL19" s="1" t="s">
        <v>232</v>
      </c>
      <c r="BM19" s="1" t="s">
        <v>528</v>
      </c>
      <c r="BN19" s="1" t="s">
        <v>74</v>
      </c>
      <c r="BO19" s="1" t="s">
        <v>74</v>
      </c>
      <c r="BP19" s="1" t="s">
        <v>74</v>
      </c>
      <c r="BQ19" s="1" t="s">
        <v>74</v>
      </c>
      <c r="BR19" s="1" t="s">
        <v>102</v>
      </c>
      <c r="BS19" s="1" t="s">
        <v>529</v>
      </c>
      <c r="BT19" s="1" t="str">
        <f>HYPERLINK("https%3A%2F%2Fwww.webofscience.com%2Fwos%2Fwoscc%2Ffull-record%2FWOS:000882854700054","View Full Record in Web of Science")</f>
        <v>View Full Record in Web of Science</v>
      </c>
    </row>
    <row r="20" ht="12.75" customHeight="1">
      <c r="A20" s="1" t="s">
        <v>72</v>
      </c>
      <c r="B20" s="1" t="s">
        <v>530</v>
      </c>
      <c r="C20" s="1" t="s">
        <v>74</v>
      </c>
      <c r="D20" s="1" t="s">
        <v>74</v>
      </c>
      <c r="E20" s="1" t="s">
        <v>236</v>
      </c>
      <c r="F20" s="1" t="s">
        <v>531</v>
      </c>
      <c r="G20" s="1" t="s">
        <v>74</v>
      </c>
      <c r="H20" s="1" t="s">
        <v>74</v>
      </c>
      <c r="I20" s="1" t="s">
        <v>532</v>
      </c>
      <c r="J20" s="1" t="s">
        <v>533</v>
      </c>
      <c r="K20" s="1" t="s">
        <v>534</v>
      </c>
      <c r="L20" s="1" t="s">
        <v>74</v>
      </c>
      <c r="M20" s="1" t="s">
        <v>80</v>
      </c>
      <c r="N20" s="1" t="s">
        <v>81</v>
      </c>
      <c r="O20" s="1" t="s">
        <v>535</v>
      </c>
      <c r="P20" s="1" t="s">
        <v>536</v>
      </c>
      <c r="Q20" s="1" t="s">
        <v>537</v>
      </c>
      <c r="R20" s="1" t="s">
        <v>74</v>
      </c>
      <c r="S20" s="1" t="s">
        <v>74</v>
      </c>
      <c r="T20" s="1" t="s">
        <v>538</v>
      </c>
      <c r="U20" s="1" t="s">
        <v>539</v>
      </c>
      <c r="V20" s="1" t="s">
        <v>540</v>
      </c>
      <c r="W20" s="1" t="s">
        <v>541</v>
      </c>
      <c r="X20" s="1" t="s">
        <v>542</v>
      </c>
      <c r="Y20" s="1" t="s">
        <v>543</v>
      </c>
      <c r="Z20" s="1" t="s">
        <v>544</v>
      </c>
      <c r="AA20" s="1" t="s">
        <v>545</v>
      </c>
      <c r="AB20" s="1" t="s">
        <v>546</v>
      </c>
      <c r="AC20" s="1" t="s">
        <v>547</v>
      </c>
      <c r="AD20" s="1" t="s">
        <v>548</v>
      </c>
      <c r="AE20" s="1" t="s">
        <v>549</v>
      </c>
      <c r="AF20" s="1" t="s">
        <v>74</v>
      </c>
      <c r="AG20" s="1">
        <v>64.0</v>
      </c>
      <c r="AH20" s="1">
        <v>22.0</v>
      </c>
      <c r="AI20" s="1">
        <v>26.0</v>
      </c>
      <c r="AJ20" s="1">
        <v>6.0</v>
      </c>
      <c r="AK20" s="1">
        <v>31.0</v>
      </c>
      <c r="AL20" s="1" t="s">
        <v>236</v>
      </c>
      <c r="AM20" s="1" t="s">
        <v>193</v>
      </c>
      <c r="AN20" s="1" t="s">
        <v>252</v>
      </c>
      <c r="AO20" s="1" t="s">
        <v>550</v>
      </c>
      <c r="AP20" s="1" t="s">
        <v>74</v>
      </c>
      <c r="AQ20" s="1" t="s">
        <v>551</v>
      </c>
      <c r="AR20" s="1" t="s">
        <v>552</v>
      </c>
      <c r="AS20" s="1" t="s">
        <v>74</v>
      </c>
      <c r="AT20" s="1" t="s">
        <v>74</v>
      </c>
      <c r="AU20" s="1">
        <v>2019.0</v>
      </c>
      <c r="AV20" s="1" t="s">
        <v>74</v>
      </c>
      <c r="AW20" s="1" t="s">
        <v>74</v>
      </c>
      <c r="AX20" s="1" t="s">
        <v>74</v>
      </c>
      <c r="AY20" s="1" t="s">
        <v>74</v>
      </c>
      <c r="AZ20" s="1" t="s">
        <v>74</v>
      </c>
      <c r="BA20" s="1" t="s">
        <v>74</v>
      </c>
      <c r="BB20" s="1" t="s">
        <v>74</v>
      </c>
      <c r="BC20" s="1" t="s">
        <v>74</v>
      </c>
      <c r="BD20" s="1" t="s">
        <v>74</v>
      </c>
      <c r="BE20" s="1" t="s">
        <v>553</v>
      </c>
      <c r="BF20" s="2" t="str">
        <f>HYPERLINK("http://dx.doi.org/10.23919/cisti.2019.8760893","http://dx.doi.org/10.23919/cisti.2019.8760893")</f>
        <v>http://dx.doi.org/10.23919/cisti.2019.8760893</v>
      </c>
      <c r="BG20" s="1" t="s">
        <v>74</v>
      </c>
      <c r="BH20" s="1" t="s">
        <v>74</v>
      </c>
      <c r="BI20" s="1">
        <v>7.0</v>
      </c>
      <c r="BJ20" s="1" t="s">
        <v>554</v>
      </c>
      <c r="BK20" s="1" t="s">
        <v>128</v>
      </c>
      <c r="BL20" s="1" t="s">
        <v>232</v>
      </c>
      <c r="BM20" s="1" t="s">
        <v>555</v>
      </c>
      <c r="BN20" s="1" t="s">
        <v>74</v>
      </c>
      <c r="BO20" s="1" t="s">
        <v>556</v>
      </c>
      <c r="BP20" s="1" t="s">
        <v>74</v>
      </c>
      <c r="BQ20" s="1" t="s">
        <v>74</v>
      </c>
      <c r="BR20" s="1" t="s">
        <v>102</v>
      </c>
      <c r="BS20" s="1" t="s">
        <v>557</v>
      </c>
      <c r="BT20" s="1" t="str">
        <f>HYPERLINK("https%3A%2F%2Fwww.webofscience.com%2Fwos%2Fwoscc%2Ffull-record%2FWOS:000492038200302","View Full Record in Web of Science")</f>
        <v>View Full Record in Web of Science</v>
      </c>
    </row>
    <row r="21" ht="12.75" customHeight="1">
      <c r="A21" s="1" t="s">
        <v>132</v>
      </c>
      <c r="B21" s="1" t="s">
        <v>558</v>
      </c>
      <c r="C21" s="1" t="s">
        <v>74</v>
      </c>
      <c r="D21" s="1" t="s">
        <v>74</v>
      </c>
      <c r="E21" s="1" t="s">
        <v>74</v>
      </c>
      <c r="F21" s="1" t="s">
        <v>559</v>
      </c>
      <c r="G21" s="1" t="s">
        <v>74</v>
      </c>
      <c r="H21" s="1" t="s">
        <v>74</v>
      </c>
      <c r="I21" s="1" t="s">
        <v>560</v>
      </c>
      <c r="J21" s="1" t="s">
        <v>561</v>
      </c>
      <c r="K21" s="1" t="s">
        <v>74</v>
      </c>
      <c r="L21" s="1" t="s">
        <v>74</v>
      </c>
      <c r="M21" s="1" t="s">
        <v>80</v>
      </c>
      <c r="N21" s="1" t="s">
        <v>136</v>
      </c>
      <c r="O21" s="1" t="s">
        <v>74</v>
      </c>
      <c r="P21" s="1" t="s">
        <v>74</v>
      </c>
      <c r="Q21" s="1" t="s">
        <v>74</v>
      </c>
      <c r="R21" s="1" t="s">
        <v>74</v>
      </c>
      <c r="S21" s="1" t="s">
        <v>74</v>
      </c>
      <c r="T21" s="1" t="s">
        <v>562</v>
      </c>
      <c r="U21" s="1" t="s">
        <v>563</v>
      </c>
      <c r="V21" s="1" t="s">
        <v>564</v>
      </c>
      <c r="W21" s="1" t="s">
        <v>565</v>
      </c>
      <c r="X21" s="1" t="s">
        <v>566</v>
      </c>
      <c r="Y21" s="1" t="s">
        <v>567</v>
      </c>
      <c r="Z21" s="1" t="s">
        <v>568</v>
      </c>
      <c r="AA21" s="1" t="s">
        <v>569</v>
      </c>
      <c r="AB21" s="1" t="s">
        <v>570</v>
      </c>
      <c r="AC21" s="1" t="s">
        <v>74</v>
      </c>
      <c r="AD21" s="1" t="s">
        <v>74</v>
      </c>
      <c r="AE21" s="1" t="s">
        <v>74</v>
      </c>
      <c r="AF21" s="1" t="s">
        <v>74</v>
      </c>
      <c r="AG21" s="1">
        <v>108.0</v>
      </c>
      <c r="AH21" s="1">
        <v>2.0</v>
      </c>
      <c r="AI21" s="1">
        <v>2.0</v>
      </c>
      <c r="AJ21" s="1">
        <v>29.0</v>
      </c>
      <c r="AK21" s="1">
        <v>53.0</v>
      </c>
      <c r="AL21" s="1" t="s">
        <v>571</v>
      </c>
      <c r="AM21" s="1" t="s">
        <v>572</v>
      </c>
      <c r="AN21" s="1" t="s">
        <v>573</v>
      </c>
      <c r="AO21" s="1" t="s">
        <v>574</v>
      </c>
      <c r="AP21" s="1" t="s">
        <v>575</v>
      </c>
      <c r="AQ21" s="1" t="s">
        <v>74</v>
      </c>
      <c r="AR21" s="1" t="s">
        <v>576</v>
      </c>
      <c r="AS21" s="1" t="s">
        <v>577</v>
      </c>
      <c r="AT21" s="1" t="s">
        <v>578</v>
      </c>
      <c r="AU21" s="1">
        <v>2024.0</v>
      </c>
      <c r="AV21" s="1">
        <v>51.0</v>
      </c>
      <c r="AW21" s="1">
        <v>12.0</v>
      </c>
      <c r="AX21" s="1" t="s">
        <v>74</v>
      </c>
      <c r="AY21" s="1" t="s">
        <v>74</v>
      </c>
      <c r="AZ21" s="1" t="s">
        <v>74</v>
      </c>
      <c r="BA21" s="1" t="s">
        <v>74</v>
      </c>
      <c r="BB21" s="1">
        <v>1680.0</v>
      </c>
      <c r="BC21" s="1">
        <v>1695.0</v>
      </c>
      <c r="BD21" s="1" t="s">
        <v>74</v>
      </c>
      <c r="BE21" s="1" t="s">
        <v>579</v>
      </c>
      <c r="BF21" s="2" t="str">
        <f>HYPERLINK("http://dx.doi.org/10.1108/IJSE-05-2023-0338","http://dx.doi.org/10.1108/IJSE-05-2023-0338")</f>
        <v>http://dx.doi.org/10.1108/IJSE-05-2023-0338</v>
      </c>
      <c r="BG21" s="1" t="s">
        <v>74</v>
      </c>
      <c r="BH21" s="1" t="s">
        <v>580</v>
      </c>
      <c r="BI21" s="1">
        <v>16.0</v>
      </c>
      <c r="BJ21" s="1" t="s">
        <v>202</v>
      </c>
      <c r="BK21" s="1" t="s">
        <v>172</v>
      </c>
      <c r="BL21" s="1" t="s">
        <v>204</v>
      </c>
      <c r="BM21" s="1" t="s">
        <v>581</v>
      </c>
      <c r="BN21" s="1" t="s">
        <v>74</v>
      </c>
      <c r="BO21" s="1" t="s">
        <v>74</v>
      </c>
      <c r="BP21" s="1" t="s">
        <v>74</v>
      </c>
      <c r="BQ21" s="1" t="s">
        <v>74</v>
      </c>
      <c r="BR21" s="1" t="s">
        <v>102</v>
      </c>
      <c r="BS21" s="1" t="s">
        <v>582</v>
      </c>
      <c r="BT21" s="1" t="str">
        <f>HYPERLINK("https%3A%2F%2Fwww.webofscience.com%2Fwos%2Fwoscc%2Ffull-record%2FWOS:001201243100001","View Full Record in Web of Science")</f>
        <v>View Full Record in Web of Science</v>
      </c>
    </row>
    <row r="22" ht="12.75" customHeight="1">
      <c r="A22" s="1" t="s">
        <v>132</v>
      </c>
      <c r="B22" s="1" t="s">
        <v>583</v>
      </c>
      <c r="C22" s="1" t="s">
        <v>74</v>
      </c>
      <c r="D22" s="1" t="s">
        <v>74</v>
      </c>
      <c r="E22" s="1" t="s">
        <v>74</v>
      </c>
      <c r="F22" s="1" t="s">
        <v>584</v>
      </c>
      <c r="G22" s="1" t="s">
        <v>74</v>
      </c>
      <c r="H22" s="1" t="s">
        <v>74</v>
      </c>
      <c r="I22" s="1" t="s">
        <v>585</v>
      </c>
      <c r="J22" s="1" t="s">
        <v>586</v>
      </c>
      <c r="K22" s="1" t="s">
        <v>74</v>
      </c>
      <c r="L22" s="1" t="s">
        <v>74</v>
      </c>
      <c r="M22" s="1" t="s">
        <v>80</v>
      </c>
      <c r="N22" s="1" t="s">
        <v>136</v>
      </c>
      <c r="O22" s="1" t="s">
        <v>74</v>
      </c>
      <c r="P22" s="1" t="s">
        <v>74</v>
      </c>
      <c r="Q22" s="1" t="s">
        <v>74</v>
      </c>
      <c r="R22" s="1" t="s">
        <v>74</v>
      </c>
      <c r="S22" s="1" t="s">
        <v>74</v>
      </c>
      <c r="T22" s="1" t="s">
        <v>587</v>
      </c>
      <c r="U22" s="1" t="s">
        <v>74</v>
      </c>
      <c r="V22" s="1" t="s">
        <v>588</v>
      </c>
      <c r="W22" s="1" t="s">
        <v>589</v>
      </c>
      <c r="X22" s="1" t="s">
        <v>590</v>
      </c>
      <c r="Y22" s="1" t="s">
        <v>591</v>
      </c>
      <c r="Z22" s="1" t="s">
        <v>592</v>
      </c>
      <c r="AA22" s="1" t="s">
        <v>74</v>
      </c>
      <c r="AB22" s="1" t="s">
        <v>74</v>
      </c>
      <c r="AC22" s="1" t="s">
        <v>593</v>
      </c>
      <c r="AD22" s="1" t="s">
        <v>593</v>
      </c>
      <c r="AE22" s="1" t="s">
        <v>594</v>
      </c>
      <c r="AF22" s="1" t="s">
        <v>74</v>
      </c>
      <c r="AG22" s="1">
        <v>44.0</v>
      </c>
      <c r="AH22" s="1">
        <v>9.0</v>
      </c>
      <c r="AI22" s="1">
        <v>9.0</v>
      </c>
      <c r="AJ22" s="1">
        <v>3.0</v>
      </c>
      <c r="AK22" s="1">
        <v>48.0</v>
      </c>
      <c r="AL22" s="1" t="s">
        <v>595</v>
      </c>
      <c r="AM22" s="1" t="s">
        <v>467</v>
      </c>
      <c r="AN22" s="1" t="s">
        <v>596</v>
      </c>
      <c r="AO22" s="1" t="s">
        <v>597</v>
      </c>
      <c r="AP22" s="1" t="s">
        <v>598</v>
      </c>
      <c r="AQ22" s="1" t="s">
        <v>74</v>
      </c>
      <c r="AR22" s="1" t="s">
        <v>599</v>
      </c>
      <c r="AS22" s="1" t="s">
        <v>600</v>
      </c>
      <c r="AT22" s="1" t="s">
        <v>601</v>
      </c>
      <c r="AU22" s="1">
        <v>2020.0</v>
      </c>
      <c r="AV22" s="1">
        <v>31.0</v>
      </c>
      <c r="AW22" s="1">
        <v>4.0</v>
      </c>
      <c r="AX22" s="1" t="s">
        <v>74</v>
      </c>
      <c r="AY22" s="1" t="s">
        <v>74</v>
      </c>
      <c r="AZ22" s="1" t="s">
        <v>474</v>
      </c>
      <c r="BA22" s="1" t="s">
        <v>74</v>
      </c>
      <c r="BB22" s="1">
        <v>898.0</v>
      </c>
      <c r="BC22" s="1">
        <v>917.0</v>
      </c>
      <c r="BD22" s="1" t="s">
        <v>74</v>
      </c>
      <c r="BE22" s="1" t="s">
        <v>602</v>
      </c>
      <c r="BF22" s="2" t="str">
        <f>HYPERLINK("http://dx.doi.org/10.1080/09592318.2019.1682908","http://dx.doi.org/10.1080/09592318.2019.1682908")</f>
        <v>http://dx.doi.org/10.1080/09592318.2019.1682908</v>
      </c>
      <c r="BG22" s="1" t="s">
        <v>74</v>
      </c>
      <c r="BH22" s="1" t="s">
        <v>603</v>
      </c>
      <c r="BI22" s="1">
        <v>20.0</v>
      </c>
      <c r="BJ22" s="1" t="s">
        <v>604</v>
      </c>
      <c r="BK22" s="1" t="s">
        <v>172</v>
      </c>
      <c r="BL22" s="1" t="s">
        <v>604</v>
      </c>
      <c r="BM22" s="1" t="s">
        <v>605</v>
      </c>
      <c r="BN22" s="1" t="s">
        <v>74</v>
      </c>
      <c r="BO22" s="1" t="s">
        <v>74</v>
      </c>
      <c r="BP22" s="1" t="s">
        <v>74</v>
      </c>
      <c r="BQ22" s="1" t="s">
        <v>74</v>
      </c>
      <c r="BR22" s="1" t="s">
        <v>102</v>
      </c>
      <c r="BS22" s="1" t="s">
        <v>606</v>
      </c>
      <c r="BT22" s="1" t="str">
        <f>HYPERLINK("https%3A%2F%2Fwww.webofscience.com%2Fwos%2Fwoscc%2Ffull-record%2FWOS:000506112900001","View Full Record in Web of Science")</f>
        <v>View Full Record in Web of Science</v>
      </c>
    </row>
    <row r="23" ht="12.75" customHeight="1">
      <c r="A23" s="1" t="s">
        <v>72</v>
      </c>
      <c r="B23" s="1" t="s">
        <v>607</v>
      </c>
      <c r="C23" s="1" t="s">
        <v>74</v>
      </c>
      <c r="D23" s="1" t="s">
        <v>608</v>
      </c>
      <c r="E23" s="1" t="s">
        <v>74</v>
      </c>
      <c r="F23" s="1" t="s">
        <v>609</v>
      </c>
      <c r="G23" s="1" t="s">
        <v>74</v>
      </c>
      <c r="H23" s="1" t="s">
        <v>74</v>
      </c>
      <c r="I23" s="1" t="s">
        <v>610</v>
      </c>
      <c r="J23" s="1" t="s">
        <v>611</v>
      </c>
      <c r="K23" s="1" t="s">
        <v>612</v>
      </c>
      <c r="L23" s="1" t="s">
        <v>74</v>
      </c>
      <c r="M23" s="1" t="s">
        <v>80</v>
      </c>
      <c r="N23" s="1" t="s">
        <v>81</v>
      </c>
      <c r="O23" s="1" t="s">
        <v>613</v>
      </c>
      <c r="P23" s="1" t="s">
        <v>614</v>
      </c>
      <c r="Q23" s="1" t="s">
        <v>615</v>
      </c>
      <c r="R23" s="1" t="s">
        <v>616</v>
      </c>
      <c r="S23" s="1" t="s">
        <v>617</v>
      </c>
      <c r="T23" s="1" t="s">
        <v>618</v>
      </c>
      <c r="U23" s="1" t="s">
        <v>74</v>
      </c>
      <c r="V23" s="1" t="s">
        <v>619</v>
      </c>
      <c r="W23" s="1" t="s">
        <v>620</v>
      </c>
      <c r="X23" s="1" t="s">
        <v>621</v>
      </c>
      <c r="Y23" s="1" t="s">
        <v>622</v>
      </c>
      <c r="Z23" s="1" t="s">
        <v>74</v>
      </c>
      <c r="AA23" s="1" t="s">
        <v>623</v>
      </c>
      <c r="AB23" s="1" t="s">
        <v>74</v>
      </c>
      <c r="AC23" s="1" t="s">
        <v>74</v>
      </c>
      <c r="AD23" s="1" t="s">
        <v>74</v>
      </c>
      <c r="AE23" s="1" t="s">
        <v>74</v>
      </c>
      <c r="AF23" s="1" t="s">
        <v>74</v>
      </c>
      <c r="AG23" s="1">
        <v>26.0</v>
      </c>
      <c r="AH23" s="1">
        <v>0.0</v>
      </c>
      <c r="AI23" s="1">
        <v>0.0</v>
      </c>
      <c r="AJ23" s="1">
        <v>4.0</v>
      </c>
      <c r="AK23" s="1">
        <v>36.0</v>
      </c>
      <c r="AL23" s="1" t="s">
        <v>624</v>
      </c>
      <c r="AM23" s="1" t="s">
        <v>625</v>
      </c>
      <c r="AN23" s="1" t="s">
        <v>626</v>
      </c>
      <c r="AO23" s="1" t="s">
        <v>627</v>
      </c>
      <c r="AP23" s="1" t="s">
        <v>74</v>
      </c>
      <c r="AQ23" s="1" t="s">
        <v>74</v>
      </c>
      <c r="AR23" s="1" t="s">
        <v>628</v>
      </c>
      <c r="AS23" s="1" t="s">
        <v>74</v>
      </c>
      <c r="AT23" s="1" t="s">
        <v>74</v>
      </c>
      <c r="AU23" s="1">
        <v>2021.0</v>
      </c>
      <c r="AV23" s="1" t="s">
        <v>74</v>
      </c>
      <c r="AW23" s="1" t="s">
        <v>74</v>
      </c>
      <c r="AX23" s="1" t="s">
        <v>74</v>
      </c>
      <c r="AY23" s="1" t="s">
        <v>74</v>
      </c>
      <c r="AZ23" s="1" t="s">
        <v>74</v>
      </c>
      <c r="BA23" s="1" t="s">
        <v>74</v>
      </c>
      <c r="BB23" s="1">
        <v>539.0</v>
      </c>
      <c r="BC23" s="1">
        <v>549.0</v>
      </c>
      <c r="BD23" s="1" t="s">
        <v>74</v>
      </c>
      <c r="BE23" s="1" t="s">
        <v>629</v>
      </c>
      <c r="BF23" s="2" t="str">
        <f>HYPERLINK("http://dx.doi.org/10.17770/sie2021vol4.6310","http://dx.doi.org/10.17770/sie2021vol4.6310")</f>
        <v>http://dx.doi.org/10.17770/sie2021vol4.6310</v>
      </c>
      <c r="BG23" s="1" t="s">
        <v>74</v>
      </c>
      <c r="BH23" s="1" t="s">
        <v>74</v>
      </c>
      <c r="BI23" s="1">
        <v>11.0</v>
      </c>
      <c r="BJ23" s="1" t="s">
        <v>630</v>
      </c>
      <c r="BK23" s="1" t="s">
        <v>99</v>
      </c>
      <c r="BL23" s="1" t="s">
        <v>630</v>
      </c>
      <c r="BM23" s="1" t="s">
        <v>631</v>
      </c>
      <c r="BN23" s="1" t="s">
        <v>74</v>
      </c>
      <c r="BO23" s="1" t="s">
        <v>632</v>
      </c>
      <c r="BP23" s="1" t="s">
        <v>74</v>
      </c>
      <c r="BQ23" s="1" t="s">
        <v>74</v>
      </c>
      <c r="BR23" s="1" t="s">
        <v>102</v>
      </c>
      <c r="BS23" s="1" t="s">
        <v>633</v>
      </c>
      <c r="BT23" s="1" t="str">
        <f>HYPERLINK("https%3A%2F%2Fwww.webofscience.com%2Fwos%2Fwoscc%2Ffull-record%2FWOS:000833412300045","View Full Record in Web of Science")</f>
        <v>View Full Record in Web of Science</v>
      </c>
    </row>
    <row r="24" ht="12.75" customHeight="1">
      <c r="A24" s="1" t="s">
        <v>132</v>
      </c>
      <c r="B24" s="1" t="s">
        <v>634</v>
      </c>
      <c r="C24" s="1" t="s">
        <v>74</v>
      </c>
      <c r="D24" s="1" t="s">
        <v>74</v>
      </c>
      <c r="E24" s="1" t="s">
        <v>74</v>
      </c>
      <c r="F24" s="1" t="s">
        <v>635</v>
      </c>
      <c r="G24" s="1" t="s">
        <v>74</v>
      </c>
      <c r="H24" s="1" t="s">
        <v>74</v>
      </c>
      <c r="I24" s="1" t="s">
        <v>636</v>
      </c>
      <c r="J24" s="1" t="s">
        <v>637</v>
      </c>
      <c r="K24" s="1" t="s">
        <v>74</v>
      </c>
      <c r="L24" s="1" t="s">
        <v>74</v>
      </c>
      <c r="M24" s="1" t="s">
        <v>638</v>
      </c>
      <c r="N24" s="1" t="s">
        <v>136</v>
      </c>
      <c r="O24" s="1" t="s">
        <v>74</v>
      </c>
      <c r="P24" s="1" t="s">
        <v>74</v>
      </c>
      <c r="Q24" s="1" t="s">
        <v>74</v>
      </c>
      <c r="R24" s="1" t="s">
        <v>74</v>
      </c>
      <c r="S24" s="1" t="s">
        <v>74</v>
      </c>
      <c r="T24" s="1" t="s">
        <v>639</v>
      </c>
      <c r="U24" s="1" t="s">
        <v>640</v>
      </c>
      <c r="V24" s="1" t="s">
        <v>641</v>
      </c>
      <c r="W24" s="1" t="s">
        <v>642</v>
      </c>
      <c r="X24" s="1" t="s">
        <v>74</v>
      </c>
      <c r="Y24" s="1" t="s">
        <v>643</v>
      </c>
      <c r="Z24" s="1" t="s">
        <v>644</v>
      </c>
      <c r="AA24" s="1" t="s">
        <v>645</v>
      </c>
      <c r="AB24" s="1" t="s">
        <v>646</v>
      </c>
      <c r="AC24" s="1" t="s">
        <v>74</v>
      </c>
      <c r="AD24" s="1" t="s">
        <v>74</v>
      </c>
      <c r="AE24" s="1" t="s">
        <v>74</v>
      </c>
      <c r="AF24" s="1" t="s">
        <v>74</v>
      </c>
      <c r="AG24" s="1">
        <v>32.0</v>
      </c>
      <c r="AH24" s="1">
        <v>9.0</v>
      </c>
      <c r="AI24" s="1">
        <v>9.0</v>
      </c>
      <c r="AJ24" s="1">
        <v>2.0</v>
      </c>
      <c r="AK24" s="1">
        <v>17.0</v>
      </c>
      <c r="AL24" s="1" t="s">
        <v>647</v>
      </c>
      <c r="AM24" s="1" t="s">
        <v>648</v>
      </c>
      <c r="AN24" s="1" t="s">
        <v>649</v>
      </c>
      <c r="AO24" s="1" t="s">
        <v>650</v>
      </c>
      <c r="AP24" s="1" t="s">
        <v>651</v>
      </c>
      <c r="AQ24" s="1" t="s">
        <v>74</v>
      </c>
      <c r="AR24" s="1" t="s">
        <v>652</v>
      </c>
      <c r="AS24" s="1" t="s">
        <v>653</v>
      </c>
      <c r="AT24" s="1" t="s">
        <v>654</v>
      </c>
      <c r="AU24" s="1">
        <v>2022.0</v>
      </c>
      <c r="AV24" s="1">
        <v>64.0</v>
      </c>
      <c r="AW24" s="1">
        <v>6.0</v>
      </c>
      <c r="AX24" s="1" t="s">
        <v>74</v>
      </c>
      <c r="AY24" s="1" t="s">
        <v>74</v>
      </c>
      <c r="AZ24" s="1" t="s">
        <v>74</v>
      </c>
      <c r="BA24" s="1" t="s">
        <v>74</v>
      </c>
      <c r="BB24" s="1">
        <v>516.0</v>
      </c>
      <c r="BC24" s="1">
        <v>524.0</v>
      </c>
      <c r="BD24" s="1" t="s">
        <v>74</v>
      </c>
      <c r="BE24" s="1" t="s">
        <v>655</v>
      </c>
      <c r="BF24" s="2" t="str">
        <f>HYPERLINK("http://dx.doi.org/10.1016/j.rx.2021.03.006","http://dx.doi.org/10.1016/j.rx.2021.03.006")</f>
        <v>http://dx.doi.org/10.1016/j.rx.2021.03.006</v>
      </c>
      <c r="BG24" s="1" t="s">
        <v>74</v>
      </c>
      <c r="BH24" s="1" t="s">
        <v>74</v>
      </c>
      <c r="BI24" s="1">
        <v>9.0</v>
      </c>
      <c r="BJ24" s="1" t="s">
        <v>656</v>
      </c>
      <c r="BK24" s="1" t="s">
        <v>172</v>
      </c>
      <c r="BL24" s="1" t="s">
        <v>656</v>
      </c>
      <c r="BM24" s="1" t="s">
        <v>657</v>
      </c>
      <c r="BN24" s="1">
        <v>3.3934846E7</v>
      </c>
      <c r="BO24" s="1" t="s">
        <v>74</v>
      </c>
      <c r="BP24" s="1" t="s">
        <v>74</v>
      </c>
      <c r="BQ24" s="1" t="s">
        <v>74</v>
      </c>
      <c r="BR24" s="1" t="s">
        <v>102</v>
      </c>
      <c r="BS24" s="1" t="s">
        <v>658</v>
      </c>
      <c r="BT24" s="1" t="str">
        <f>HYPERLINK("https%3A%2F%2Fwww.webofscience.com%2Fwos%2Fwoscc%2Ffull-record%2FWOS:000957646300004","View Full Record in Web of Science")</f>
        <v>View Full Record in Web of Science</v>
      </c>
    </row>
    <row r="25" ht="12.75" customHeight="1">
      <c r="A25" s="1" t="s">
        <v>72</v>
      </c>
      <c r="B25" s="1" t="s">
        <v>659</v>
      </c>
      <c r="C25" s="1" t="s">
        <v>74</v>
      </c>
      <c r="D25" s="1" t="s">
        <v>660</v>
      </c>
      <c r="E25" s="1" t="s">
        <v>74</v>
      </c>
      <c r="F25" s="1" t="s">
        <v>661</v>
      </c>
      <c r="G25" s="1" t="s">
        <v>74</v>
      </c>
      <c r="H25" s="1" t="s">
        <v>74</v>
      </c>
      <c r="I25" s="1" t="s">
        <v>662</v>
      </c>
      <c r="J25" s="1" t="s">
        <v>663</v>
      </c>
      <c r="K25" s="1" t="s">
        <v>664</v>
      </c>
      <c r="L25" s="1" t="s">
        <v>74</v>
      </c>
      <c r="M25" s="1" t="s">
        <v>80</v>
      </c>
      <c r="N25" s="1" t="s">
        <v>81</v>
      </c>
      <c r="O25" s="1" t="s">
        <v>665</v>
      </c>
      <c r="P25" s="1" t="s">
        <v>666</v>
      </c>
      <c r="Q25" s="1" t="s">
        <v>667</v>
      </c>
      <c r="R25" s="1" t="s">
        <v>668</v>
      </c>
      <c r="S25" s="1" t="s">
        <v>74</v>
      </c>
      <c r="T25" s="1" t="s">
        <v>669</v>
      </c>
      <c r="U25" s="1" t="s">
        <v>670</v>
      </c>
      <c r="V25" s="1" t="s">
        <v>671</v>
      </c>
      <c r="W25" s="1" t="s">
        <v>672</v>
      </c>
      <c r="X25" s="1" t="s">
        <v>673</v>
      </c>
      <c r="Y25" s="1" t="s">
        <v>674</v>
      </c>
      <c r="Z25" s="1" t="s">
        <v>675</v>
      </c>
      <c r="AA25" s="1" t="s">
        <v>676</v>
      </c>
      <c r="AB25" s="1" t="s">
        <v>677</v>
      </c>
      <c r="AC25" s="1" t="s">
        <v>678</v>
      </c>
      <c r="AD25" s="1" t="s">
        <v>678</v>
      </c>
      <c r="AE25" s="1" t="s">
        <v>679</v>
      </c>
      <c r="AF25" s="1" t="s">
        <v>74</v>
      </c>
      <c r="AG25" s="1">
        <v>22.0</v>
      </c>
      <c r="AH25" s="1">
        <v>2.0</v>
      </c>
      <c r="AI25" s="1">
        <v>2.0</v>
      </c>
      <c r="AJ25" s="1">
        <v>14.0</v>
      </c>
      <c r="AK25" s="1">
        <v>106.0</v>
      </c>
      <c r="AL25" s="1" t="s">
        <v>680</v>
      </c>
      <c r="AM25" s="1" t="s">
        <v>681</v>
      </c>
      <c r="AN25" s="1" t="s">
        <v>682</v>
      </c>
      <c r="AO25" s="1" t="s">
        <v>683</v>
      </c>
      <c r="AP25" s="1" t="s">
        <v>74</v>
      </c>
      <c r="AQ25" s="1" t="s">
        <v>684</v>
      </c>
      <c r="AR25" s="1" t="s">
        <v>685</v>
      </c>
      <c r="AS25" s="1" t="s">
        <v>74</v>
      </c>
      <c r="AT25" s="1" t="s">
        <v>74</v>
      </c>
      <c r="AU25" s="1">
        <v>2020.0</v>
      </c>
      <c r="AV25" s="1" t="s">
        <v>74</v>
      </c>
      <c r="AW25" s="1" t="s">
        <v>74</v>
      </c>
      <c r="AX25" s="1" t="s">
        <v>74</v>
      </c>
      <c r="AY25" s="1" t="s">
        <v>74</v>
      </c>
      <c r="AZ25" s="1" t="s">
        <v>74</v>
      </c>
      <c r="BA25" s="1" t="s">
        <v>74</v>
      </c>
      <c r="BB25" s="1">
        <v>758.0</v>
      </c>
      <c r="BC25" s="1">
        <v>767.0</v>
      </c>
      <c r="BD25" s="1" t="s">
        <v>74</v>
      </c>
      <c r="BE25" s="1" t="s">
        <v>686</v>
      </c>
      <c r="BF25" s="2" t="str">
        <f>HYPERLINK("http://dx.doi.org/10.2478/9788366675162-075","http://dx.doi.org/10.2478/9788366675162-075")</f>
        <v>http://dx.doi.org/10.2478/9788366675162-075</v>
      </c>
      <c r="BG25" s="1" t="s">
        <v>74</v>
      </c>
      <c r="BH25" s="1" t="s">
        <v>74</v>
      </c>
      <c r="BI25" s="1">
        <v>10.0</v>
      </c>
      <c r="BJ25" s="1" t="s">
        <v>687</v>
      </c>
      <c r="BK25" s="1" t="s">
        <v>99</v>
      </c>
      <c r="BL25" s="1" t="s">
        <v>688</v>
      </c>
      <c r="BM25" s="1" t="s">
        <v>689</v>
      </c>
      <c r="BN25" s="1" t="s">
        <v>74</v>
      </c>
      <c r="BO25" s="1" t="s">
        <v>74</v>
      </c>
      <c r="BP25" s="1" t="s">
        <v>74</v>
      </c>
      <c r="BQ25" s="1" t="s">
        <v>74</v>
      </c>
      <c r="BR25" s="1" t="s">
        <v>102</v>
      </c>
      <c r="BS25" s="1" t="s">
        <v>690</v>
      </c>
      <c r="BT25" s="1" t="str">
        <f>HYPERLINK("https%3A%2F%2Fwww.webofscience.com%2Fwos%2Fwoscc%2Ffull-record%2FWOS:000763773400074","View Full Record in Web of Science")</f>
        <v>View Full Record in Web of Science</v>
      </c>
    </row>
    <row r="26" ht="12.75" customHeight="1">
      <c r="A26" s="1" t="s">
        <v>72</v>
      </c>
      <c r="B26" s="1" t="s">
        <v>691</v>
      </c>
      <c r="C26" s="1" t="s">
        <v>74</v>
      </c>
      <c r="D26" s="1" t="s">
        <v>692</v>
      </c>
      <c r="E26" s="1" t="s">
        <v>74</v>
      </c>
      <c r="F26" s="1" t="s">
        <v>693</v>
      </c>
      <c r="G26" s="1" t="s">
        <v>74</v>
      </c>
      <c r="H26" s="1" t="s">
        <v>74</v>
      </c>
      <c r="I26" s="1" t="s">
        <v>694</v>
      </c>
      <c r="J26" s="1" t="s">
        <v>695</v>
      </c>
      <c r="K26" s="1" t="s">
        <v>696</v>
      </c>
      <c r="L26" s="1" t="s">
        <v>74</v>
      </c>
      <c r="M26" s="1" t="s">
        <v>80</v>
      </c>
      <c r="N26" s="1" t="s">
        <v>81</v>
      </c>
      <c r="O26" s="1" t="s">
        <v>697</v>
      </c>
      <c r="P26" s="1" t="s">
        <v>698</v>
      </c>
      <c r="Q26" s="1" t="s">
        <v>699</v>
      </c>
      <c r="R26" s="1" t="s">
        <v>700</v>
      </c>
      <c r="S26" s="1" t="s">
        <v>74</v>
      </c>
      <c r="T26" s="1" t="s">
        <v>701</v>
      </c>
      <c r="U26" s="1" t="s">
        <v>702</v>
      </c>
      <c r="V26" s="1" t="s">
        <v>703</v>
      </c>
      <c r="W26" s="1" t="s">
        <v>704</v>
      </c>
      <c r="X26" s="1" t="s">
        <v>705</v>
      </c>
      <c r="Y26" s="1" t="s">
        <v>706</v>
      </c>
      <c r="Z26" s="1" t="s">
        <v>707</v>
      </c>
      <c r="AA26" s="1" t="s">
        <v>708</v>
      </c>
      <c r="AB26" s="1" t="s">
        <v>74</v>
      </c>
      <c r="AC26" s="1" t="s">
        <v>74</v>
      </c>
      <c r="AD26" s="1" t="s">
        <v>74</v>
      </c>
      <c r="AE26" s="1" t="s">
        <v>74</v>
      </c>
      <c r="AF26" s="1" t="s">
        <v>74</v>
      </c>
      <c r="AG26" s="1">
        <v>39.0</v>
      </c>
      <c r="AH26" s="1">
        <v>1.0</v>
      </c>
      <c r="AI26" s="1">
        <v>1.0</v>
      </c>
      <c r="AJ26" s="1">
        <v>8.0</v>
      </c>
      <c r="AK26" s="1">
        <v>34.0</v>
      </c>
      <c r="AL26" s="1" t="s">
        <v>709</v>
      </c>
      <c r="AM26" s="1" t="s">
        <v>710</v>
      </c>
      <c r="AN26" s="1" t="s">
        <v>711</v>
      </c>
      <c r="AO26" s="1" t="s">
        <v>712</v>
      </c>
      <c r="AP26" s="1" t="s">
        <v>74</v>
      </c>
      <c r="AQ26" s="1" t="s">
        <v>74</v>
      </c>
      <c r="AR26" s="1" t="s">
        <v>713</v>
      </c>
      <c r="AS26" s="1" t="s">
        <v>74</v>
      </c>
      <c r="AT26" s="1" t="s">
        <v>74</v>
      </c>
      <c r="AU26" s="1">
        <v>2020.0</v>
      </c>
      <c r="AV26" s="1" t="s">
        <v>74</v>
      </c>
      <c r="AW26" s="1" t="s">
        <v>74</v>
      </c>
      <c r="AX26" s="1" t="s">
        <v>74</v>
      </c>
      <c r="AY26" s="1" t="s">
        <v>74</v>
      </c>
      <c r="AZ26" s="1" t="s">
        <v>74</v>
      </c>
      <c r="BA26" s="1" t="s">
        <v>74</v>
      </c>
      <c r="BB26" s="1">
        <v>1430.0</v>
      </c>
      <c r="BC26" s="1">
        <v>1444.0</v>
      </c>
      <c r="BD26" s="1" t="s">
        <v>74</v>
      </c>
      <c r="BE26" s="1" t="s">
        <v>74</v>
      </c>
      <c r="BF26" s="1" t="s">
        <v>74</v>
      </c>
      <c r="BG26" s="1" t="s">
        <v>74</v>
      </c>
      <c r="BH26" s="1" t="s">
        <v>74</v>
      </c>
      <c r="BI26" s="1">
        <v>15.0</v>
      </c>
      <c r="BJ26" s="1" t="s">
        <v>714</v>
      </c>
      <c r="BK26" s="1" t="s">
        <v>99</v>
      </c>
      <c r="BL26" s="1" t="s">
        <v>715</v>
      </c>
      <c r="BM26" s="1" t="s">
        <v>716</v>
      </c>
      <c r="BN26" s="1" t="s">
        <v>74</v>
      </c>
      <c r="BO26" s="1" t="s">
        <v>74</v>
      </c>
      <c r="BP26" s="1" t="s">
        <v>74</v>
      </c>
      <c r="BQ26" s="1" t="s">
        <v>74</v>
      </c>
      <c r="BR26" s="1" t="s">
        <v>102</v>
      </c>
      <c r="BS26" s="1" t="s">
        <v>717</v>
      </c>
      <c r="BT26" s="1" t="str">
        <f>HYPERLINK("https%3A%2F%2Fwww.webofscience.com%2Fwos%2Fwoscc%2Ffull-record%2FWOS:000728402200105","View Full Record in Web of Science")</f>
        <v>View Full Record in Web of Science</v>
      </c>
    </row>
    <row r="27" ht="12.75" customHeight="1">
      <c r="A27" s="1" t="s">
        <v>132</v>
      </c>
      <c r="B27" s="1" t="s">
        <v>718</v>
      </c>
      <c r="C27" s="1" t="s">
        <v>74</v>
      </c>
      <c r="D27" s="1" t="s">
        <v>74</v>
      </c>
      <c r="E27" s="1" t="s">
        <v>74</v>
      </c>
      <c r="F27" s="1" t="s">
        <v>719</v>
      </c>
      <c r="G27" s="1" t="s">
        <v>74</v>
      </c>
      <c r="H27" s="1" t="s">
        <v>74</v>
      </c>
      <c r="I27" s="1" t="s">
        <v>720</v>
      </c>
      <c r="J27" s="1" t="s">
        <v>721</v>
      </c>
      <c r="K27" s="1" t="s">
        <v>74</v>
      </c>
      <c r="L27" s="1" t="s">
        <v>74</v>
      </c>
      <c r="M27" s="1" t="s">
        <v>638</v>
      </c>
      <c r="N27" s="1" t="s">
        <v>136</v>
      </c>
      <c r="O27" s="1" t="s">
        <v>74</v>
      </c>
      <c r="P27" s="1" t="s">
        <v>74</v>
      </c>
      <c r="Q27" s="1" t="s">
        <v>74</v>
      </c>
      <c r="R27" s="1" t="s">
        <v>74</v>
      </c>
      <c r="S27" s="1" t="s">
        <v>74</v>
      </c>
      <c r="T27" s="1" t="s">
        <v>722</v>
      </c>
      <c r="U27" s="1" t="s">
        <v>74</v>
      </c>
      <c r="V27" s="1" t="s">
        <v>723</v>
      </c>
      <c r="W27" s="1" t="s">
        <v>724</v>
      </c>
      <c r="X27" s="1" t="s">
        <v>74</v>
      </c>
      <c r="Y27" s="1" t="s">
        <v>725</v>
      </c>
      <c r="Z27" s="1" t="s">
        <v>726</v>
      </c>
      <c r="AA27" s="1" t="s">
        <v>74</v>
      </c>
      <c r="AB27" s="1" t="s">
        <v>74</v>
      </c>
      <c r="AC27" s="1" t="s">
        <v>74</v>
      </c>
      <c r="AD27" s="1" t="s">
        <v>74</v>
      </c>
      <c r="AE27" s="1" t="s">
        <v>74</v>
      </c>
      <c r="AF27" s="1" t="s">
        <v>74</v>
      </c>
      <c r="AG27" s="1">
        <v>46.0</v>
      </c>
      <c r="AH27" s="1">
        <v>3.0</v>
      </c>
      <c r="AI27" s="1">
        <v>3.0</v>
      </c>
      <c r="AJ27" s="1">
        <v>25.0</v>
      </c>
      <c r="AK27" s="1">
        <v>67.0</v>
      </c>
      <c r="AL27" s="1" t="s">
        <v>727</v>
      </c>
      <c r="AM27" s="1" t="s">
        <v>728</v>
      </c>
      <c r="AN27" s="1" t="s">
        <v>729</v>
      </c>
      <c r="AO27" s="1" t="s">
        <v>730</v>
      </c>
      <c r="AP27" s="1" t="s">
        <v>731</v>
      </c>
      <c r="AQ27" s="1" t="s">
        <v>74</v>
      </c>
      <c r="AR27" s="1" t="s">
        <v>732</v>
      </c>
      <c r="AS27" s="1" t="s">
        <v>721</v>
      </c>
      <c r="AT27" s="1" t="s">
        <v>733</v>
      </c>
      <c r="AU27" s="1">
        <v>2023.0</v>
      </c>
      <c r="AV27" s="1">
        <v>41.0</v>
      </c>
      <c r="AW27" s="1">
        <v>3.0</v>
      </c>
      <c r="AX27" s="1" t="s">
        <v>74</v>
      </c>
      <c r="AY27" s="1" t="s">
        <v>74</v>
      </c>
      <c r="AZ27" s="1" t="s">
        <v>74</v>
      </c>
      <c r="BA27" s="1" t="s">
        <v>74</v>
      </c>
      <c r="BB27" s="1">
        <v>235.0</v>
      </c>
      <c r="BC27" s="1">
        <v>263.0</v>
      </c>
      <c r="BD27" s="1" t="s">
        <v>74</v>
      </c>
      <c r="BE27" s="1" t="s">
        <v>734</v>
      </c>
      <c r="BF27" s="2" t="str">
        <f>HYPERLINK("http://dx.doi.org/10.6018/educatio.555681","http://dx.doi.org/10.6018/educatio.555681")</f>
        <v>http://dx.doi.org/10.6018/educatio.555681</v>
      </c>
      <c r="BG27" s="1" t="s">
        <v>74</v>
      </c>
      <c r="BH27" s="1" t="s">
        <v>74</v>
      </c>
      <c r="BI27" s="1">
        <v>29.0</v>
      </c>
      <c r="BJ27" s="1" t="s">
        <v>171</v>
      </c>
      <c r="BK27" s="1" t="s">
        <v>172</v>
      </c>
      <c r="BL27" s="1" t="s">
        <v>171</v>
      </c>
      <c r="BM27" s="1" t="s">
        <v>735</v>
      </c>
      <c r="BN27" s="1" t="s">
        <v>74</v>
      </c>
      <c r="BO27" s="1" t="s">
        <v>174</v>
      </c>
      <c r="BP27" s="1" t="s">
        <v>74</v>
      </c>
      <c r="BQ27" s="1" t="s">
        <v>74</v>
      </c>
      <c r="BR27" s="1" t="s">
        <v>102</v>
      </c>
      <c r="BS27" s="1" t="s">
        <v>736</v>
      </c>
      <c r="BT27" s="1" t="str">
        <f>HYPERLINK("https%3A%2F%2Fwww.webofscience.com%2Fwos%2Fwoscc%2Ffull-record%2FWOS:001098940400011","View Full Record in Web of Science")</f>
        <v>View Full Record in Web of Science</v>
      </c>
    </row>
    <row r="28" ht="12.75" customHeight="1">
      <c r="A28" s="1" t="s">
        <v>72</v>
      </c>
      <c r="B28" s="1" t="s">
        <v>737</v>
      </c>
      <c r="C28" s="1" t="s">
        <v>74</v>
      </c>
      <c r="D28" s="1" t="s">
        <v>738</v>
      </c>
      <c r="E28" s="1" t="s">
        <v>74</v>
      </c>
      <c r="F28" s="1" t="s">
        <v>739</v>
      </c>
      <c r="G28" s="1" t="s">
        <v>74</v>
      </c>
      <c r="H28" s="1" t="s">
        <v>74</v>
      </c>
      <c r="I28" s="1" t="s">
        <v>740</v>
      </c>
      <c r="J28" s="1" t="s">
        <v>741</v>
      </c>
      <c r="K28" s="1" t="s">
        <v>742</v>
      </c>
      <c r="L28" s="1" t="s">
        <v>74</v>
      </c>
      <c r="M28" s="1" t="s">
        <v>80</v>
      </c>
      <c r="N28" s="1" t="s">
        <v>81</v>
      </c>
      <c r="O28" s="1" t="s">
        <v>743</v>
      </c>
      <c r="P28" s="1" t="s">
        <v>744</v>
      </c>
      <c r="Q28" s="1" t="s">
        <v>745</v>
      </c>
      <c r="R28" s="1" t="s">
        <v>74</v>
      </c>
      <c r="S28" s="1" t="s">
        <v>74</v>
      </c>
      <c r="T28" s="1" t="s">
        <v>746</v>
      </c>
      <c r="U28" s="1" t="s">
        <v>747</v>
      </c>
      <c r="V28" s="1" t="s">
        <v>748</v>
      </c>
      <c r="W28" s="1" t="s">
        <v>749</v>
      </c>
      <c r="X28" s="1" t="s">
        <v>750</v>
      </c>
      <c r="Y28" s="1" t="s">
        <v>751</v>
      </c>
      <c r="Z28" s="1" t="s">
        <v>74</v>
      </c>
      <c r="AA28" s="1" t="s">
        <v>752</v>
      </c>
      <c r="AB28" s="1" t="s">
        <v>74</v>
      </c>
      <c r="AC28" s="1" t="s">
        <v>74</v>
      </c>
      <c r="AD28" s="1" t="s">
        <v>74</v>
      </c>
      <c r="AE28" s="1" t="s">
        <v>74</v>
      </c>
      <c r="AF28" s="1" t="s">
        <v>74</v>
      </c>
      <c r="AG28" s="1">
        <v>37.0</v>
      </c>
      <c r="AH28" s="1">
        <v>1.0</v>
      </c>
      <c r="AI28" s="1">
        <v>1.0</v>
      </c>
      <c r="AJ28" s="1">
        <v>3.0</v>
      </c>
      <c r="AK28" s="1">
        <v>23.0</v>
      </c>
      <c r="AL28" s="1" t="s">
        <v>753</v>
      </c>
      <c r="AM28" s="1" t="s">
        <v>754</v>
      </c>
      <c r="AN28" s="1" t="s">
        <v>755</v>
      </c>
      <c r="AO28" s="1" t="s">
        <v>756</v>
      </c>
      <c r="AP28" s="1" t="s">
        <v>74</v>
      </c>
      <c r="AQ28" s="1" t="s">
        <v>757</v>
      </c>
      <c r="AR28" s="1" t="s">
        <v>758</v>
      </c>
      <c r="AS28" s="1" t="s">
        <v>74</v>
      </c>
      <c r="AT28" s="1" t="s">
        <v>74</v>
      </c>
      <c r="AU28" s="1">
        <v>2019.0</v>
      </c>
      <c r="AV28" s="1" t="s">
        <v>74</v>
      </c>
      <c r="AW28" s="1" t="s">
        <v>74</v>
      </c>
      <c r="AX28" s="1" t="s">
        <v>74</v>
      </c>
      <c r="AY28" s="1" t="s">
        <v>74</v>
      </c>
      <c r="AZ28" s="1" t="s">
        <v>74</v>
      </c>
      <c r="BA28" s="1" t="s">
        <v>74</v>
      </c>
      <c r="BB28" s="1">
        <v>9330.0</v>
      </c>
      <c r="BC28" s="1">
        <v>9338.0</v>
      </c>
      <c r="BD28" s="1" t="s">
        <v>74</v>
      </c>
      <c r="BE28" s="1" t="s">
        <v>74</v>
      </c>
      <c r="BF28" s="1" t="s">
        <v>74</v>
      </c>
      <c r="BG28" s="1" t="s">
        <v>74</v>
      </c>
      <c r="BH28" s="1" t="s">
        <v>74</v>
      </c>
      <c r="BI28" s="1">
        <v>9.0</v>
      </c>
      <c r="BJ28" s="1" t="s">
        <v>171</v>
      </c>
      <c r="BK28" s="1" t="s">
        <v>99</v>
      </c>
      <c r="BL28" s="1" t="s">
        <v>171</v>
      </c>
      <c r="BM28" s="1" t="s">
        <v>759</v>
      </c>
      <c r="BN28" s="1" t="s">
        <v>74</v>
      </c>
      <c r="BO28" s="1" t="s">
        <v>74</v>
      </c>
      <c r="BP28" s="1" t="s">
        <v>74</v>
      </c>
      <c r="BQ28" s="1" t="s">
        <v>74</v>
      </c>
      <c r="BR28" s="1" t="s">
        <v>102</v>
      </c>
      <c r="BS28" s="1" t="s">
        <v>760</v>
      </c>
      <c r="BT28" s="1" t="str">
        <f>HYPERLINK("https%3A%2F%2Fwww.webofscience.com%2Fwos%2Fwoscc%2Ffull-record%2FWOS:000530212405046","View Full Record in Web of Science")</f>
        <v>View Full Record in Web of Science</v>
      </c>
    </row>
    <row r="29" ht="12.75" customHeight="1">
      <c r="A29" s="1" t="s">
        <v>132</v>
      </c>
      <c r="B29" s="1" t="s">
        <v>761</v>
      </c>
      <c r="C29" s="1" t="s">
        <v>74</v>
      </c>
      <c r="D29" s="1" t="s">
        <v>74</v>
      </c>
      <c r="E29" s="1" t="s">
        <v>74</v>
      </c>
      <c r="F29" s="1" t="s">
        <v>762</v>
      </c>
      <c r="G29" s="1" t="s">
        <v>74</v>
      </c>
      <c r="H29" s="1" t="s">
        <v>74</v>
      </c>
      <c r="I29" s="1" t="s">
        <v>763</v>
      </c>
      <c r="J29" s="1" t="s">
        <v>764</v>
      </c>
      <c r="K29" s="1" t="s">
        <v>74</v>
      </c>
      <c r="L29" s="1" t="s">
        <v>74</v>
      </c>
      <c r="M29" s="1" t="s">
        <v>80</v>
      </c>
      <c r="N29" s="1" t="s">
        <v>136</v>
      </c>
      <c r="O29" s="1" t="s">
        <v>74</v>
      </c>
      <c r="P29" s="1" t="s">
        <v>74</v>
      </c>
      <c r="Q29" s="1" t="s">
        <v>74</v>
      </c>
      <c r="R29" s="1" t="s">
        <v>74</v>
      </c>
      <c r="S29" s="1" t="s">
        <v>74</v>
      </c>
      <c r="T29" s="1" t="s">
        <v>765</v>
      </c>
      <c r="U29" s="1" t="s">
        <v>766</v>
      </c>
      <c r="V29" s="1" t="s">
        <v>767</v>
      </c>
      <c r="W29" s="1" t="s">
        <v>768</v>
      </c>
      <c r="X29" s="1" t="s">
        <v>769</v>
      </c>
      <c r="Y29" s="1" t="s">
        <v>770</v>
      </c>
      <c r="Z29" s="1" t="s">
        <v>771</v>
      </c>
      <c r="AA29" s="1" t="s">
        <v>772</v>
      </c>
      <c r="AB29" s="1" t="s">
        <v>773</v>
      </c>
      <c r="AC29" s="1" t="s">
        <v>774</v>
      </c>
      <c r="AD29" s="1" t="s">
        <v>775</v>
      </c>
      <c r="AE29" s="1" t="s">
        <v>776</v>
      </c>
      <c r="AF29" s="1" t="s">
        <v>74</v>
      </c>
      <c r="AG29" s="1">
        <v>229.0</v>
      </c>
      <c r="AH29" s="1">
        <v>69.0</v>
      </c>
      <c r="AI29" s="1">
        <v>71.0</v>
      </c>
      <c r="AJ29" s="1">
        <v>22.0</v>
      </c>
      <c r="AK29" s="1">
        <v>139.0</v>
      </c>
      <c r="AL29" s="1" t="s">
        <v>321</v>
      </c>
      <c r="AM29" s="1" t="s">
        <v>322</v>
      </c>
      <c r="AN29" s="1" t="s">
        <v>323</v>
      </c>
      <c r="AO29" s="1" t="s">
        <v>777</v>
      </c>
      <c r="AP29" s="1" t="s">
        <v>74</v>
      </c>
      <c r="AQ29" s="1" t="s">
        <v>74</v>
      </c>
      <c r="AR29" s="1" t="s">
        <v>778</v>
      </c>
      <c r="AS29" s="1" t="s">
        <v>779</v>
      </c>
      <c r="AT29" s="1" t="s">
        <v>199</v>
      </c>
      <c r="AU29" s="1">
        <v>2021.0</v>
      </c>
      <c r="AV29" s="1">
        <v>7.0</v>
      </c>
      <c r="AW29" s="1" t="s">
        <v>74</v>
      </c>
      <c r="AX29" s="1" t="s">
        <v>74</v>
      </c>
      <c r="AY29" s="1" t="s">
        <v>74</v>
      </c>
      <c r="AZ29" s="1" t="s">
        <v>74</v>
      </c>
      <c r="BA29" s="1" t="s">
        <v>74</v>
      </c>
      <c r="BB29" s="1">
        <v>5359.0</v>
      </c>
      <c r="BC29" s="1">
        <v>5373.0</v>
      </c>
      <c r="BD29" s="1" t="s">
        <v>74</v>
      </c>
      <c r="BE29" s="1" t="s">
        <v>780</v>
      </c>
      <c r="BF29" s="2" t="str">
        <f>HYPERLINK("http://dx.doi.org/10.1016/j.egyr.2021.08.172","http://dx.doi.org/10.1016/j.egyr.2021.08.172")</f>
        <v>http://dx.doi.org/10.1016/j.egyr.2021.08.172</v>
      </c>
      <c r="BG29" s="1" t="s">
        <v>74</v>
      </c>
      <c r="BH29" s="1" t="s">
        <v>781</v>
      </c>
      <c r="BI29" s="1">
        <v>15.0</v>
      </c>
      <c r="BJ29" s="1" t="s">
        <v>782</v>
      </c>
      <c r="BK29" s="1" t="s">
        <v>783</v>
      </c>
      <c r="BL29" s="1" t="s">
        <v>782</v>
      </c>
      <c r="BM29" s="1" t="s">
        <v>784</v>
      </c>
      <c r="BN29" s="1" t="s">
        <v>74</v>
      </c>
      <c r="BO29" s="1" t="s">
        <v>785</v>
      </c>
      <c r="BP29" s="1" t="s">
        <v>74</v>
      </c>
      <c r="BQ29" s="1" t="s">
        <v>74</v>
      </c>
      <c r="BR29" s="1" t="s">
        <v>102</v>
      </c>
      <c r="BS29" s="1" t="s">
        <v>786</v>
      </c>
      <c r="BT29" s="1" t="str">
        <f>HYPERLINK("https%3A%2F%2Fwww.webofscience.com%2Fwos%2Fwoscc%2Ffull-record%2FWOS:000701734000007","View Full Record in Web of Science")</f>
        <v>View Full Record in Web of Science</v>
      </c>
    </row>
    <row r="30" ht="12.75" customHeight="1">
      <c r="A30" s="1" t="s">
        <v>72</v>
      </c>
      <c r="B30" s="1" t="s">
        <v>787</v>
      </c>
      <c r="C30" s="1" t="s">
        <v>74</v>
      </c>
      <c r="D30" s="1" t="s">
        <v>74</v>
      </c>
      <c r="E30" s="1" t="s">
        <v>236</v>
      </c>
      <c r="F30" s="1" t="s">
        <v>788</v>
      </c>
      <c r="G30" s="1" t="s">
        <v>74</v>
      </c>
      <c r="H30" s="1" t="s">
        <v>74</v>
      </c>
      <c r="I30" s="1" t="s">
        <v>789</v>
      </c>
      <c r="J30" s="1" t="s">
        <v>790</v>
      </c>
      <c r="K30" s="1" t="s">
        <v>74</v>
      </c>
      <c r="L30" s="1" t="s">
        <v>74</v>
      </c>
      <c r="M30" s="1" t="s">
        <v>80</v>
      </c>
      <c r="N30" s="1" t="s">
        <v>81</v>
      </c>
      <c r="O30" s="1" t="s">
        <v>791</v>
      </c>
      <c r="P30" s="1" t="s">
        <v>792</v>
      </c>
      <c r="Q30" s="1" t="s">
        <v>667</v>
      </c>
      <c r="R30" s="1" t="s">
        <v>793</v>
      </c>
      <c r="S30" s="1" t="s">
        <v>74</v>
      </c>
      <c r="T30" s="1" t="s">
        <v>794</v>
      </c>
      <c r="U30" s="1" t="s">
        <v>74</v>
      </c>
      <c r="V30" s="1" t="s">
        <v>795</v>
      </c>
      <c r="W30" s="1" t="s">
        <v>796</v>
      </c>
      <c r="X30" s="1" t="s">
        <v>797</v>
      </c>
      <c r="Y30" s="1" t="s">
        <v>798</v>
      </c>
      <c r="Z30" s="1" t="s">
        <v>799</v>
      </c>
      <c r="AA30" s="1" t="s">
        <v>74</v>
      </c>
      <c r="AB30" s="1" t="s">
        <v>74</v>
      </c>
      <c r="AC30" s="1" t="s">
        <v>74</v>
      </c>
      <c r="AD30" s="1" t="s">
        <v>74</v>
      </c>
      <c r="AE30" s="1" t="s">
        <v>74</v>
      </c>
      <c r="AF30" s="1" t="s">
        <v>74</v>
      </c>
      <c r="AG30" s="1">
        <v>9.0</v>
      </c>
      <c r="AH30" s="1">
        <v>4.0</v>
      </c>
      <c r="AI30" s="1">
        <v>5.0</v>
      </c>
      <c r="AJ30" s="1">
        <v>2.0</v>
      </c>
      <c r="AK30" s="1">
        <v>4.0</v>
      </c>
      <c r="AL30" s="1" t="s">
        <v>296</v>
      </c>
      <c r="AM30" s="1" t="s">
        <v>297</v>
      </c>
      <c r="AN30" s="1" t="s">
        <v>800</v>
      </c>
      <c r="AO30" s="1" t="s">
        <v>74</v>
      </c>
      <c r="AP30" s="1" t="s">
        <v>74</v>
      </c>
      <c r="AQ30" s="1" t="s">
        <v>801</v>
      </c>
      <c r="AR30" s="1" t="s">
        <v>74</v>
      </c>
      <c r="AS30" s="1" t="s">
        <v>74</v>
      </c>
      <c r="AT30" s="1" t="s">
        <v>74</v>
      </c>
      <c r="AU30" s="1">
        <v>2022.0</v>
      </c>
      <c r="AV30" s="1" t="s">
        <v>74</v>
      </c>
      <c r="AW30" s="1" t="s">
        <v>74</v>
      </c>
      <c r="AX30" s="1" t="s">
        <v>74</v>
      </c>
      <c r="AY30" s="1" t="s">
        <v>74</v>
      </c>
      <c r="AZ30" s="1" t="s">
        <v>74</v>
      </c>
      <c r="BA30" s="1" t="s">
        <v>74</v>
      </c>
      <c r="BB30" s="1">
        <v>52.0</v>
      </c>
      <c r="BC30" s="1">
        <v>56.0</v>
      </c>
      <c r="BD30" s="1" t="s">
        <v>74</v>
      </c>
      <c r="BE30" s="1" t="s">
        <v>802</v>
      </c>
      <c r="BF30" s="2" t="str">
        <f>HYPERLINK("http://dx.doi.org/10.1109/FAIML57028.2022.00020","http://dx.doi.org/10.1109/FAIML57028.2022.00020")</f>
        <v>http://dx.doi.org/10.1109/FAIML57028.2022.00020</v>
      </c>
      <c r="BG30" s="1" t="s">
        <v>74</v>
      </c>
      <c r="BH30" s="1" t="s">
        <v>74</v>
      </c>
      <c r="BI30" s="1">
        <v>5.0</v>
      </c>
      <c r="BJ30" s="1" t="s">
        <v>257</v>
      </c>
      <c r="BK30" s="1" t="s">
        <v>128</v>
      </c>
      <c r="BL30" s="1" t="s">
        <v>232</v>
      </c>
      <c r="BM30" s="1" t="s">
        <v>803</v>
      </c>
      <c r="BN30" s="1" t="s">
        <v>74</v>
      </c>
      <c r="BO30" s="1" t="s">
        <v>74</v>
      </c>
      <c r="BP30" s="1" t="s">
        <v>74</v>
      </c>
      <c r="BQ30" s="1" t="s">
        <v>74</v>
      </c>
      <c r="BR30" s="1" t="s">
        <v>102</v>
      </c>
      <c r="BS30" s="1" t="s">
        <v>804</v>
      </c>
      <c r="BT30" s="1" t="str">
        <f>HYPERLINK("https%3A%2F%2Fwww.webofscience.com%2Fwos%2Fwoscc%2Ffull-record%2FWOS:001338040500010","View Full Record in Web of Science")</f>
        <v>View Full Record in Web of Science</v>
      </c>
    </row>
    <row r="31" ht="12.75" customHeight="1">
      <c r="A31" s="1" t="s">
        <v>72</v>
      </c>
      <c r="B31" s="1" t="s">
        <v>805</v>
      </c>
      <c r="C31" s="1" t="s">
        <v>74</v>
      </c>
      <c r="D31" s="1" t="s">
        <v>806</v>
      </c>
      <c r="E31" s="1" t="s">
        <v>74</v>
      </c>
      <c r="F31" s="1" t="s">
        <v>807</v>
      </c>
      <c r="G31" s="1" t="s">
        <v>74</v>
      </c>
      <c r="H31" s="1" t="s">
        <v>74</v>
      </c>
      <c r="I31" s="1" t="s">
        <v>808</v>
      </c>
      <c r="J31" s="1" t="s">
        <v>809</v>
      </c>
      <c r="K31" s="1" t="s">
        <v>74</v>
      </c>
      <c r="L31" s="1" t="s">
        <v>74</v>
      </c>
      <c r="M31" s="1" t="s">
        <v>80</v>
      </c>
      <c r="N31" s="1" t="s">
        <v>81</v>
      </c>
      <c r="O31" s="1" t="s">
        <v>810</v>
      </c>
      <c r="P31" s="1" t="s">
        <v>811</v>
      </c>
      <c r="Q31" s="1" t="s">
        <v>812</v>
      </c>
      <c r="R31" s="1" t="s">
        <v>74</v>
      </c>
      <c r="S31" s="1" t="s">
        <v>74</v>
      </c>
      <c r="T31" s="1" t="s">
        <v>813</v>
      </c>
      <c r="U31" s="1" t="s">
        <v>74</v>
      </c>
      <c r="V31" s="1" t="s">
        <v>814</v>
      </c>
      <c r="W31" s="1" t="s">
        <v>815</v>
      </c>
      <c r="X31" s="1" t="s">
        <v>816</v>
      </c>
      <c r="Y31" s="1" t="s">
        <v>817</v>
      </c>
      <c r="Z31" s="1" t="s">
        <v>818</v>
      </c>
      <c r="AA31" s="1" t="s">
        <v>819</v>
      </c>
      <c r="AB31" s="1" t="s">
        <v>820</v>
      </c>
      <c r="AC31" s="1" t="s">
        <v>74</v>
      </c>
      <c r="AD31" s="1" t="s">
        <v>74</v>
      </c>
      <c r="AE31" s="1" t="s">
        <v>74</v>
      </c>
      <c r="AF31" s="1" t="s">
        <v>74</v>
      </c>
      <c r="AG31" s="1">
        <v>6.0</v>
      </c>
      <c r="AH31" s="1">
        <v>0.0</v>
      </c>
      <c r="AI31" s="1">
        <v>0.0</v>
      </c>
      <c r="AJ31" s="1">
        <v>18.0</v>
      </c>
      <c r="AK31" s="1">
        <v>64.0</v>
      </c>
      <c r="AL31" s="1" t="s">
        <v>821</v>
      </c>
      <c r="AM31" s="1" t="s">
        <v>822</v>
      </c>
      <c r="AN31" s="1" t="s">
        <v>823</v>
      </c>
      <c r="AO31" s="1" t="s">
        <v>74</v>
      </c>
      <c r="AP31" s="1" t="s">
        <v>74</v>
      </c>
      <c r="AQ31" s="1" t="s">
        <v>824</v>
      </c>
      <c r="AR31" s="1" t="s">
        <v>74</v>
      </c>
      <c r="AS31" s="1" t="s">
        <v>74</v>
      </c>
      <c r="AT31" s="1" t="s">
        <v>74</v>
      </c>
      <c r="AU31" s="1">
        <v>2021.0</v>
      </c>
      <c r="AV31" s="1" t="s">
        <v>74</v>
      </c>
      <c r="AW31" s="1" t="s">
        <v>74</v>
      </c>
      <c r="AX31" s="1" t="s">
        <v>74</v>
      </c>
      <c r="AY31" s="1" t="s">
        <v>74</v>
      </c>
      <c r="AZ31" s="1" t="s">
        <v>74</v>
      </c>
      <c r="BA31" s="1" t="s">
        <v>74</v>
      </c>
      <c r="BB31" s="1">
        <v>209.0</v>
      </c>
      <c r="BC31" s="1">
        <v>216.0</v>
      </c>
      <c r="BD31" s="1" t="s">
        <v>74</v>
      </c>
      <c r="BE31" s="1" t="s">
        <v>74</v>
      </c>
      <c r="BF31" s="1" t="s">
        <v>74</v>
      </c>
      <c r="BG31" s="1" t="s">
        <v>74</v>
      </c>
      <c r="BH31" s="1" t="s">
        <v>74</v>
      </c>
      <c r="BI31" s="1">
        <v>8.0</v>
      </c>
      <c r="BJ31" s="1" t="s">
        <v>825</v>
      </c>
      <c r="BK31" s="1" t="s">
        <v>99</v>
      </c>
      <c r="BL31" s="1" t="s">
        <v>826</v>
      </c>
      <c r="BM31" s="1" t="s">
        <v>827</v>
      </c>
      <c r="BN31" s="1" t="s">
        <v>74</v>
      </c>
      <c r="BO31" s="1" t="s">
        <v>74</v>
      </c>
      <c r="BP31" s="1" t="s">
        <v>74</v>
      </c>
      <c r="BQ31" s="1" t="s">
        <v>74</v>
      </c>
      <c r="BR31" s="1" t="s">
        <v>102</v>
      </c>
      <c r="BS31" s="1" t="s">
        <v>828</v>
      </c>
      <c r="BT31" s="1" t="str">
        <f>HYPERLINK("https%3A%2F%2Fwww.webofscience.com%2Fwos%2Fwoscc%2Ffull-record%2FWOS:000749374800013","View Full Record in Web of Science")</f>
        <v>View Full Record in Web of Science</v>
      </c>
    </row>
    <row r="32" ht="12.75" customHeight="1">
      <c r="A32" s="1" t="s">
        <v>132</v>
      </c>
      <c r="B32" s="1" t="s">
        <v>829</v>
      </c>
      <c r="C32" s="1" t="s">
        <v>74</v>
      </c>
      <c r="D32" s="1" t="s">
        <v>74</v>
      </c>
      <c r="E32" s="1" t="s">
        <v>74</v>
      </c>
      <c r="F32" s="1" t="s">
        <v>830</v>
      </c>
      <c r="G32" s="1" t="s">
        <v>74</v>
      </c>
      <c r="H32" s="1" t="s">
        <v>74</v>
      </c>
      <c r="I32" s="1" t="s">
        <v>831</v>
      </c>
      <c r="J32" s="1" t="s">
        <v>832</v>
      </c>
      <c r="K32" s="1" t="s">
        <v>74</v>
      </c>
      <c r="L32" s="1" t="s">
        <v>74</v>
      </c>
      <c r="M32" s="1" t="s">
        <v>80</v>
      </c>
      <c r="N32" s="1" t="s">
        <v>136</v>
      </c>
      <c r="O32" s="1" t="s">
        <v>74</v>
      </c>
      <c r="P32" s="1" t="s">
        <v>74</v>
      </c>
      <c r="Q32" s="1" t="s">
        <v>74</v>
      </c>
      <c r="R32" s="1" t="s">
        <v>74</v>
      </c>
      <c r="S32" s="1" t="s">
        <v>74</v>
      </c>
      <c r="T32" s="1" t="s">
        <v>833</v>
      </c>
      <c r="U32" s="1" t="s">
        <v>74</v>
      </c>
      <c r="V32" s="1" t="s">
        <v>834</v>
      </c>
      <c r="W32" s="1" t="s">
        <v>835</v>
      </c>
      <c r="X32" s="1" t="s">
        <v>836</v>
      </c>
      <c r="Y32" s="1" t="s">
        <v>837</v>
      </c>
      <c r="Z32" s="1" t="s">
        <v>838</v>
      </c>
      <c r="AA32" s="1" t="s">
        <v>74</v>
      </c>
      <c r="AB32" s="1" t="s">
        <v>74</v>
      </c>
      <c r="AC32" s="1" t="s">
        <v>74</v>
      </c>
      <c r="AD32" s="1" t="s">
        <v>74</v>
      </c>
      <c r="AE32" s="1" t="s">
        <v>74</v>
      </c>
      <c r="AF32" s="1" t="s">
        <v>74</v>
      </c>
      <c r="AG32" s="1">
        <v>10.0</v>
      </c>
      <c r="AH32" s="1">
        <v>0.0</v>
      </c>
      <c r="AI32" s="1">
        <v>0.0</v>
      </c>
      <c r="AJ32" s="1">
        <v>37.0</v>
      </c>
      <c r="AK32" s="1">
        <v>41.0</v>
      </c>
      <c r="AL32" s="1" t="s">
        <v>296</v>
      </c>
      <c r="AM32" s="1" t="s">
        <v>297</v>
      </c>
      <c r="AN32" s="1" t="s">
        <v>298</v>
      </c>
      <c r="AO32" s="1" t="s">
        <v>839</v>
      </c>
      <c r="AP32" s="1" t="s">
        <v>840</v>
      </c>
      <c r="AQ32" s="1" t="s">
        <v>74</v>
      </c>
      <c r="AR32" s="1" t="s">
        <v>841</v>
      </c>
      <c r="AS32" s="1" t="s">
        <v>842</v>
      </c>
      <c r="AT32" s="1" t="s">
        <v>843</v>
      </c>
      <c r="AU32" s="1">
        <v>2024.0</v>
      </c>
      <c r="AV32" s="1">
        <v>26.0</v>
      </c>
      <c r="AW32" s="1">
        <v>3.0</v>
      </c>
      <c r="AX32" s="1" t="s">
        <v>74</v>
      </c>
      <c r="AY32" s="1" t="s">
        <v>74</v>
      </c>
      <c r="AZ32" s="1" t="s">
        <v>74</v>
      </c>
      <c r="BA32" s="1" t="s">
        <v>74</v>
      </c>
      <c r="BB32" s="1">
        <v>9.0</v>
      </c>
      <c r="BC32" s="1">
        <v>13.0</v>
      </c>
      <c r="BD32" s="1" t="s">
        <v>74</v>
      </c>
      <c r="BE32" s="1" t="s">
        <v>844</v>
      </c>
      <c r="BF32" s="2" t="str">
        <f>HYPERLINK("http://dx.doi.org/10.1109/MITP.2024.3399471","http://dx.doi.org/10.1109/MITP.2024.3399471")</f>
        <v>http://dx.doi.org/10.1109/MITP.2024.3399471</v>
      </c>
      <c r="BG32" s="1" t="s">
        <v>74</v>
      </c>
      <c r="BH32" s="1" t="s">
        <v>74</v>
      </c>
      <c r="BI32" s="1">
        <v>5.0</v>
      </c>
      <c r="BJ32" s="1" t="s">
        <v>845</v>
      </c>
      <c r="BK32" s="1" t="s">
        <v>149</v>
      </c>
      <c r="BL32" s="1" t="s">
        <v>846</v>
      </c>
      <c r="BM32" s="1" t="s">
        <v>847</v>
      </c>
      <c r="BN32" s="1" t="s">
        <v>74</v>
      </c>
      <c r="BO32" s="1" t="s">
        <v>74</v>
      </c>
      <c r="BP32" s="1" t="s">
        <v>74</v>
      </c>
      <c r="BQ32" s="1" t="s">
        <v>74</v>
      </c>
      <c r="BR32" s="1" t="s">
        <v>102</v>
      </c>
      <c r="BS32" s="1" t="s">
        <v>848</v>
      </c>
      <c r="BT32" s="1" t="str">
        <f>HYPERLINK("https%3A%2F%2Fwww.webofscience.com%2Fwos%2Fwoscc%2Ffull-record%2FWOS:001258222000012","View Full Record in Web of Science")</f>
        <v>View Full Record in Web of Science</v>
      </c>
    </row>
    <row r="33" ht="12.75" customHeight="1">
      <c r="A33" s="1" t="s">
        <v>132</v>
      </c>
      <c r="B33" s="1" t="s">
        <v>849</v>
      </c>
      <c r="C33" s="1" t="s">
        <v>74</v>
      </c>
      <c r="D33" s="1" t="s">
        <v>74</v>
      </c>
      <c r="E33" s="1" t="s">
        <v>74</v>
      </c>
      <c r="F33" s="1" t="s">
        <v>850</v>
      </c>
      <c r="G33" s="1" t="s">
        <v>74</v>
      </c>
      <c r="H33" s="1" t="s">
        <v>74</v>
      </c>
      <c r="I33" s="1" t="s">
        <v>851</v>
      </c>
      <c r="J33" s="1" t="s">
        <v>852</v>
      </c>
      <c r="K33" s="1" t="s">
        <v>74</v>
      </c>
      <c r="L33" s="1" t="s">
        <v>74</v>
      </c>
      <c r="M33" s="1" t="s">
        <v>80</v>
      </c>
      <c r="N33" s="1" t="s">
        <v>136</v>
      </c>
      <c r="O33" s="1" t="s">
        <v>74</v>
      </c>
      <c r="P33" s="1" t="s">
        <v>74</v>
      </c>
      <c r="Q33" s="1" t="s">
        <v>74</v>
      </c>
      <c r="R33" s="1" t="s">
        <v>74</v>
      </c>
      <c r="S33" s="1" t="s">
        <v>74</v>
      </c>
      <c r="T33" s="1" t="s">
        <v>853</v>
      </c>
      <c r="U33" s="1" t="s">
        <v>854</v>
      </c>
      <c r="V33" s="1" t="s">
        <v>855</v>
      </c>
      <c r="W33" s="1" t="s">
        <v>856</v>
      </c>
      <c r="X33" s="1" t="s">
        <v>857</v>
      </c>
      <c r="Y33" s="1" t="s">
        <v>858</v>
      </c>
      <c r="Z33" s="1" t="s">
        <v>859</v>
      </c>
      <c r="AA33" s="1" t="s">
        <v>860</v>
      </c>
      <c r="AB33" s="1" t="s">
        <v>74</v>
      </c>
      <c r="AC33" s="1" t="s">
        <v>861</v>
      </c>
      <c r="AD33" s="1" t="s">
        <v>862</v>
      </c>
      <c r="AE33" s="1" t="s">
        <v>863</v>
      </c>
      <c r="AF33" s="1" t="s">
        <v>74</v>
      </c>
      <c r="AG33" s="1">
        <v>45.0</v>
      </c>
      <c r="AH33" s="1">
        <v>38.0</v>
      </c>
      <c r="AI33" s="1">
        <v>38.0</v>
      </c>
      <c r="AJ33" s="1">
        <v>36.0</v>
      </c>
      <c r="AK33" s="1">
        <v>198.0</v>
      </c>
      <c r="AL33" s="1" t="s">
        <v>192</v>
      </c>
      <c r="AM33" s="1" t="s">
        <v>864</v>
      </c>
      <c r="AN33" s="1" t="s">
        <v>865</v>
      </c>
      <c r="AO33" s="1" t="s">
        <v>866</v>
      </c>
      <c r="AP33" s="1" t="s">
        <v>867</v>
      </c>
      <c r="AQ33" s="1" t="s">
        <v>74</v>
      </c>
      <c r="AR33" s="1" t="s">
        <v>868</v>
      </c>
      <c r="AS33" s="1" t="s">
        <v>869</v>
      </c>
      <c r="AT33" s="1" t="s">
        <v>870</v>
      </c>
      <c r="AU33" s="1">
        <v>2022.0</v>
      </c>
      <c r="AV33" s="1">
        <v>308.0</v>
      </c>
      <c r="AW33" s="1" t="s">
        <v>871</v>
      </c>
      <c r="AX33" s="1" t="s">
        <v>74</v>
      </c>
      <c r="AY33" s="1" t="s">
        <v>74</v>
      </c>
      <c r="AZ33" s="1" t="s">
        <v>474</v>
      </c>
      <c r="BA33" s="1" t="s">
        <v>74</v>
      </c>
      <c r="BB33" s="1">
        <v>703.0</v>
      </c>
      <c r="BC33" s="1">
        <v>726.0</v>
      </c>
      <c r="BD33" s="1" t="s">
        <v>74</v>
      </c>
      <c r="BE33" s="1" t="s">
        <v>872</v>
      </c>
      <c r="BF33" s="2" t="str">
        <f>HYPERLINK("http://dx.doi.org/10.1007/s10479-020-03602-y","http://dx.doi.org/10.1007/s10479-020-03602-y")</f>
        <v>http://dx.doi.org/10.1007/s10479-020-03602-y</v>
      </c>
      <c r="BG33" s="1" t="s">
        <v>74</v>
      </c>
      <c r="BH33" s="1" t="s">
        <v>873</v>
      </c>
      <c r="BI33" s="1">
        <v>24.0</v>
      </c>
      <c r="BJ33" s="1" t="s">
        <v>477</v>
      </c>
      <c r="BK33" s="1" t="s">
        <v>783</v>
      </c>
      <c r="BL33" s="1" t="s">
        <v>477</v>
      </c>
      <c r="BM33" s="1" t="s">
        <v>874</v>
      </c>
      <c r="BN33" s="1" t="s">
        <v>74</v>
      </c>
      <c r="BO33" s="1" t="s">
        <v>306</v>
      </c>
      <c r="BP33" s="1" t="s">
        <v>74</v>
      </c>
      <c r="BQ33" s="1" t="s">
        <v>74</v>
      </c>
      <c r="BR33" s="1" t="s">
        <v>102</v>
      </c>
      <c r="BS33" s="1" t="s">
        <v>875</v>
      </c>
      <c r="BT33" s="1" t="str">
        <f>HYPERLINK("https%3A%2F%2Fwww.webofscience.com%2Fwos%2Fwoscc%2Ffull-record%2FWOS:000557516000001","View Full Record in Web of Science")</f>
        <v>View Full Record in Web of Science</v>
      </c>
    </row>
    <row r="34" ht="12.75" customHeight="1">
      <c r="A34" s="1" t="s">
        <v>132</v>
      </c>
      <c r="B34" s="1" t="s">
        <v>876</v>
      </c>
      <c r="C34" s="1" t="s">
        <v>74</v>
      </c>
      <c r="D34" s="1" t="s">
        <v>74</v>
      </c>
      <c r="E34" s="1" t="s">
        <v>74</v>
      </c>
      <c r="F34" s="1" t="s">
        <v>877</v>
      </c>
      <c r="G34" s="1" t="s">
        <v>74</v>
      </c>
      <c r="H34" s="1" t="s">
        <v>74</v>
      </c>
      <c r="I34" s="1" t="s">
        <v>878</v>
      </c>
      <c r="J34" s="1" t="s">
        <v>879</v>
      </c>
      <c r="K34" s="1" t="s">
        <v>74</v>
      </c>
      <c r="L34" s="1" t="s">
        <v>74</v>
      </c>
      <c r="M34" s="1" t="s">
        <v>80</v>
      </c>
      <c r="N34" s="1" t="s">
        <v>136</v>
      </c>
      <c r="O34" s="1" t="s">
        <v>74</v>
      </c>
      <c r="P34" s="1" t="s">
        <v>74</v>
      </c>
      <c r="Q34" s="1" t="s">
        <v>74</v>
      </c>
      <c r="R34" s="1" t="s">
        <v>74</v>
      </c>
      <c r="S34" s="1" t="s">
        <v>74</v>
      </c>
      <c r="T34" s="1" t="s">
        <v>880</v>
      </c>
      <c r="U34" s="1" t="s">
        <v>74</v>
      </c>
      <c r="V34" s="1" t="s">
        <v>881</v>
      </c>
      <c r="W34" s="1" t="s">
        <v>882</v>
      </c>
      <c r="X34" s="1" t="s">
        <v>883</v>
      </c>
      <c r="Y34" s="1" t="s">
        <v>884</v>
      </c>
      <c r="Z34" s="1" t="s">
        <v>74</v>
      </c>
      <c r="AA34" s="1" t="s">
        <v>74</v>
      </c>
      <c r="AB34" s="1" t="s">
        <v>74</v>
      </c>
      <c r="AC34" s="1" t="s">
        <v>74</v>
      </c>
      <c r="AD34" s="1" t="s">
        <v>74</v>
      </c>
      <c r="AE34" s="1" t="s">
        <v>74</v>
      </c>
      <c r="AF34" s="1" t="s">
        <v>74</v>
      </c>
      <c r="AG34" s="1">
        <v>15.0</v>
      </c>
      <c r="AH34" s="1">
        <v>0.0</v>
      </c>
      <c r="AI34" s="1">
        <v>0.0</v>
      </c>
      <c r="AJ34" s="1">
        <v>1.0</v>
      </c>
      <c r="AK34" s="1">
        <v>1.0</v>
      </c>
      <c r="AL34" s="1" t="s">
        <v>885</v>
      </c>
      <c r="AM34" s="1" t="s">
        <v>886</v>
      </c>
      <c r="AN34" s="1" t="s">
        <v>887</v>
      </c>
      <c r="AO34" s="1" t="s">
        <v>888</v>
      </c>
      <c r="AP34" s="1" t="s">
        <v>889</v>
      </c>
      <c r="AQ34" s="1" t="s">
        <v>74</v>
      </c>
      <c r="AR34" s="1" t="s">
        <v>890</v>
      </c>
      <c r="AS34" s="1" t="s">
        <v>891</v>
      </c>
      <c r="AT34" s="1" t="s">
        <v>74</v>
      </c>
      <c r="AU34" s="1">
        <v>2024.0</v>
      </c>
      <c r="AV34" s="1">
        <v>13.0</v>
      </c>
      <c r="AW34" s="1">
        <v>3.0</v>
      </c>
      <c r="AX34" s="1" t="s">
        <v>74</v>
      </c>
      <c r="AY34" s="1" t="s">
        <v>74</v>
      </c>
      <c r="AZ34" s="1" t="s">
        <v>74</v>
      </c>
      <c r="BA34" s="1" t="s">
        <v>74</v>
      </c>
      <c r="BB34" s="1">
        <v>253.0</v>
      </c>
      <c r="BC34" s="1">
        <v>260.0</v>
      </c>
      <c r="BD34" s="1" t="s">
        <v>74</v>
      </c>
      <c r="BE34" s="1" t="s">
        <v>892</v>
      </c>
      <c r="BF34" s="2" t="str">
        <f>HYPERLINK("http://dx.doi.org/10.14207/ejsd.2024.v13n3p253","http://dx.doi.org/10.14207/ejsd.2024.v13n3p253")</f>
        <v>http://dx.doi.org/10.14207/ejsd.2024.v13n3p253</v>
      </c>
      <c r="BG34" s="1" t="s">
        <v>74</v>
      </c>
      <c r="BH34" s="1" t="s">
        <v>74</v>
      </c>
      <c r="BI34" s="1">
        <v>8.0</v>
      </c>
      <c r="BJ34" s="1" t="s">
        <v>893</v>
      </c>
      <c r="BK34" s="1" t="s">
        <v>172</v>
      </c>
      <c r="BL34" s="1" t="s">
        <v>894</v>
      </c>
      <c r="BM34" s="1" t="s">
        <v>895</v>
      </c>
      <c r="BN34" s="1" t="s">
        <v>74</v>
      </c>
      <c r="BO34" s="1" t="s">
        <v>174</v>
      </c>
      <c r="BP34" s="1" t="s">
        <v>74</v>
      </c>
      <c r="BQ34" s="1" t="s">
        <v>74</v>
      </c>
      <c r="BR34" s="1" t="s">
        <v>102</v>
      </c>
      <c r="BS34" s="1" t="s">
        <v>896</v>
      </c>
      <c r="BT34" s="1" t="str">
        <f>HYPERLINK("https%3A%2F%2Fwww.webofscience.com%2Fwos%2Fwoscc%2Ffull-record%2FWOS:001334773800018","View Full Record in Web of Science")</f>
        <v>View Full Record in Web of Science</v>
      </c>
    </row>
    <row r="35" ht="12.75" customHeight="1">
      <c r="A35" s="1" t="s">
        <v>132</v>
      </c>
      <c r="B35" s="1" t="s">
        <v>897</v>
      </c>
      <c r="C35" s="1" t="s">
        <v>74</v>
      </c>
      <c r="D35" s="1" t="s">
        <v>74</v>
      </c>
      <c r="E35" s="1" t="s">
        <v>74</v>
      </c>
      <c r="F35" s="1" t="s">
        <v>898</v>
      </c>
      <c r="G35" s="1" t="s">
        <v>74</v>
      </c>
      <c r="H35" s="1" t="s">
        <v>74</v>
      </c>
      <c r="I35" s="1" t="s">
        <v>899</v>
      </c>
      <c r="J35" s="1" t="s">
        <v>900</v>
      </c>
      <c r="K35" s="1" t="s">
        <v>74</v>
      </c>
      <c r="L35" s="1" t="s">
        <v>74</v>
      </c>
      <c r="M35" s="1" t="s">
        <v>638</v>
      </c>
      <c r="N35" s="1" t="s">
        <v>136</v>
      </c>
      <c r="O35" s="1" t="s">
        <v>74</v>
      </c>
      <c r="P35" s="1" t="s">
        <v>74</v>
      </c>
      <c r="Q35" s="1" t="s">
        <v>74</v>
      </c>
      <c r="R35" s="1" t="s">
        <v>74</v>
      </c>
      <c r="S35" s="1" t="s">
        <v>74</v>
      </c>
      <c r="T35" s="1" t="s">
        <v>901</v>
      </c>
      <c r="U35" s="1" t="s">
        <v>74</v>
      </c>
      <c r="V35" s="1" t="s">
        <v>902</v>
      </c>
      <c r="W35" s="1" t="s">
        <v>903</v>
      </c>
      <c r="X35" s="1" t="s">
        <v>74</v>
      </c>
      <c r="Y35" s="1" t="s">
        <v>904</v>
      </c>
      <c r="Z35" s="1" t="s">
        <v>905</v>
      </c>
      <c r="AA35" s="1" t="s">
        <v>74</v>
      </c>
      <c r="AB35" s="1" t="s">
        <v>74</v>
      </c>
      <c r="AC35" s="1" t="s">
        <v>74</v>
      </c>
      <c r="AD35" s="1" t="s">
        <v>74</v>
      </c>
      <c r="AE35" s="1" t="s">
        <v>74</v>
      </c>
      <c r="AF35" s="1" t="s">
        <v>74</v>
      </c>
      <c r="AG35" s="1">
        <v>31.0</v>
      </c>
      <c r="AH35" s="1">
        <v>0.0</v>
      </c>
      <c r="AI35" s="1">
        <v>0.0</v>
      </c>
      <c r="AJ35" s="1">
        <v>0.0</v>
      </c>
      <c r="AK35" s="1">
        <v>0.0</v>
      </c>
      <c r="AL35" s="1" t="s">
        <v>906</v>
      </c>
      <c r="AM35" s="1" t="s">
        <v>907</v>
      </c>
      <c r="AN35" s="1" t="s">
        <v>908</v>
      </c>
      <c r="AO35" s="1" t="s">
        <v>909</v>
      </c>
      <c r="AP35" s="1" t="s">
        <v>910</v>
      </c>
      <c r="AQ35" s="1" t="s">
        <v>74</v>
      </c>
      <c r="AR35" s="1" t="s">
        <v>911</v>
      </c>
      <c r="AS35" s="1" t="s">
        <v>912</v>
      </c>
      <c r="AT35" s="1" t="s">
        <v>913</v>
      </c>
      <c r="AU35" s="1">
        <v>2024.0</v>
      </c>
      <c r="AV35" s="1">
        <v>20.0</v>
      </c>
      <c r="AW35" s="1">
        <v>1.0</v>
      </c>
      <c r="AX35" s="1" t="s">
        <v>74</v>
      </c>
      <c r="AY35" s="1" t="s">
        <v>74</v>
      </c>
      <c r="AZ35" s="1" t="s">
        <v>74</v>
      </c>
      <c r="BA35" s="1" t="s">
        <v>74</v>
      </c>
      <c r="BB35" s="1">
        <v>436.0</v>
      </c>
      <c r="BC35" s="1">
        <v>447.0</v>
      </c>
      <c r="BD35" s="1" t="s">
        <v>74</v>
      </c>
      <c r="BE35" s="1" t="s">
        <v>914</v>
      </c>
      <c r="BF35" s="2" t="str">
        <f>HYPERLINK("http://dx.doi.org/10.17981/juridcuc.20.1.2024.20","http://dx.doi.org/10.17981/juridcuc.20.1.2024.20")</f>
        <v>http://dx.doi.org/10.17981/juridcuc.20.1.2024.20</v>
      </c>
      <c r="BG35" s="1" t="s">
        <v>74</v>
      </c>
      <c r="BH35" s="1" t="s">
        <v>74</v>
      </c>
      <c r="BI35" s="1">
        <v>12.0</v>
      </c>
      <c r="BJ35" s="1" t="s">
        <v>915</v>
      </c>
      <c r="BK35" s="1" t="s">
        <v>172</v>
      </c>
      <c r="BL35" s="1" t="s">
        <v>916</v>
      </c>
      <c r="BM35" s="1" t="s">
        <v>917</v>
      </c>
      <c r="BN35" s="1" t="s">
        <v>74</v>
      </c>
      <c r="BO35" s="1" t="s">
        <v>74</v>
      </c>
      <c r="BP35" s="1" t="s">
        <v>74</v>
      </c>
      <c r="BQ35" s="1" t="s">
        <v>74</v>
      </c>
      <c r="BR35" s="1" t="s">
        <v>102</v>
      </c>
      <c r="BS35" s="1" t="s">
        <v>918</v>
      </c>
      <c r="BT35" s="1" t="str">
        <f>HYPERLINK("https%3A%2F%2Fwww.webofscience.com%2Fwos%2Fwoscc%2Ffull-record%2FWOS:001399011900001","View Full Record in Web of Science")</f>
        <v>View Full Record in Web of Science</v>
      </c>
    </row>
    <row r="36" ht="12.75" customHeight="1">
      <c r="A36" s="1" t="s">
        <v>72</v>
      </c>
      <c r="B36" s="1" t="s">
        <v>919</v>
      </c>
      <c r="C36" s="1" t="s">
        <v>74</v>
      </c>
      <c r="D36" s="1" t="s">
        <v>920</v>
      </c>
      <c r="E36" s="1" t="s">
        <v>74</v>
      </c>
      <c r="F36" s="1" t="s">
        <v>921</v>
      </c>
      <c r="G36" s="1" t="s">
        <v>74</v>
      </c>
      <c r="H36" s="1" t="s">
        <v>74</v>
      </c>
      <c r="I36" s="1" t="s">
        <v>922</v>
      </c>
      <c r="J36" s="1" t="s">
        <v>923</v>
      </c>
      <c r="K36" s="1" t="s">
        <v>924</v>
      </c>
      <c r="L36" s="1" t="s">
        <v>74</v>
      </c>
      <c r="M36" s="1" t="s">
        <v>80</v>
      </c>
      <c r="N36" s="1" t="s">
        <v>81</v>
      </c>
      <c r="O36" s="1" t="s">
        <v>925</v>
      </c>
      <c r="P36" s="1" t="s">
        <v>926</v>
      </c>
      <c r="Q36" s="1" t="s">
        <v>927</v>
      </c>
      <c r="R36" s="1" t="s">
        <v>928</v>
      </c>
      <c r="S36" s="1" t="s">
        <v>74</v>
      </c>
      <c r="T36" s="1" t="s">
        <v>929</v>
      </c>
      <c r="U36" s="1" t="s">
        <v>930</v>
      </c>
      <c r="V36" s="1" t="s">
        <v>931</v>
      </c>
      <c r="W36" s="1" t="s">
        <v>932</v>
      </c>
      <c r="X36" s="1" t="s">
        <v>933</v>
      </c>
      <c r="Y36" s="1" t="s">
        <v>934</v>
      </c>
      <c r="Z36" s="1" t="s">
        <v>935</v>
      </c>
      <c r="AA36" s="1" t="s">
        <v>936</v>
      </c>
      <c r="AB36" s="1" t="s">
        <v>937</v>
      </c>
      <c r="AC36" s="1" t="s">
        <v>938</v>
      </c>
      <c r="AD36" s="1" t="s">
        <v>939</v>
      </c>
      <c r="AE36" s="1" t="s">
        <v>940</v>
      </c>
      <c r="AF36" s="1" t="s">
        <v>74</v>
      </c>
      <c r="AG36" s="1">
        <v>42.0</v>
      </c>
      <c r="AH36" s="1">
        <v>20.0</v>
      </c>
      <c r="AI36" s="1">
        <v>21.0</v>
      </c>
      <c r="AJ36" s="1">
        <v>20.0</v>
      </c>
      <c r="AK36" s="1">
        <v>71.0</v>
      </c>
      <c r="AL36" s="1" t="s">
        <v>223</v>
      </c>
      <c r="AM36" s="1" t="s">
        <v>224</v>
      </c>
      <c r="AN36" s="1" t="s">
        <v>225</v>
      </c>
      <c r="AO36" s="1" t="s">
        <v>941</v>
      </c>
      <c r="AP36" s="1" t="s">
        <v>942</v>
      </c>
      <c r="AQ36" s="1" t="s">
        <v>943</v>
      </c>
      <c r="AR36" s="1" t="s">
        <v>944</v>
      </c>
      <c r="AS36" s="1" t="s">
        <v>74</v>
      </c>
      <c r="AT36" s="1" t="s">
        <v>74</v>
      </c>
      <c r="AU36" s="1">
        <v>2022.0</v>
      </c>
      <c r="AV36" s="1">
        <v>13200.0</v>
      </c>
      <c r="AW36" s="1" t="s">
        <v>74</v>
      </c>
      <c r="AX36" s="1" t="s">
        <v>74</v>
      </c>
      <c r="AY36" s="1" t="s">
        <v>74</v>
      </c>
      <c r="AZ36" s="1" t="s">
        <v>74</v>
      </c>
      <c r="BA36" s="1" t="s">
        <v>74</v>
      </c>
      <c r="BB36" s="1">
        <v>3.0</v>
      </c>
      <c r="BC36" s="1">
        <v>10.0</v>
      </c>
      <c r="BD36" s="1" t="s">
        <v>74</v>
      </c>
      <c r="BE36" s="1" t="s">
        <v>945</v>
      </c>
      <c r="BF36" s="2" t="str">
        <f>HYPERLINK("http://dx.doi.org/10.1007/978-3-031-04083-2_1","http://dx.doi.org/10.1007/978-3-031-04083-2_1")</f>
        <v>http://dx.doi.org/10.1007/978-3-031-04083-2_1</v>
      </c>
      <c r="BG36" s="1" t="s">
        <v>74</v>
      </c>
      <c r="BH36" s="1" t="s">
        <v>74</v>
      </c>
      <c r="BI36" s="1">
        <v>8.0</v>
      </c>
      <c r="BJ36" s="1" t="s">
        <v>282</v>
      </c>
      <c r="BK36" s="1" t="s">
        <v>128</v>
      </c>
      <c r="BL36" s="1" t="s">
        <v>232</v>
      </c>
      <c r="BM36" s="1" t="s">
        <v>946</v>
      </c>
      <c r="BN36" s="1" t="s">
        <v>74</v>
      </c>
      <c r="BO36" s="1" t="s">
        <v>74</v>
      </c>
      <c r="BP36" s="1" t="s">
        <v>74</v>
      </c>
      <c r="BQ36" s="1" t="s">
        <v>74</v>
      </c>
      <c r="BR36" s="1" t="s">
        <v>102</v>
      </c>
      <c r="BS36" s="1" t="s">
        <v>947</v>
      </c>
      <c r="BT36" s="1" t="str">
        <f>HYPERLINK("https%3A%2F%2Fwww.webofscience.com%2Fwos%2Fwoscc%2Ffull-record%2FWOS:001048254300001","View Full Record in Web of Science")</f>
        <v>View Full Record in Web of Science</v>
      </c>
    </row>
    <row r="37" ht="12.75" customHeight="1">
      <c r="A37" s="1" t="s">
        <v>72</v>
      </c>
      <c r="B37" s="1" t="s">
        <v>948</v>
      </c>
      <c r="C37" s="1" t="s">
        <v>74</v>
      </c>
      <c r="D37" s="1" t="s">
        <v>362</v>
      </c>
      <c r="E37" s="1" t="s">
        <v>74</v>
      </c>
      <c r="F37" s="1" t="s">
        <v>949</v>
      </c>
      <c r="G37" s="1" t="s">
        <v>74</v>
      </c>
      <c r="H37" s="1" t="s">
        <v>74</v>
      </c>
      <c r="I37" s="1" t="s">
        <v>950</v>
      </c>
      <c r="J37" s="1" t="s">
        <v>365</v>
      </c>
      <c r="K37" s="1" t="s">
        <v>74</v>
      </c>
      <c r="L37" s="1" t="s">
        <v>74</v>
      </c>
      <c r="M37" s="1" t="s">
        <v>80</v>
      </c>
      <c r="N37" s="1" t="s">
        <v>81</v>
      </c>
      <c r="O37" s="1" t="s">
        <v>366</v>
      </c>
      <c r="P37" s="1" t="s">
        <v>367</v>
      </c>
      <c r="Q37" s="1" t="s">
        <v>368</v>
      </c>
      <c r="R37" s="1" t="s">
        <v>74</v>
      </c>
      <c r="S37" s="1" t="s">
        <v>369</v>
      </c>
      <c r="T37" s="1" t="s">
        <v>951</v>
      </c>
      <c r="U37" s="1" t="s">
        <v>952</v>
      </c>
      <c r="V37" s="1" t="s">
        <v>953</v>
      </c>
      <c r="W37" s="1" t="s">
        <v>954</v>
      </c>
      <c r="X37" s="1" t="s">
        <v>955</v>
      </c>
      <c r="Y37" s="1" t="s">
        <v>956</v>
      </c>
      <c r="Z37" s="1" t="s">
        <v>957</v>
      </c>
      <c r="AA37" s="1" t="s">
        <v>958</v>
      </c>
      <c r="AB37" s="1" t="s">
        <v>74</v>
      </c>
      <c r="AC37" s="1" t="s">
        <v>74</v>
      </c>
      <c r="AD37" s="1" t="s">
        <v>74</v>
      </c>
      <c r="AE37" s="1" t="s">
        <v>74</v>
      </c>
      <c r="AF37" s="1" t="s">
        <v>74</v>
      </c>
      <c r="AG37" s="1">
        <v>47.0</v>
      </c>
      <c r="AH37" s="1">
        <v>13.0</v>
      </c>
      <c r="AI37" s="1">
        <v>14.0</v>
      </c>
      <c r="AJ37" s="1">
        <v>26.0</v>
      </c>
      <c r="AK37" s="1">
        <v>228.0</v>
      </c>
      <c r="AL37" s="1" t="s">
        <v>122</v>
      </c>
      <c r="AM37" s="1" t="s">
        <v>123</v>
      </c>
      <c r="AN37" s="1" t="s">
        <v>124</v>
      </c>
      <c r="AO37" s="1" t="s">
        <v>74</v>
      </c>
      <c r="AP37" s="1" t="s">
        <v>74</v>
      </c>
      <c r="AQ37" s="1" t="s">
        <v>376</v>
      </c>
      <c r="AR37" s="1" t="s">
        <v>74</v>
      </c>
      <c r="AS37" s="1" t="s">
        <v>74</v>
      </c>
      <c r="AT37" s="1" t="s">
        <v>74</v>
      </c>
      <c r="AU37" s="1">
        <v>2019.0</v>
      </c>
      <c r="AV37" s="1" t="s">
        <v>74</v>
      </c>
      <c r="AW37" s="1" t="s">
        <v>74</v>
      </c>
      <c r="AX37" s="1" t="s">
        <v>74</v>
      </c>
      <c r="AY37" s="1" t="s">
        <v>74</v>
      </c>
      <c r="AZ37" s="1" t="s">
        <v>74</v>
      </c>
      <c r="BA37" s="1" t="s">
        <v>74</v>
      </c>
      <c r="BB37" s="1">
        <v>149.0</v>
      </c>
      <c r="BC37" s="1">
        <v>156.0</v>
      </c>
      <c r="BD37" s="1" t="s">
        <v>74</v>
      </c>
      <c r="BE37" s="1" t="s">
        <v>959</v>
      </c>
      <c r="BF37" s="2" t="str">
        <f>HYPERLINK("http://dx.doi.org/10.34190/ECIAIR.19.005","http://dx.doi.org/10.34190/ECIAIR.19.005")</f>
        <v>http://dx.doi.org/10.34190/ECIAIR.19.005</v>
      </c>
      <c r="BG37" s="1" t="s">
        <v>74</v>
      </c>
      <c r="BH37" s="1" t="s">
        <v>74</v>
      </c>
      <c r="BI37" s="1">
        <v>8.0</v>
      </c>
      <c r="BJ37" s="1" t="s">
        <v>127</v>
      </c>
      <c r="BK37" s="1" t="s">
        <v>128</v>
      </c>
      <c r="BL37" s="1" t="s">
        <v>129</v>
      </c>
      <c r="BM37" s="1" t="s">
        <v>378</v>
      </c>
      <c r="BN37" s="1" t="s">
        <v>74</v>
      </c>
      <c r="BO37" s="1" t="s">
        <v>74</v>
      </c>
      <c r="BP37" s="1" t="s">
        <v>74</v>
      </c>
      <c r="BQ37" s="1" t="s">
        <v>74</v>
      </c>
      <c r="BR37" s="1" t="s">
        <v>102</v>
      </c>
      <c r="BS37" s="1" t="s">
        <v>960</v>
      </c>
      <c r="BT37" s="1" t="str">
        <f>HYPERLINK("https%3A%2F%2Fwww.webofscience.com%2Fwos%2Fwoscc%2Ffull-record%2FWOS:000539633500017","View Full Record in Web of Science")</f>
        <v>View Full Record in Web of Science</v>
      </c>
    </row>
    <row r="38" ht="12.75" customHeight="1">
      <c r="A38" s="1" t="s">
        <v>132</v>
      </c>
      <c r="B38" s="1" t="s">
        <v>961</v>
      </c>
      <c r="C38" s="1" t="s">
        <v>74</v>
      </c>
      <c r="D38" s="1" t="s">
        <v>74</v>
      </c>
      <c r="E38" s="1" t="s">
        <v>74</v>
      </c>
      <c r="F38" s="1" t="s">
        <v>962</v>
      </c>
      <c r="G38" s="1" t="s">
        <v>74</v>
      </c>
      <c r="H38" s="1" t="s">
        <v>74</v>
      </c>
      <c r="I38" s="1" t="s">
        <v>963</v>
      </c>
      <c r="J38" s="1" t="s">
        <v>964</v>
      </c>
      <c r="K38" s="1" t="s">
        <v>74</v>
      </c>
      <c r="L38" s="1" t="s">
        <v>74</v>
      </c>
      <c r="M38" s="1" t="s">
        <v>638</v>
      </c>
      <c r="N38" s="1" t="s">
        <v>136</v>
      </c>
      <c r="O38" s="1" t="s">
        <v>74</v>
      </c>
      <c r="P38" s="1" t="s">
        <v>74</v>
      </c>
      <c r="Q38" s="1" t="s">
        <v>74</v>
      </c>
      <c r="R38" s="1" t="s">
        <v>74</v>
      </c>
      <c r="S38" s="1" t="s">
        <v>74</v>
      </c>
      <c r="T38" s="1" t="s">
        <v>965</v>
      </c>
      <c r="U38" s="1" t="s">
        <v>966</v>
      </c>
      <c r="V38" s="1" t="s">
        <v>967</v>
      </c>
      <c r="W38" s="1" t="s">
        <v>968</v>
      </c>
      <c r="X38" s="1" t="s">
        <v>969</v>
      </c>
      <c r="Y38" s="1" t="s">
        <v>970</v>
      </c>
      <c r="Z38" s="1" t="s">
        <v>971</v>
      </c>
      <c r="AA38" s="1" t="s">
        <v>74</v>
      </c>
      <c r="AB38" s="1" t="s">
        <v>74</v>
      </c>
      <c r="AC38" s="1" t="s">
        <v>74</v>
      </c>
      <c r="AD38" s="1" t="s">
        <v>74</v>
      </c>
      <c r="AE38" s="1" t="s">
        <v>74</v>
      </c>
      <c r="AF38" s="1" t="s">
        <v>74</v>
      </c>
      <c r="AG38" s="1">
        <v>38.0</v>
      </c>
      <c r="AH38" s="1">
        <v>0.0</v>
      </c>
      <c r="AI38" s="1">
        <v>0.0</v>
      </c>
      <c r="AJ38" s="1">
        <v>13.0</v>
      </c>
      <c r="AK38" s="1">
        <v>28.0</v>
      </c>
      <c r="AL38" s="1" t="s">
        <v>972</v>
      </c>
      <c r="AM38" s="1" t="s">
        <v>973</v>
      </c>
      <c r="AN38" s="1" t="s">
        <v>974</v>
      </c>
      <c r="AO38" s="1" t="s">
        <v>975</v>
      </c>
      <c r="AP38" s="1" t="s">
        <v>976</v>
      </c>
      <c r="AQ38" s="1" t="s">
        <v>74</v>
      </c>
      <c r="AR38" s="1" t="s">
        <v>977</v>
      </c>
      <c r="AS38" s="1" t="s">
        <v>978</v>
      </c>
      <c r="AT38" s="1" t="s">
        <v>979</v>
      </c>
      <c r="AU38" s="1">
        <v>2024.0</v>
      </c>
      <c r="AV38" s="1">
        <v>26.0</v>
      </c>
      <c r="AW38" s="1">
        <v>1.0</v>
      </c>
      <c r="AX38" s="1" t="s">
        <v>74</v>
      </c>
      <c r="AY38" s="1" t="s">
        <v>74</v>
      </c>
      <c r="AZ38" s="1" t="s">
        <v>74</v>
      </c>
      <c r="BA38" s="1" t="s">
        <v>74</v>
      </c>
      <c r="BB38" s="1">
        <v>278.0</v>
      </c>
      <c r="BC38" s="1">
        <v>296.0</v>
      </c>
      <c r="BD38" s="1" t="s">
        <v>74</v>
      </c>
      <c r="BE38" s="1" t="s">
        <v>980</v>
      </c>
      <c r="BF38" s="2" t="str">
        <f>HYPERLINK("http://dx.doi.org/10.36390/telos261.18","http://dx.doi.org/10.36390/telos261.18")</f>
        <v>http://dx.doi.org/10.36390/telos261.18</v>
      </c>
      <c r="BG38" s="1" t="s">
        <v>74</v>
      </c>
      <c r="BH38" s="1" t="s">
        <v>74</v>
      </c>
      <c r="BI38" s="1">
        <v>19.0</v>
      </c>
      <c r="BJ38" s="1" t="s">
        <v>98</v>
      </c>
      <c r="BK38" s="1" t="s">
        <v>172</v>
      </c>
      <c r="BL38" s="1" t="s">
        <v>100</v>
      </c>
      <c r="BM38" s="1" t="s">
        <v>981</v>
      </c>
      <c r="BN38" s="1" t="s">
        <v>74</v>
      </c>
      <c r="BO38" s="1" t="s">
        <v>174</v>
      </c>
      <c r="BP38" s="1" t="s">
        <v>74</v>
      </c>
      <c r="BQ38" s="1" t="s">
        <v>74</v>
      </c>
      <c r="BR38" s="1" t="s">
        <v>102</v>
      </c>
      <c r="BS38" s="1" t="s">
        <v>982</v>
      </c>
      <c r="BT38" s="1" t="str">
        <f>HYPERLINK("https%3A%2F%2Fwww.webofscience.com%2Fwos%2Fwoscc%2Ffull-record%2FWOS:001165431600005","View Full Record in Web of Science")</f>
        <v>View Full Record in Web of Science</v>
      </c>
    </row>
    <row r="39" ht="12.75" customHeight="1">
      <c r="A39" s="1" t="s">
        <v>132</v>
      </c>
      <c r="B39" s="1" t="s">
        <v>983</v>
      </c>
      <c r="C39" s="1" t="s">
        <v>74</v>
      </c>
      <c r="D39" s="1" t="s">
        <v>74</v>
      </c>
      <c r="E39" s="1" t="s">
        <v>74</v>
      </c>
      <c r="F39" s="1" t="s">
        <v>984</v>
      </c>
      <c r="G39" s="1" t="s">
        <v>74</v>
      </c>
      <c r="H39" s="1" t="s">
        <v>74</v>
      </c>
      <c r="I39" s="1" t="s">
        <v>985</v>
      </c>
      <c r="J39" s="1" t="s">
        <v>986</v>
      </c>
      <c r="K39" s="1" t="s">
        <v>74</v>
      </c>
      <c r="L39" s="1" t="s">
        <v>74</v>
      </c>
      <c r="M39" s="1" t="s">
        <v>80</v>
      </c>
      <c r="N39" s="1" t="s">
        <v>136</v>
      </c>
      <c r="O39" s="1" t="s">
        <v>74</v>
      </c>
      <c r="P39" s="1" t="s">
        <v>74</v>
      </c>
      <c r="Q39" s="1" t="s">
        <v>74</v>
      </c>
      <c r="R39" s="1" t="s">
        <v>74</v>
      </c>
      <c r="S39" s="1" t="s">
        <v>74</v>
      </c>
      <c r="T39" s="1" t="s">
        <v>987</v>
      </c>
      <c r="U39" s="1" t="s">
        <v>74</v>
      </c>
      <c r="V39" s="1" t="s">
        <v>988</v>
      </c>
      <c r="W39" s="1" t="s">
        <v>989</v>
      </c>
      <c r="X39" s="1" t="s">
        <v>990</v>
      </c>
      <c r="Y39" s="1" t="s">
        <v>991</v>
      </c>
      <c r="Z39" s="1" t="s">
        <v>992</v>
      </c>
      <c r="AA39" s="1" t="s">
        <v>993</v>
      </c>
      <c r="AB39" s="1" t="s">
        <v>994</v>
      </c>
      <c r="AC39" s="1" t="s">
        <v>74</v>
      </c>
      <c r="AD39" s="1" t="s">
        <v>74</v>
      </c>
      <c r="AE39" s="1" t="s">
        <v>74</v>
      </c>
      <c r="AF39" s="1" t="s">
        <v>74</v>
      </c>
      <c r="AG39" s="1">
        <v>55.0</v>
      </c>
      <c r="AH39" s="1">
        <v>4.0</v>
      </c>
      <c r="AI39" s="1">
        <v>4.0</v>
      </c>
      <c r="AJ39" s="1">
        <v>22.0</v>
      </c>
      <c r="AK39" s="1">
        <v>36.0</v>
      </c>
      <c r="AL39" s="1" t="s">
        <v>595</v>
      </c>
      <c r="AM39" s="1" t="s">
        <v>467</v>
      </c>
      <c r="AN39" s="1" t="s">
        <v>596</v>
      </c>
      <c r="AO39" s="1" t="s">
        <v>995</v>
      </c>
      <c r="AP39" s="1" t="s">
        <v>996</v>
      </c>
      <c r="AQ39" s="1" t="s">
        <v>74</v>
      </c>
      <c r="AR39" s="1" t="s">
        <v>997</v>
      </c>
      <c r="AS39" s="1" t="s">
        <v>998</v>
      </c>
      <c r="AT39" s="1" t="s">
        <v>999</v>
      </c>
      <c r="AU39" s="1">
        <v>2024.0</v>
      </c>
      <c r="AV39" s="1">
        <v>42.0</v>
      </c>
      <c r="AW39" s="1">
        <v>2.0</v>
      </c>
      <c r="AX39" s="1" t="s">
        <v>74</v>
      </c>
      <c r="AY39" s="1" t="s">
        <v>74</v>
      </c>
      <c r="AZ39" s="1" t="s">
        <v>74</v>
      </c>
      <c r="BA39" s="1" t="s">
        <v>74</v>
      </c>
      <c r="BB39" s="1">
        <v>189.0</v>
      </c>
      <c r="BC39" s="1">
        <v>199.0</v>
      </c>
      <c r="BD39" s="1" t="s">
        <v>74</v>
      </c>
      <c r="BE39" s="1" t="s">
        <v>1000</v>
      </c>
      <c r="BF39" s="2" t="str">
        <f>HYPERLINK("http://dx.doi.org/10.1080/14615517.2024.2320591","http://dx.doi.org/10.1080/14615517.2024.2320591")</f>
        <v>http://dx.doi.org/10.1080/14615517.2024.2320591</v>
      </c>
      <c r="BG39" s="1" t="s">
        <v>74</v>
      </c>
      <c r="BH39" s="1" t="s">
        <v>1001</v>
      </c>
      <c r="BI39" s="1">
        <v>11.0</v>
      </c>
      <c r="BJ39" s="1" t="s">
        <v>1002</v>
      </c>
      <c r="BK39" s="1" t="s">
        <v>203</v>
      </c>
      <c r="BL39" s="1" t="s">
        <v>894</v>
      </c>
      <c r="BM39" s="1" t="s">
        <v>1003</v>
      </c>
      <c r="BN39" s="1" t="s">
        <v>74</v>
      </c>
      <c r="BO39" s="1" t="s">
        <v>1004</v>
      </c>
      <c r="BP39" s="1" t="s">
        <v>74</v>
      </c>
      <c r="BQ39" s="1" t="s">
        <v>74</v>
      </c>
      <c r="BR39" s="1" t="s">
        <v>102</v>
      </c>
      <c r="BS39" s="1" t="s">
        <v>1005</v>
      </c>
      <c r="BT39" s="1" t="str">
        <f>HYPERLINK("https%3A%2F%2Fwww.webofscience.com%2Fwos%2Fwoscc%2Ffull-record%2FWOS:001179066600001","View Full Record in Web of Science")</f>
        <v>View Full Record in Web of Science</v>
      </c>
    </row>
    <row r="40" ht="12.75" customHeight="1">
      <c r="A40" s="1" t="s">
        <v>132</v>
      </c>
      <c r="B40" s="1" t="s">
        <v>1006</v>
      </c>
      <c r="C40" s="1" t="s">
        <v>74</v>
      </c>
      <c r="D40" s="1" t="s">
        <v>74</v>
      </c>
      <c r="E40" s="1" t="s">
        <v>74</v>
      </c>
      <c r="F40" s="1" t="s">
        <v>1007</v>
      </c>
      <c r="G40" s="1" t="s">
        <v>74</v>
      </c>
      <c r="H40" s="1" t="s">
        <v>74</v>
      </c>
      <c r="I40" s="1" t="s">
        <v>1008</v>
      </c>
      <c r="J40" s="1" t="s">
        <v>1009</v>
      </c>
      <c r="K40" s="1" t="s">
        <v>74</v>
      </c>
      <c r="L40" s="1" t="s">
        <v>74</v>
      </c>
      <c r="M40" s="1" t="s">
        <v>80</v>
      </c>
      <c r="N40" s="1" t="s">
        <v>1010</v>
      </c>
      <c r="O40" s="1" t="s">
        <v>74</v>
      </c>
      <c r="P40" s="1" t="s">
        <v>74</v>
      </c>
      <c r="Q40" s="1" t="s">
        <v>74</v>
      </c>
      <c r="R40" s="1" t="s">
        <v>74</v>
      </c>
      <c r="S40" s="1" t="s">
        <v>74</v>
      </c>
      <c r="T40" s="1" t="s">
        <v>1011</v>
      </c>
      <c r="U40" s="1" t="s">
        <v>1012</v>
      </c>
      <c r="V40" s="1" t="s">
        <v>1013</v>
      </c>
      <c r="W40" s="1" t="s">
        <v>1014</v>
      </c>
      <c r="X40" s="1" t="s">
        <v>1015</v>
      </c>
      <c r="Y40" s="1" t="s">
        <v>1016</v>
      </c>
      <c r="Z40" s="1" t="s">
        <v>1017</v>
      </c>
      <c r="AA40" s="1" t="s">
        <v>1018</v>
      </c>
      <c r="AB40" s="1" t="s">
        <v>1019</v>
      </c>
      <c r="AC40" s="1" t="s">
        <v>74</v>
      </c>
      <c r="AD40" s="1" t="s">
        <v>74</v>
      </c>
      <c r="AE40" s="1" t="s">
        <v>74</v>
      </c>
      <c r="AF40" s="1" t="s">
        <v>74</v>
      </c>
      <c r="AG40" s="1">
        <v>60.0</v>
      </c>
      <c r="AH40" s="1">
        <v>66.0</v>
      </c>
      <c r="AI40" s="1">
        <v>68.0</v>
      </c>
      <c r="AJ40" s="1">
        <v>21.0</v>
      </c>
      <c r="AK40" s="1">
        <v>247.0</v>
      </c>
      <c r="AL40" s="1" t="s">
        <v>1020</v>
      </c>
      <c r="AM40" s="1" t="s">
        <v>1021</v>
      </c>
      <c r="AN40" s="1" t="s">
        <v>1022</v>
      </c>
      <c r="AO40" s="1" t="s">
        <v>1023</v>
      </c>
      <c r="AP40" s="1" t="s">
        <v>1024</v>
      </c>
      <c r="AQ40" s="1" t="s">
        <v>74</v>
      </c>
      <c r="AR40" s="1" t="s">
        <v>1025</v>
      </c>
      <c r="AS40" s="1" t="s">
        <v>1026</v>
      </c>
      <c r="AT40" s="1" t="s">
        <v>1027</v>
      </c>
      <c r="AU40" s="1">
        <v>2019.0</v>
      </c>
      <c r="AV40" s="1">
        <v>30.0</v>
      </c>
      <c r="AW40" s="1">
        <v>2.0</v>
      </c>
      <c r="AX40" s="1" t="s">
        <v>74</v>
      </c>
      <c r="AY40" s="1" t="s">
        <v>74</v>
      </c>
      <c r="AZ40" s="1" t="s">
        <v>74</v>
      </c>
      <c r="BA40" s="1" t="s">
        <v>74</v>
      </c>
      <c r="BB40" s="1">
        <v>97.0</v>
      </c>
      <c r="BC40" s="1">
        <v>103.0</v>
      </c>
      <c r="BD40" s="1" t="s">
        <v>74</v>
      </c>
      <c r="BE40" s="1" t="s">
        <v>1028</v>
      </c>
      <c r="BF40" s="2" t="str">
        <f>HYPERLINK("http://dx.doi.org/10.1097/ICU.0000000000000552","http://dx.doi.org/10.1097/ICU.0000000000000552")</f>
        <v>http://dx.doi.org/10.1097/ICU.0000000000000552</v>
      </c>
      <c r="BG40" s="1" t="s">
        <v>74</v>
      </c>
      <c r="BH40" s="1" t="s">
        <v>74</v>
      </c>
      <c r="BI40" s="1">
        <v>7.0</v>
      </c>
      <c r="BJ40" s="1" t="s">
        <v>1029</v>
      </c>
      <c r="BK40" s="1" t="s">
        <v>149</v>
      </c>
      <c r="BL40" s="1" t="s">
        <v>1029</v>
      </c>
      <c r="BM40" s="1" t="s">
        <v>1030</v>
      </c>
      <c r="BN40" s="1">
        <v>3.0562242E7</v>
      </c>
      <c r="BO40" s="1" t="s">
        <v>74</v>
      </c>
      <c r="BP40" s="1" t="s">
        <v>74</v>
      </c>
      <c r="BQ40" s="1" t="s">
        <v>74</v>
      </c>
      <c r="BR40" s="1" t="s">
        <v>102</v>
      </c>
      <c r="BS40" s="1" t="s">
        <v>1031</v>
      </c>
      <c r="BT40" s="1" t="str">
        <f>HYPERLINK("https%3A%2F%2Fwww.webofscience.com%2Fwos%2Fwoscc%2Ffull-record%2FWOS:000472805500004","View Full Record in Web of Science")</f>
        <v>View Full Record in Web of Science</v>
      </c>
    </row>
    <row r="41" ht="12.75" customHeight="1">
      <c r="A41" s="1" t="s">
        <v>132</v>
      </c>
      <c r="B41" s="1" t="s">
        <v>1032</v>
      </c>
      <c r="C41" s="1" t="s">
        <v>74</v>
      </c>
      <c r="D41" s="1" t="s">
        <v>74</v>
      </c>
      <c r="E41" s="1" t="s">
        <v>74</v>
      </c>
      <c r="F41" s="1" t="s">
        <v>1033</v>
      </c>
      <c r="G41" s="1" t="s">
        <v>74</v>
      </c>
      <c r="H41" s="1" t="s">
        <v>74</v>
      </c>
      <c r="I41" s="1" t="s">
        <v>1034</v>
      </c>
      <c r="J41" s="1" t="s">
        <v>1035</v>
      </c>
      <c r="K41" s="1" t="s">
        <v>74</v>
      </c>
      <c r="L41" s="1" t="s">
        <v>74</v>
      </c>
      <c r="M41" s="1" t="s">
        <v>80</v>
      </c>
      <c r="N41" s="1" t="s">
        <v>136</v>
      </c>
      <c r="O41" s="1" t="s">
        <v>74</v>
      </c>
      <c r="P41" s="1" t="s">
        <v>74</v>
      </c>
      <c r="Q41" s="1" t="s">
        <v>74</v>
      </c>
      <c r="R41" s="1" t="s">
        <v>74</v>
      </c>
      <c r="S41" s="1" t="s">
        <v>74</v>
      </c>
      <c r="T41" s="1" t="s">
        <v>1036</v>
      </c>
      <c r="U41" s="1" t="s">
        <v>74</v>
      </c>
      <c r="V41" s="1" t="s">
        <v>1037</v>
      </c>
      <c r="W41" s="1" t="s">
        <v>1038</v>
      </c>
      <c r="X41" s="1" t="s">
        <v>1039</v>
      </c>
      <c r="Y41" s="1" t="s">
        <v>1040</v>
      </c>
      <c r="Z41" s="1" t="s">
        <v>1041</v>
      </c>
      <c r="AA41" s="1" t="s">
        <v>1042</v>
      </c>
      <c r="AB41" s="1" t="s">
        <v>1043</v>
      </c>
      <c r="AC41" s="1" t="s">
        <v>74</v>
      </c>
      <c r="AD41" s="1" t="s">
        <v>74</v>
      </c>
      <c r="AE41" s="1" t="s">
        <v>74</v>
      </c>
      <c r="AF41" s="1" t="s">
        <v>74</v>
      </c>
      <c r="AG41" s="1">
        <v>41.0</v>
      </c>
      <c r="AH41" s="1">
        <v>0.0</v>
      </c>
      <c r="AI41" s="1">
        <v>0.0</v>
      </c>
      <c r="AJ41" s="1">
        <v>6.0</v>
      </c>
      <c r="AK41" s="1">
        <v>6.0</v>
      </c>
      <c r="AL41" s="1" t="s">
        <v>1044</v>
      </c>
      <c r="AM41" s="1" t="s">
        <v>1045</v>
      </c>
      <c r="AN41" s="1" t="s">
        <v>1046</v>
      </c>
      <c r="AO41" s="1" t="s">
        <v>1047</v>
      </c>
      <c r="AP41" s="1" t="s">
        <v>1048</v>
      </c>
      <c r="AQ41" s="1" t="s">
        <v>74</v>
      </c>
      <c r="AR41" s="1" t="s">
        <v>1049</v>
      </c>
      <c r="AS41" s="1" t="s">
        <v>1050</v>
      </c>
      <c r="AT41" s="1" t="s">
        <v>1051</v>
      </c>
      <c r="AU41" s="1">
        <v>2024.0</v>
      </c>
      <c r="AV41" s="1">
        <v>15.0</v>
      </c>
      <c r="AW41" s="1">
        <v>4.0</v>
      </c>
      <c r="AX41" s="1" t="s">
        <v>74</v>
      </c>
      <c r="AY41" s="1" t="s">
        <v>74</v>
      </c>
      <c r="AZ41" s="1" t="s">
        <v>74</v>
      </c>
      <c r="BA41" s="1" t="s">
        <v>74</v>
      </c>
      <c r="BB41" s="1" t="s">
        <v>74</v>
      </c>
      <c r="BC41" s="1" t="s">
        <v>74</v>
      </c>
      <c r="BD41" s="1" t="s">
        <v>74</v>
      </c>
      <c r="BE41" s="1" t="s">
        <v>1052</v>
      </c>
      <c r="BF41" s="2" t="str">
        <f>HYPERLINK("http://dx.doi.org/10.70594/brain/15.4/18","http://dx.doi.org/10.70594/brain/15.4/18")</f>
        <v>http://dx.doi.org/10.70594/brain/15.4/18</v>
      </c>
      <c r="BG41" s="1" t="s">
        <v>74</v>
      </c>
      <c r="BH41" s="1" t="s">
        <v>74</v>
      </c>
      <c r="BI41" s="1">
        <v>17.0</v>
      </c>
      <c r="BJ41" s="1" t="s">
        <v>1053</v>
      </c>
      <c r="BK41" s="1" t="s">
        <v>172</v>
      </c>
      <c r="BL41" s="1" t="s">
        <v>1054</v>
      </c>
      <c r="BM41" s="1" t="s">
        <v>1055</v>
      </c>
      <c r="BN41" s="1" t="s">
        <v>74</v>
      </c>
      <c r="BO41" s="1" t="s">
        <v>174</v>
      </c>
      <c r="BP41" s="1" t="s">
        <v>74</v>
      </c>
      <c r="BQ41" s="1" t="s">
        <v>74</v>
      </c>
      <c r="BR41" s="1" t="s">
        <v>102</v>
      </c>
      <c r="BS41" s="1" t="s">
        <v>1056</v>
      </c>
      <c r="BT41" s="1" t="str">
        <f>HYPERLINK("https%3A%2F%2Fwww.webofscience.com%2Fwos%2Fwoscc%2Ffull-record%2FWOS:001381264700018","View Full Record in Web of Science")</f>
        <v>View Full Record in Web of Science</v>
      </c>
    </row>
    <row r="42" ht="12.75" customHeight="1">
      <c r="A42" s="1" t="s">
        <v>72</v>
      </c>
      <c r="B42" s="1" t="s">
        <v>1057</v>
      </c>
      <c r="C42" s="1" t="s">
        <v>74</v>
      </c>
      <c r="D42" s="1" t="s">
        <v>74</v>
      </c>
      <c r="E42" s="1" t="s">
        <v>236</v>
      </c>
      <c r="F42" s="1" t="s">
        <v>1058</v>
      </c>
      <c r="G42" s="1" t="s">
        <v>74</v>
      </c>
      <c r="H42" s="1" t="s">
        <v>74</v>
      </c>
      <c r="I42" s="1" t="s">
        <v>1059</v>
      </c>
      <c r="J42" s="1" t="s">
        <v>1060</v>
      </c>
      <c r="K42" s="1" t="s">
        <v>74</v>
      </c>
      <c r="L42" s="1" t="s">
        <v>74</v>
      </c>
      <c r="M42" s="1" t="s">
        <v>80</v>
      </c>
      <c r="N42" s="1" t="s">
        <v>81</v>
      </c>
      <c r="O42" s="1" t="s">
        <v>1061</v>
      </c>
      <c r="P42" s="1" t="s">
        <v>1062</v>
      </c>
      <c r="Q42" s="1" t="s">
        <v>1063</v>
      </c>
      <c r="R42" s="1" t="s">
        <v>1064</v>
      </c>
      <c r="S42" s="1" t="s">
        <v>1065</v>
      </c>
      <c r="T42" s="1" t="s">
        <v>1066</v>
      </c>
      <c r="U42" s="1" t="s">
        <v>74</v>
      </c>
      <c r="V42" s="1" t="s">
        <v>1067</v>
      </c>
      <c r="W42" s="1" t="s">
        <v>1068</v>
      </c>
      <c r="X42" s="1" t="s">
        <v>1069</v>
      </c>
      <c r="Y42" s="1" t="s">
        <v>1070</v>
      </c>
      <c r="Z42" s="1" t="s">
        <v>1071</v>
      </c>
      <c r="AA42" s="1" t="s">
        <v>74</v>
      </c>
      <c r="AB42" s="1" t="s">
        <v>74</v>
      </c>
      <c r="AC42" s="1" t="s">
        <v>74</v>
      </c>
      <c r="AD42" s="1" t="s">
        <v>74</v>
      </c>
      <c r="AE42" s="1" t="s">
        <v>74</v>
      </c>
      <c r="AF42" s="1" t="s">
        <v>74</v>
      </c>
      <c r="AG42" s="1">
        <v>5.0</v>
      </c>
      <c r="AH42" s="1">
        <v>0.0</v>
      </c>
      <c r="AI42" s="1">
        <v>0.0</v>
      </c>
      <c r="AJ42" s="1">
        <v>3.0</v>
      </c>
      <c r="AK42" s="1">
        <v>15.0</v>
      </c>
      <c r="AL42" s="1" t="s">
        <v>236</v>
      </c>
      <c r="AM42" s="1" t="s">
        <v>193</v>
      </c>
      <c r="AN42" s="1" t="s">
        <v>252</v>
      </c>
      <c r="AO42" s="1" t="s">
        <v>74</v>
      </c>
      <c r="AP42" s="1" t="s">
        <v>74</v>
      </c>
      <c r="AQ42" s="1" t="s">
        <v>1072</v>
      </c>
      <c r="AR42" s="1" t="s">
        <v>74</v>
      </c>
      <c r="AS42" s="1" t="s">
        <v>74</v>
      </c>
      <c r="AT42" s="1" t="s">
        <v>74</v>
      </c>
      <c r="AU42" s="1">
        <v>2017.0</v>
      </c>
      <c r="AV42" s="1" t="s">
        <v>74</v>
      </c>
      <c r="AW42" s="1" t="s">
        <v>74</v>
      </c>
      <c r="AX42" s="1" t="s">
        <v>74</v>
      </c>
      <c r="AY42" s="1" t="s">
        <v>74</v>
      </c>
      <c r="AZ42" s="1" t="s">
        <v>74</v>
      </c>
      <c r="BA42" s="1" t="s">
        <v>74</v>
      </c>
      <c r="BB42" s="1" t="s">
        <v>74</v>
      </c>
      <c r="BC42" s="1" t="s">
        <v>74</v>
      </c>
      <c r="BD42" s="1" t="s">
        <v>74</v>
      </c>
      <c r="BE42" s="1" t="s">
        <v>74</v>
      </c>
      <c r="BF42" s="1" t="s">
        <v>74</v>
      </c>
      <c r="BG42" s="1" t="s">
        <v>74</v>
      </c>
      <c r="BH42" s="1" t="s">
        <v>74</v>
      </c>
      <c r="BI42" s="1">
        <v>3.0</v>
      </c>
      <c r="BJ42" s="1" t="s">
        <v>1073</v>
      </c>
      <c r="BK42" s="1" t="s">
        <v>128</v>
      </c>
      <c r="BL42" s="1" t="s">
        <v>1074</v>
      </c>
      <c r="BM42" s="1" t="s">
        <v>1075</v>
      </c>
      <c r="BN42" s="1" t="s">
        <v>74</v>
      </c>
      <c r="BO42" s="1" t="s">
        <v>74</v>
      </c>
      <c r="BP42" s="1" t="s">
        <v>74</v>
      </c>
      <c r="BQ42" s="1" t="s">
        <v>74</v>
      </c>
      <c r="BR42" s="1" t="s">
        <v>102</v>
      </c>
      <c r="BS42" s="1" t="s">
        <v>1076</v>
      </c>
      <c r="BT42" s="1" t="str">
        <f>HYPERLINK("https%3A%2F%2Fwww.webofscience.com%2Fwos%2Fwoscc%2Ffull-record%2FWOS:000464097700130","View Full Record in Web of Science")</f>
        <v>View Full Record in Web of Science</v>
      </c>
    </row>
    <row r="43" ht="12.75" customHeight="1">
      <c r="A43" s="1" t="s">
        <v>132</v>
      </c>
      <c r="B43" s="1" t="s">
        <v>1077</v>
      </c>
      <c r="C43" s="1" t="s">
        <v>74</v>
      </c>
      <c r="D43" s="1" t="s">
        <v>74</v>
      </c>
      <c r="E43" s="1" t="s">
        <v>74</v>
      </c>
      <c r="F43" s="1" t="s">
        <v>1078</v>
      </c>
      <c r="G43" s="1" t="s">
        <v>74</v>
      </c>
      <c r="H43" s="1" t="s">
        <v>74</v>
      </c>
      <c r="I43" s="1" t="s">
        <v>1079</v>
      </c>
      <c r="J43" s="1" t="s">
        <v>1080</v>
      </c>
      <c r="K43" s="1" t="s">
        <v>74</v>
      </c>
      <c r="L43" s="1" t="s">
        <v>74</v>
      </c>
      <c r="M43" s="1" t="s">
        <v>80</v>
      </c>
      <c r="N43" s="1" t="s">
        <v>136</v>
      </c>
      <c r="O43" s="1" t="s">
        <v>74</v>
      </c>
      <c r="P43" s="1" t="s">
        <v>74</v>
      </c>
      <c r="Q43" s="1" t="s">
        <v>74</v>
      </c>
      <c r="R43" s="1" t="s">
        <v>74</v>
      </c>
      <c r="S43" s="1" t="s">
        <v>74</v>
      </c>
      <c r="T43" s="1" t="s">
        <v>1081</v>
      </c>
      <c r="U43" s="1" t="s">
        <v>74</v>
      </c>
      <c r="V43" s="1" t="s">
        <v>1082</v>
      </c>
      <c r="W43" s="1" t="s">
        <v>1083</v>
      </c>
      <c r="X43" s="1" t="s">
        <v>1084</v>
      </c>
      <c r="Y43" s="1" t="s">
        <v>1085</v>
      </c>
      <c r="Z43" s="1" t="s">
        <v>1086</v>
      </c>
      <c r="AA43" s="1" t="s">
        <v>1087</v>
      </c>
      <c r="AB43" s="1" t="s">
        <v>1088</v>
      </c>
      <c r="AC43" s="1" t="s">
        <v>74</v>
      </c>
      <c r="AD43" s="1" t="s">
        <v>74</v>
      </c>
      <c r="AE43" s="1" t="s">
        <v>74</v>
      </c>
      <c r="AF43" s="1" t="s">
        <v>74</v>
      </c>
      <c r="AG43" s="1">
        <v>15.0</v>
      </c>
      <c r="AH43" s="1">
        <v>9.0</v>
      </c>
      <c r="AI43" s="1">
        <v>9.0</v>
      </c>
      <c r="AJ43" s="1">
        <v>2.0</v>
      </c>
      <c r="AK43" s="1">
        <v>48.0</v>
      </c>
      <c r="AL43" s="1" t="s">
        <v>1089</v>
      </c>
      <c r="AM43" s="1" t="s">
        <v>1090</v>
      </c>
      <c r="AN43" s="1" t="s">
        <v>1091</v>
      </c>
      <c r="AO43" s="1" t="s">
        <v>1092</v>
      </c>
      <c r="AP43" s="1" t="s">
        <v>1093</v>
      </c>
      <c r="AQ43" s="1" t="s">
        <v>74</v>
      </c>
      <c r="AR43" s="1" t="s">
        <v>1094</v>
      </c>
      <c r="AS43" s="1" t="s">
        <v>1095</v>
      </c>
      <c r="AT43" s="1" t="s">
        <v>1096</v>
      </c>
      <c r="AU43" s="1">
        <v>2014.0</v>
      </c>
      <c r="AV43" s="1">
        <v>41.0</v>
      </c>
      <c r="AW43" s="1">
        <v>3.0</v>
      </c>
      <c r="AX43" s="1" t="s">
        <v>74</v>
      </c>
      <c r="AY43" s="1" t="s">
        <v>74</v>
      </c>
      <c r="AZ43" s="1" t="s">
        <v>474</v>
      </c>
      <c r="BA43" s="1" t="s">
        <v>74</v>
      </c>
      <c r="BB43" s="1">
        <v>781.0</v>
      </c>
      <c r="BC43" s="1">
        <v>785.0</v>
      </c>
      <c r="BD43" s="1" t="s">
        <v>74</v>
      </c>
      <c r="BE43" s="1" t="s">
        <v>1097</v>
      </c>
      <c r="BF43" s="2" t="str">
        <f>HYPERLINK("http://dx.doi.org/10.1016/j.eswa.2013.08.008","http://dx.doi.org/10.1016/j.eswa.2013.08.008")</f>
        <v>http://dx.doi.org/10.1016/j.eswa.2013.08.008</v>
      </c>
      <c r="BG43" s="1" t="s">
        <v>74</v>
      </c>
      <c r="BH43" s="1" t="s">
        <v>74</v>
      </c>
      <c r="BI43" s="1">
        <v>5.0</v>
      </c>
      <c r="BJ43" s="1" t="s">
        <v>1098</v>
      </c>
      <c r="BK43" s="1" t="s">
        <v>149</v>
      </c>
      <c r="BL43" s="1" t="s">
        <v>1099</v>
      </c>
      <c r="BM43" s="1" t="s">
        <v>1100</v>
      </c>
      <c r="BN43" s="1" t="s">
        <v>74</v>
      </c>
      <c r="BO43" s="1" t="s">
        <v>74</v>
      </c>
      <c r="BP43" s="1" t="s">
        <v>74</v>
      </c>
      <c r="BQ43" s="1" t="s">
        <v>74</v>
      </c>
      <c r="BR43" s="1" t="s">
        <v>102</v>
      </c>
      <c r="BS43" s="1" t="s">
        <v>1101</v>
      </c>
      <c r="BT43" s="1" t="str">
        <f>HYPERLINK("https%3A%2F%2Fwww.webofscience.com%2Fwos%2Fwoscc%2Ffull-record%2FWOS:000328443900002","View Full Record in Web of Science")</f>
        <v>View Full Record in Web of Science</v>
      </c>
    </row>
    <row r="44" ht="12.75" customHeight="1">
      <c r="A44" s="1" t="s">
        <v>72</v>
      </c>
      <c r="B44" s="1" t="s">
        <v>1102</v>
      </c>
      <c r="C44" s="1" t="s">
        <v>74</v>
      </c>
      <c r="D44" s="1" t="s">
        <v>1103</v>
      </c>
      <c r="E44" s="1" t="s">
        <v>74</v>
      </c>
      <c r="F44" s="1" t="s">
        <v>1104</v>
      </c>
      <c r="G44" s="1" t="s">
        <v>74</v>
      </c>
      <c r="H44" s="1" t="s">
        <v>74</v>
      </c>
      <c r="I44" s="1" t="s">
        <v>1105</v>
      </c>
      <c r="J44" s="1" t="s">
        <v>1106</v>
      </c>
      <c r="K44" s="1" t="s">
        <v>212</v>
      </c>
      <c r="L44" s="1" t="s">
        <v>74</v>
      </c>
      <c r="M44" s="1" t="s">
        <v>80</v>
      </c>
      <c r="N44" s="1" t="s">
        <v>81</v>
      </c>
      <c r="O44" s="1" t="s">
        <v>1107</v>
      </c>
      <c r="P44" s="1" t="s">
        <v>1108</v>
      </c>
      <c r="Q44" s="1" t="s">
        <v>1109</v>
      </c>
      <c r="R44" s="1" t="s">
        <v>74</v>
      </c>
      <c r="S44" s="1" t="s">
        <v>1110</v>
      </c>
      <c r="T44" s="1" t="s">
        <v>1111</v>
      </c>
      <c r="U44" s="1" t="s">
        <v>74</v>
      </c>
      <c r="V44" s="1" t="s">
        <v>1112</v>
      </c>
      <c r="W44" s="1" t="s">
        <v>1113</v>
      </c>
      <c r="X44" s="1" t="s">
        <v>1114</v>
      </c>
      <c r="Y44" s="1" t="s">
        <v>1115</v>
      </c>
      <c r="Z44" s="1" t="s">
        <v>1116</v>
      </c>
      <c r="AA44" s="1" t="s">
        <v>1117</v>
      </c>
      <c r="AB44" s="1" t="s">
        <v>1118</v>
      </c>
      <c r="AC44" s="1" t="s">
        <v>74</v>
      </c>
      <c r="AD44" s="1" t="s">
        <v>74</v>
      </c>
      <c r="AE44" s="1" t="s">
        <v>74</v>
      </c>
      <c r="AF44" s="1" t="s">
        <v>74</v>
      </c>
      <c r="AG44" s="1">
        <v>8.0</v>
      </c>
      <c r="AH44" s="1">
        <v>5.0</v>
      </c>
      <c r="AI44" s="1">
        <v>5.0</v>
      </c>
      <c r="AJ44" s="1">
        <v>38.0</v>
      </c>
      <c r="AK44" s="1">
        <v>171.0</v>
      </c>
      <c r="AL44" s="1" t="s">
        <v>1119</v>
      </c>
      <c r="AM44" s="1" t="s">
        <v>1120</v>
      </c>
      <c r="AN44" s="1" t="s">
        <v>1121</v>
      </c>
      <c r="AO44" s="1" t="s">
        <v>226</v>
      </c>
      <c r="AP44" s="1" t="s">
        <v>227</v>
      </c>
      <c r="AQ44" s="1" t="s">
        <v>1122</v>
      </c>
      <c r="AR44" s="1" t="s">
        <v>229</v>
      </c>
      <c r="AS44" s="1" t="s">
        <v>74</v>
      </c>
      <c r="AT44" s="1" t="s">
        <v>74</v>
      </c>
      <c r="AU44" s="1">
        <v>2020.0</v>
      </c>
      <c r="AV44" s="1">
        <v>1016.0</v>
      </c>
      <c r="AW44" s="1" t="s">
        <v>74</v>
      </c>
      <c r="AX44" s="1" t="s">
        <v>74</v>
      </c>
      <c r="AY44" s="1" t="s">
        <v>74</v>
      </c>
      <c r="AZ44" s="1" t="s">
        <v>74</v>
      </c>
      <c r="BA44" s="1" t="s">
        <v>74</v>
      </c>
      <c r="BB44" s="1">
        <v>365.0</v>
      </c>
      <c r="BC44" s="1">
        <v>376.0</v>
      </c>
      <c r="BD44" s="1" t="s">
        <v>74</v>
      </c>
      <c r="BE44" s="1" t="s">
        <v>1123</v>
      </c>
      <c r="BF44" s="2" t="str">
        <f>HYPERLINK("http://dx.doi.org/10.1007/978-981-13-9364-8_26","http://dx.doi.org/10.1007/978-981-13-9364-8_26")</f>
        <v>http://dx.doi.org/10.1007/978-981-13-9364-8_26</v>
      </c>
      <c r="BG44" s="1" t="s">
        <v>74</v>
      </c>
      <c r="BH44" s="1" t="s">
        <v>74</v>
      </c>
      <c r="BI44" s="1">
        <v>12.0</v>
      </c>
      <c r="BJ44" s="1" t="s">
        <v>282</v>
      </c>
      <c r="BK44" s="1" t="s">
        <v>128</v>
      </c>
      <c r="BL44" s="1" t="s">
        <v>232</v>
      </c>
      <c r="BM44" s="1" t="s">
        <v>1124</v>
      </c>
      <c r="BN44" s="1" t="s">
        <v>74</v>
      </c>
      <c r="BO44" s="1" t="s">
        <v>74</v>
      </c>
      <c r="BP44" s="1" t="s">
        <v>74</v>
      </c>
      <c r="BQ44" s="1" t="s">
        <v>74</v>
      </c>
      <c r="BR44" s="1" t="s">
        <v>102</v>
      </c>
      <c r="BS44" s="1" t="s">
        <v>1125</v>
      </c>
      <c r="BT44" s="1" t="str">
        <f>HYPERLINK("https%3A%2F%2Fwww.webofscience.com%2Fwos%2Fwoscc%2Ffull-record%2FWOS:000582488500026","View Full Record in Web of Science")</f>
        <v>View Full Record in Web of Science</v>
      </c>
    </row>
    <row r="45" ht="12.75" customHeight="1">
      <c r="A45" s="1" t="s">
        <v>72</v>
      </c>
      <c r="B45" s="1" t="s">
        <v>1126</v>
      </c>
      <c r="C45" s="1" t="s">
        <v>74</v>
      </c>
      <c r="D45" s="1" t="s">
        <v>105</v>
      </c>
      <c r="E45" s="1" t="s">
        <v>74</v>
      </c>
      <c r="F45" s="1" t="s">
        <v>1127</v>
      </c>
      <c r="G45" s="1" t="s">
        <v>74</v>
      </c>
      <c r="H45" s="1" t="s">
        <v>74</v>
      </c>
      <c r="I45" s="1" t="s">
        <v>1128</v>
      </c>
      <c r="J45" s="1" t="s">
        <v>108</v>
      </c>
      <c r="K45" s="1" t="s">
        <v>74</v>
      </c>
      <c r="L45" s="1" t="s">
        <v>74</v>
      </c>
      <c r="M45" s="1" t="s">
        <v>80</v>
      </c>
      <c r="N45" s="1" t="s">
        <v>81</v>
      </c>
      <c r="O45" s="1" t="s">
        <v>109</v>
      </c>
      <c r="P45" s="1" t="s">
        <v>110</v>
      </c>
      <c r="Q45" s="1" t="s">
        <v>111</v>
      </c>
      <c r="R45" s="1" t="s">
        <v>112</v>
      </c>
      <c r="S45" s="1" t="s">
        <v>113</v>
      </c>
      <c r="T45" s="1" t="s">
        <v>1129</v>
      </c>
      <c r="U45" s="1" t="s">
        <v>1130</v>
      </c>
      <c r="V45" s="1" t="s">
        <v>1131</v>
      </c>
      <c r="W45" s="1" t="s">
        <v>1132</v>
      </c>
      <c r="X45" s="1" t="s">
        <v>1133</v>
      </c>
      <c r="Y45" s="1" t="s">
        <v>1134</v>
      </c>
      <c r="Z45" s="1" t="s">
        <v>1135</v>
      </c>
      <c r="AA45" s="1" t="s">
        <v>1136</v>
      </c>
      <c r="AB45" s="1" t="s">
        <v>74</v>
      </c>
      <c r="AC45" s="1" t="s">
        <v>74</v>
      </c>
      <c r="AD45" s="1" t="s">
        <v>74</v>
      </c>
      <c r="AE45" s="1" t="s">
        <v>74</v>
      </c>
      <c r="AF45" s="1" t="s">
        <v>74</v>
      </c>
      <c r="AG45" s="1">
        <v>24.0</v>
      </c>
      <c r="AH45" s="1">
        <v>0.0</v>
      </c>
      <c r="AI45" s="1">
        <v>0.0</v>
      </c>
      <c r="AJ45" s="1">
        <v>6.0</v>
      </c>
      <c r="AK45" s="1">
        <v>31.0</v>
      </c>
      <c r="AL45" s="1" t="s">
        <v>122</v>
      </c>
      <c r="AM45" s="1" t="s">
        <v>123</v>
      </c>
      <c r="AN45" s="1" t="s">
        <v>124</v>
      </c>
      <c r="AO45" s="1" t="s">
        <v>74</v>
      </c>
      <c r="AP45" s="1" t="s">
        <v>74</v>
      </c>
      <c r="AQ45" s="1" t="s">
        <v>125</v>
      </c>
      <c r="AR45" s="1" t="s">
        <v>74</v>
      </c>
      <c r="AS45" s="1" t="s">
        <v>74</v>
      </c>
      <c r="AT45" s="1" t="s">
        <v>74</v>
      </c>
      <c r="AU45" s="1">
        <v>2021.0</v>
      </c>
      <c r="AV45" s="1" t="s">
        <v>74</v>
      </c>
      <c r="AW45" s="1" t="s">
        <v>74</v>
      </c>
      <c r="AX45" s="1" t="s">
        <v>74</v>
      </c>
      <c r="AY45" s="1" t="s">
        <v>74</v>
      </c>
      <c r="AZ45" s="1" t="s">
        <v>74</v>
      </c>
      <c r="BA45" s="1" t="s">
        <v>74</v>
      </c>
      <c r="BB45" s="1">
        <v>157.0</v>
      </c>
      <c r="BC45" s="1">
        <v>165.0</v>
      </c>
      <c r="BD45" s="1" t="s">
        <v>74</v>
      </c>
      <c r="BE45" s="1" t="s">
        <v>1137</v>
      </c>
      <c r="BF45" s="2" t="str">
        <f>HYPERLINK("http://dx.doi.org/10.34190/EAIR.21.002","http://dx.doi.org/10.34190/EAIR.21.002")</f>
        <v>http://dx.doi.org/10.34190/EAIR.21.002</v>
      </c>
      <c r="BG45" s="1" t="s">
        <v>74</v>
      </c>
      <c r="BH45" s="1" t="s">
        <v>74</v>
      </c>
      <c r="BI45" s="1">
        <v>9.0</v>
      </c>
      <c r="BJ45" s="1" t="s">
        <v>127</v>
      </c>
      <c r="BK45" s="1" t="s">
        <v>128</v>
      </c>
      <c r="BL45" s="1" t="s">
        <v>129</v>
      </c>
      <c r="BM45" s="1" t="s">
        <v>130</v>
      </c>
      <c r="BN45" s="1" t="s">
        <v>74</v>
      </c>
      <c r="BO45" s="1" t="s">
        <v>74</v>
      </c>
      <c r="BP45" s="1" t="s">
        <v>74</v>
      </c>
      <c r="BQ45" s="1" t="s">
        <v>74</v>
      </c>
      <c r="BR45" s="1" t="s">
        <v>102</v>
      </c>
      <c r="BS45" s="1" t="s">
        <v>1138</v>
      </c>
      <c r="BT45" s="1" t="str">
        <f>HYPERLINK("https%3A%2F%2Fwww.webofscience.com%2Fwos%2Fwoscc%2Ffull-record%2FWOS:000838033200021","View Full Record in Web of Science")</f>
        <v>View Full Record in Web of Science</v>
      </c>
    </row>
    <row r="46" ht="12.75" customHeight="1">
      <c r="A46" s="1" t="s">
        <v>132</v>
      </c>
      <c r="B46" s="1" t="s">
        <v>1139</v>
      </c>
      <c r="C46" s="1" t="s">
        <v>74</v>
      </c>
      <c r="D46" s="1" t="s">
        <v>74</v>
      </c>
      <c r="E46" s="1" t="s">
        <v>74</v>
      </c>
      <c r="F46" s="1" t="s">
        <v>1140</v>
      </c>
      <c r="G46" s="1" t="s">
        <v>74</v>
      </c>
      <c r="H46" s="1" t="s">
        <v>74</v>
      </c>
      <c r="I46" s="1" t="s">
        <v>1141</v>
      </c>
      <c r="J46" s="1" t="s">
        <v>1142</v>
      </c>
      <c r="K46" s="1" t="s">
        <v>74</v>
      </c>
      <c r="L46" s="1" t="s">
        <v>74</v>
      </c>
      <c r="M46" s="1" t="s">
        <v>80</v>
      </c>
      <c r="N46" s="1" t="s">
        <v>1010</v>
      </c>
      <c r="O46" s="1" t="s">
        <v>74</v>
      </c>
      <c r="P46" s="1" t="s">
        <v>74</v>
      </c>
      <c r="Q46" s="1" t="s">
        <v>74</v>
      </c>
      <c r="R46" s="1" t="s">
        <v>74</v>
      </c>
      <c r="S46" s="1" t="s">
        <v>74</v>
      </c>
      <c r="T46" s="1" t="s">
        <v>1143</v>
      </c>
      <c r="U46" s="1" t="s">
        <v>74</v>
      </c>
      <c r="V46" s="1" t="s">
        <v>1144</v>
      </c>
      <c r="W46" s="1" t="s">
        <v>1145</v>
      </c>
      <c r="X46" s="1" t="s">
        <v>1146</v>
      </c>
      <c r="Y46" s="1" t="s">
        <v>1147</v>
      </c>
      <c r="Z46" s="1" t="s">
        <v>1148</v>
      </c>
      <c r="AA46" s="1" t="s">
        <v>74</v>
      </c>
      <c r="AB46" s="1" t="s">
        <v>74</v>
      </c>
      <c r="AC46" s="1" t="s">
        <v>74</v>
      </c>
      <c r="AD46" s="1" t="s">
        <v>74</v>
      </c>
      <c r="AE46" s="1" t="s">
        <v>74</v>
      </c>
      <c r="AF46" s="1" t="s">
        <v>74</v>
      </c>
      <c r="AG46" s="1">
        <v>20.0</v>
      </c>
      <c r="AH46" s="1">
        <v>70.0</v>
      </c>
      <c r="AI46" s="1">
        <v>80.0</v>
      </c>
      <c r="AJ46" s="1">
        <v>12.0</v>
      </c>
      <c r="AK46" s="1">
        <v>74.0</v>
      </c>
      <c r="AL46" s="1" t="s">
        <v>1149</v>
      </c>
      <c r="AM46" s="1" t="s">
        <v>1150</v>
      </c>
      <c r="AN46" s="1" t="s">
        <v>1151</v>
      </c>
      <c r="AO46" s="1" t="s">
        <v>1152</v>
      </c>
      <c r="AP46" s="1" t="s">
        <v>1153</v>
      </c>
      <c r="AQ46" s="1" t="s">
        <v>74</v>
      </c>
      <c r="AR46" s="1" t="s">
        <v>1154</v>
      </c>
      <c r="AS46" s="1" t="s">
        <v>1155</v>
      </c>
      <c r="AT46" s="1" t="s">
        <v>1156</v>
      </c>
      <c r="AU46" s="1">
        <v>2020.0</v>
      </c>
      <c r="AV46" s="1">
        <v>32.0</v>
      </c>
      <c r="AW46" s="1">
        <v>4.0</v>
      </c>
      <c r="AX46" s="1" t="s">
        <v>74</v>
      </c>
      <c r="AY46" s="1" t="s">
        <v>74</v>
      </c>
      <c r="AZ46" s="1" t="s">
        <v>74</v>
      </c>
      <c r="BA46" s="1" t="s">
        <v>74</v>
      </c>
      <c r="BB46" s="1">
        <v>339.0</v>
      </c>
      <c r="BC46" s="1">
        <v>343.0</v>
      </c>
      <c r="BD46" s="1" t="s">
        <v>74</v>
      </c>
      <c r="BE46" s="1" t="s">
        <v>1157</v>
      </c>
      <c r="BF46" s="2" t="str">
        <f>HYPERLINK("http://dx.doi.org/10.4103/tcmj.tcmj_71_20","http://dx.doi.org/10.4103/tcmj.tcmj_71_20")</f>
        <v>http://dx.doi.org/10.4103/tcmj.tcmj_71_20</v>
      </c>
      <c r="BG46" s="1" t="s">
        <v>74</v>
      </c>
      <c r="BH46" s="1" t="s">
        <v>74</v>
      </c>
      <c r="BI46" s="1">
        <v>5.0</v>
      </c>
      <c r="BJ46" s="1" t="s">
        <v>1158</v>
      </c>
      <c r="BK46" s="1" t="s">
        <v>172</v>
      </c>
      <c r="BL46" s="1" t="s">
        <v>1159</v>
      </c>
      <c r="BM46" s="1" t="s">
        <v>1160</v>
      </c>
      <c r="BN46" s="1">
        <v>3.3163378E7</v>
      </c>
      <c r="BO46" s="1" t="s">
        <v>1161</v>
      </c>
      <c r="BP46" s="1" t="s">
        <v>74</v>
      </c>
      <c r="BQ46" s="1" t="s">
        <v>74</v>
      </c>
      <c r="BR46" s="1" t="s">
        <v>102</v>
      </c>
      <c r="BS46" s="1" t="s">
        <v>1162</v>
      </c>
      <c r="BT46" s="1" t="str">
        <f>HYPERLINK("https%3A%2F%2Fwww.webofscience.com%2Fwos%2Fwoscc%2Ffull-record%2FWOS:000577089500005","View Full Record in Web of Science")</f>
        <v>View Full Record in Web of Science</v>
      </c>
    </row>
    <row r="47" ht="12.75" customHeight="1">
      <c r="A47" s="1" t="s">
        <v>72</v>
      </c>
      <c r="B47" s="1" t="s">
        <v>1163</v>
      </c>
      <c r="C47" s="1" t="s">
        <v>74</v>
      </c>
      <c r="D47" s="1" t="s">
        <v>105</v>
      </c>
      <c r="E47" s="1" t="s">
        <v>74</v>
      </c>
      <c r="F47" s="1" t="s">
        <v>1164</v>
      </c>
      <c r="G47" s="1" t="s">
        <v>74</v>
      </c>
      <c r="H47" s="1" t="s">
        <v>74</v>
      </c>
      <c r="I47" s="1" t="s">
        <v>1165</v>
      </c>
      <c r="J47" s="1" t="s">
        <v>108</v>
      </c>
      <c r="K47" s="1" t="s">
        <v>74</v>
      </c>
      <c r="L47" s="1" t="s">
        <v>74</v>
      </c>
      <c r="M47" s="1" t="s">
        <v>80</v>
      </c>
      <c r="N47" s="1" t="s">
        <v>81</v>
      </c>
      <c r="O47" s="1" t="s">
        <v>109</v>
      </c>
      <c r="P47" s="1" t="s">
        <v>110</v>
      </c>
      <c r="Q47" s="1" t="s">
        <v>111</v>
      </c>
      <c r="R47" s="1" t="s">
        <v>112</v>
      </c>
      <c r="S47" s="1" t="s">
        <v>113</v>
      </c>
      <c r="T47" s="1" t="s">
        <v>1166</v>
      </c>
      <c r="U47" s="1" t="s">
        <v>74</v>
      </c>
      <c r="V47" s="1" t="s">
        <v>1167</v>
      </c>
      <c r="W47" s="1" t="s">
        <v>74</v>
      </c>
      <c r="X47" s="1" t="s">
        <v>74</v>
      </c>
      <c r="Y47" s="1" t="s">
        <v>74</v>
      </c>
      <c r="Z47" s="1" t="s">
        <v>1168</v>
      </c>
      <c r="AA47" s="1" t="s">
        <v>74</v>
      </c>
      <c r="AB47" s="1" t="s">
        <v>74</v>
      </c>
      <c r="AC47" s="1" t="s">
        <v>74</v>
      </c>
      <c r="AD47" s="1" t="s">
        <v>74</v>
      </c>
      <c r="AE47" s="1" t="s">
        <v>74</v>
      </c>
      <c r="AF47" s="1" t="s">
        <v>74</v>
      </c>
      <c r="AG47" s="1">
        <v>28.0</v>
      </c>
      <c r="AH47" s="1">
        <v>0.0</v>
      </c>
      <c r="AI47" s="1">
        <v>0.0</v>
      </c>
      <c r="AJ47" s="1">
        <v>4.0</v>
      </c>
      <c r="AK47" s="1">
        <v>28.0</v>
      </c>
      <c r="AL47" s="1" t="s">
        <v>122</v>
      </c>
      <c r="AM47" s="1" t="s">
        <v>123</v>
      </c>
      <c r="AN47" s="1" t="s">
        <v>124</v>
      </c>
      <c r="AO47" s="1" t="s">
        <v>74</v>
      </c>
      <c r="AP47" s="1" t="s">
        <v>74</v>
      </c>
      <c r="AQ47" s="1" t="s">
        <v>125</v>
      </c>
      <c r="AR47" s="1" t="s">
        <v>74</v>
      </c>
      <c r="AS47" s="1" t="s">
        <v>74</v>
      </c>
      <c r="AT47" s="1" t="s">
        <v>74</v>
      </c>
      <c r="AU47" s="1">
        <v>2021.0</v>
      </c>
      <c r="AV47" s="1" t="s">
        <v>74</v>
      </c>
      <c r="AW47" s="1" t="s">
        <v>74</v>
      </c>
      <c r="AX47" s="1" t="s">
        <v>74</v>
      </c>
      <c r="AY47" s="1" t="s">
        <v>74</v>
      </c>
      <c r="AZ47" s="1" t="s">
        <v>74</v>
      </c>
      <c r="BA47" s="1" t="s">
        <v>74</v>
      </c>
      <c r="BB47" s="1">
        <v>51.0</v>
      </c>
      <c r="BC47" s="1">
        <v>58.0</v>
      </c>
      <c r="BD47" s="1" t="s">
        <v>74</v>
      </c>
      <c r="BE47" s="1" t="s">
        <v>1169</v>
      </c>
      <c r="BF47" s="2" t="str">
        <f>HYPERLINK("http://dx.doi.org/10.34190/EAIR.21.022","http://dx.doi.org/10.34190/EAIR.21.022")</f>
        <v>http://dx.doi.org/10.34190/EAIR.21.022</v>
      </c>
      <c r="BG47" s="1" t="s">
        <v>74</v>
      </c>
      <c r="BH47" s="1" t="s">
        <v>74</v>
      </c>
      <c r="BI47" s="1">
        <v>8.0</v>
      </c>
      <c r="BJ47" s="1" t="s">
        <v>127</v>
      </c>
      <c r="BK47" s="1" t="s">
        <v>128</v>
      </c>
      <c r="BL47" s="1" t="s">
        <v>129</v>
      </c>
      <c r="BM47" s="1" t="s">
        <v>130</v>
      </c>
      <c r="BN47" s="1" t="s">
        <v>74</v>
      </c>
      <c r="BO47" s="1" t="s">
        <v>74</v>
      </c>
      <c r="BP47" s="1" t="s">
        <v>74</v>
      </c>
      <c r="BQ47" s="1" t="s">
        <v>74</v>
      </c>
      <c r="BR47" s="1" t="s">
        <v>102</v>
      </c>
      <c r="BS47" s="1" t="s">
        <v>1170</v>
      </c>
      <c r="BT47" s="1" t="str">
        <f>HYPERLINK("https%3A%2F%2Fwww.webofscience.com%2Fwos%2Fwoscc%2Ffull-record%2FWOS:000838033200007","View Full Record in Web of Science")</f>
        <v>View Full Record in Web of Science</v>
      </c>
    </row>
    <row r="48" ht="12.75" customHeight="1">
      <c r="A48" s="1" t="s">
        <v>132</v>
      </c>
      <c r="B48" s="1" t="s">
        <v>1171</v>
      </c>
      <c r="C48" s="1" t="s">
        <v>74</v>
      </c>
      <c r="D48" s="1" t="s">
        <v>74</v>
      </c>
      <c r="E48" s="1" t="s">
        <v>74</v>
      </c>
      <c r="F48" s="1" t="s">
        <v>1172</v>
      </c>
      <c r="G48" s="1" t="s">
        <v>74</v>
      </c>
      <c r="H48" s="1" t="s">
        <v>74</v>
      </c>
      <c r="I48" s="1" t="s">
        <v>1173</v>
      </c>
      <c r="J48" s="1" t="s">
        <v>1174</v>
      </c>
      <c r="K48" s="1" t="s">
        <v>74</v>
      </c>
      <c r="L48" s="1" t="s">
        <v>74</v>
      </c>
      <c r="M48" s="1" t="s">
        <v>638</v>
      </c>
      <c r="N48" s="1" t="s">
        <v>136</v>
      </c>
      <c r="O48" s="1" t="s">
        <v>74</v>
      </c>
      <c r="P48" s="1" t="s">
        <v>74</v>
      </c>
      <c r="Q48" s="1" t="s">
        <v>74</v>
      </c>
      <c r="R48" s="1" t="s">
        <v>74</v>
      </c>
      <c r="S48" s="1" t="s">
        <v>74</v>
      </c>
      <c r="T48" s="1" t="s">
        <v>1175</v>
      </c>
      <c r="U48" s="1" t="s">
        <v>1176</v>
      </c>
      <c r="V48" s="1" t="s">
        <v>1177</v>
      </c>
      <c r="W48" s="1" t="s">
        <v>1178</v>
      </c>
      <c r="X48" s="1" t="s">
        <v>1179</v>
      </c>
      <c r="Y48" s="1" t="s">
        <v>1180</v>
      </c>
      <c r="Z48" s="1" t="s">
        <v>1181</v>
      </c>
      <c r="AA48" s="1" t="s">
        <v>74</v>
      </c>
      <c r="AB48" s="1" t="s">
        <v>74</v>
      </c>
      <c r="AC48" s="1" t="s">
        <v>74</v>
      </c>
      <c r="AD48" s="1" t="s">
        <v>74</v>
      </c>
      <c r="AE48" s="1" t="s">
        <v>74</v>
      </c>
      <c r="AF48" s="1" t="s">
        <v>74</v>
      </c>
      <c r="AG48" s="1">
        <v>35.0</v>
      </c>
      <c r="AH48" s="1">
        <v>3.0</v>
      </c>
      <c r="AI48" s="1">
        <v>3.0</v>
      </c>
      <c r="AJ48" s="1">
        <v>3.0</v>
      </c>
      <c r="AK48" s="1">
        <v>28.0</v>
      </c>
      <c r="AL48" s="1" t="s">
        <v>1182</v>
      </c>
      <c r="AM48" s="1" t="s">
        <v>648</v>
      </c>
      <c r="AN48" s="1" t="s">
        <v>1183</v>
      </c>
      <c r="AO48" s="1" t="s">
        <v>1184</v>
      </c>
      <c r="AP48" s="1" t="s">
        <v>1185</v>
      </c>
      <c r="AQ48" s="1" t="s">
        <v>74</v>
      </c>
      <c r="AR48" s="1" t="s">
        <v>1186</v>
      </c>
      <c r="AS48" s="1" t="s">
        <v>1187</v>
      </c>
      <c r="AT48" s="1" t="s">
        <v>74</v>
      </c>
      <c r="AU48" s="1">
        <v>2021.0</v>
      </c>
      <c r="AV48" s="1">
        <v>31.0</v>
      </c>
      <c r="AW48" s="1">
        <v>2.0</v>
      </c>
      <c r="AX48" s="1" t="s">
        <v>74</v>
      </c>
      <c r="AY48" s="1" t="s">
        <v>74</v>
      </c>
      <c r="AZ48" s="1" t="s">
        <v>74</v>
      </c>
      <c r="BA48" s="1" t="s">
        <v>74</v>
      </c>
      <c r="BB48" s="1">
        <v>719.0</v>
      </c>
      <c r="BC48" s="1">
        <v>734.0</v>
      </c>
      <c r="BD48" s="1" t="s">
        <v>74</v>
      </c>
      <c r="BE48" s="1" t="s">
        <v>1188</v>
      </c>
      <c r="BF48" s="2" t="str">
        <f>HYPERLINK("http://dx.doi.org/10.5209/rgid.79465","http://dx.doi.org/10.5209/rgid.79465")</f>
        <v>http://dx.doi.org/10.5209/rgid.79465</v>
      </c>
      <c r="BG48" s="1" t="s">
        <v>74</v>
      </c>
      <c r="BH48" s="1" t="s">
        <v>74</v>
      </c>
      <c r="BI48" s="1">
        <v>16.0</v>
      </c>
      <c r="BJ48" s="1" t="s">
        <v>358</v>
      </c>
      <c r="BK48" s="1" t="s">
        <v>172</v>
      </c>
      <c r="BL48" s="1" t="s">
        <v>358</v>
      </c>
      <c r="BM48" s="1" t="s">
        <v>1189</v>
      </c>
      <c r="BN48" s="1" t="s">
        <v>74</v>
      </c>
      <c r="BO48" s="1" t="s">
        <v>174</v>
      </c>
      <c r="BP48" s="1" t="s">
        <v>74</v>
      </c>
      <c r="BQ48" s="1" t="s">
        <v>74</v>
      </c>
      <c r="BR48" s="1" t="s">
        <v>102</v>
      </c>
      <c r="BS48" s="1" t="s">
        <v>1190</v>
      </c>
      <c r="BT48" s="1" t="str">
        <f>HYPERLINK("https%3A%2F%2Fwww.webofscience.com%2Fwos%2Fwoscc%2Ffull-record%2FWOS:000734861900005","View Full Record in Web of Science")</f>
        <v>View Full Record in Web of Science</v>
      </c>
    </row>
    <row r="49" ht="12.75" customHeight="1">
      <c r="A49" s="1" t="s">
        <v>72</v>
      </c>
      <c r="B49" s="1" t="s">
        <v>1191</v>
      </c>
      <c r="C49" s="1" t="s">
        <v>74</v>
      </c>
      <c r="D49" s="1" t="s">
        <v>1192</v>
      </c>
      <c r="E49" s="1" t="s">
        <v>74</v>
      </c>
      <c r="F49" s="1" t="s">
        <v>1193</v>
      </c>
      <c r="G49" s="1" t="s">
        <v>74</v>
      </c>
      <c r="H49" s="1" t="s">
        <v>74</v>
      </c>
      <c r="I49" s="1" t="s">
        <v>1194</v>
      </c>
      <c r="J49" s="1" t="s">
        <v>1195</v>
      </c>
      <c r="K49" s="1" t="s">
        <v>924</v>
      </c>
      <c r="L49" s="1" t="s">
        <v>74</v>
      </c>
      <c r="M49" s="1" t="s">
        <v>80</v>
      </c>
      <c r="N49" s="1" t="s">
        <v>81</v>
      </c>
      <c r="O49" s="1" t="s">
        <v>1196</v>
      </c>
      <c r="P49" s="1" t="s">
        <v>1197</v>
      </c>
      <c r="Q49" s="1" t="s">
        <v>1198</v>
      </c>
      <c r="R49" s="1" t="s">
        <v>1199</v>
      </c>
      <c r="S49" s="1" t="s">
        <v>74</v>
      </c>
      <c r="T49" s="1" t="s">
        <v>1200</v>
      </c>
      <c r="U49" s="1" t="s">
        <v>1201</v>
      </c>
      <c r="V49" s="1" t="s">
        <v>1202</v>
      </c>
      <c r="W49" s="1" t="s">
        <v>1203</v>
      </c>
      <c r="X49" s="1" t="s">
        <v>1204</v>
      </c>
      <c r="Y49" s="1" t="s">
        <v>1205</v>
      </c>
      <c r="Z49" s="1" t="s">
        <v>1206</v>
      </c>
      <c r="AA49" s="1" t="s">
        <v>1207</v>
      </c>
      <c r="AB49" s="1" t="s">
        <v>1208</v>
      </c>
      <c r="AC49" s="1" t="s">
        <v>1209</v>
      </c>
      <c r="AD49" s="1" t="s">
        <v>1210</v>
      </c>
      <c r="AE49" s="1" t="s">
        <v>1211</v>
      </c>
      <c r="AF49" s="1" t="s">
        <v>74</v>
      </c>
      <c r="AG49" s="1">
        <v>22.0</v>
      </c>
      <c r="AH49" s="1">
        <v>5.0</v>
      </c>
      <c r="AI49" s="1">
        <v>5.0</v>
      </c>
      <c r="AJ49" s="1">
        <v>1.0</v>
      </c>
      <c r="AK49" s="1">
        <v>10.0</v>
      </c>
      <c r="AL49" s="1" t="s">
        <v>223</v>
      </c>
      <c r="AM49" s="1" t="s">
        <v>224</v>
      </c>
      <c r="AN49" s="1" t="s">
        <v>225</v>
      </c>
      <c r="AO49" s="1" t="s">
        <v>941</v>
      </c>
      <c r="AP49" s="1" t="s">
        <v>942</v>
      </c>
      <c r="AQ49" s="1" t="s">
        <v>1212</v>
      </c>
      <c r="AR49" s="1" t="s">
        <v>944</v>
      </c>
      <c r="AS49" s="1" t="s">
        <v>74</v>
      </c>
      <c r="AT49" s="1" t="s">
        <v>74</v>
      </c>
      <c r="AU49" s="1">
        <v>2023.0</v>
      </c>
      <c r="AV49" s="1">
        <v>13796.0</v>
      </c>
      <c r="AW49" s="1" t="s">
        <v>74</v>
      </c>
      <c r="AX49" s="1" t="s">
        <v>74</v>
      </c>
      <c r="AY49" s="1" t="s">
        <v>74</v>
      </c>
      <c r="AZ49" s="1" t="s">
        <v>74</v>
      </c>
      <c r="BA49" s="1" t="s">
        <v>74</v>
      </c>
      <c r="BB49" s="1">
        <v>3.0</v>
      </c>
      <c r="BC49" s="1">
        <v>16.0</v>
      </c>
      <c r="BD49" s="1" t="s">
        <v>74</v>
      </c>
      <c r="BE49" s="1" t="s">
        <v>1213</v>
      </c>
      <c r="BF49" s="2" t="str">
        <f>HYPERLINK("http://dx.doi.org/10.1007/978-3-031-27181-6_1","http://dx.doi.org/10.1007/978-3-031-27181-6_1")</f>
        <v>http://dx.doi.org/10.1007/978-3-031-27181-6_1</v>
      </c>
      <c r="BG49" s="1" t="s">
        <v>74</v>
      </c>
      <c r="BH49" s="1" t="s">
        <v>74</v>
      </c>
      <c r="BI49" s="1">
        <v>14.0</v>
      </c>
      <c r="BJ49" s="1" t="s">
        <v>1214</v>
      </c>
      <c r="BK49" s="1" t="s">
        <v>128</v>
      </c>
      <c r="BL49" s="1" t="s">
        <v>232</v>
      </c>
      <c r="BM49" s="1" t="s">
        <v>1215</v>
      </c>
      <c r="BN49" s="1" t="s">
        <v>74</v>
      </c>
      <c r="BO49" s="1" t="s">
        <v>74</v>
      </c>
      <c r="BP49" s="1" t="s">
        <v>74</v>
      </c>
      <c r="BQ49" s="1" t="s">
        <v>74</v>
      </c>
      <c r="BR49" s="1" t="s">
        <v>102</v>
      </c>
      <c r="BS49" s="1" t="s">
        <v>1216</v>
      </c>
      <c r="BT49" s="1" t="str">
        <f>HYPERLINK("https%3A%2F%2Fwww.webofscience.com%2Fwos%2Fwoscc%2Ffull-record%2FWOS:000999015100001","View Full Record in Web of Science")</f>
        <v>View Full Record in Web of Science</v>
      </c>
    </row>
    <row r="50" ht="12.75" customHeight="1">
      <c r="A50" s="1" t="s">
        <v>72</v>
      </c>
      <c r="B50" s="1" t="s">
        <v>1217</v>
      </c>
      <c r="C50" s="1" t="s">
        <v>74</v>
      </c>
      <c r="D50" s="1" t="s">
        <v>1218</v>
      </c>
      <c r="E50" s="1" t="s">
        <v>74</v>
      </c>
      <c r="F50" s="1" t="s">
        <v>1219</v>
      </c>
      <c r="G50" s="1" t="s">
        <v>74</v>
      </c>
      <c r="H50" s="1" t="s">
        <v>74</v>
      </c>
      <c r="I50" s="1" t="s">
        <v>1220</v>
      </c>
      <c r="J50" s="1" t="s">
        <v>1221</v>
      </c>
      <c r="K50" s="1" t="s">
        <v>414</v>
      </c>
      <c r="L50" s="1" t="s">
        <v>74</v>
      </c>
      <c r="M50" s="1" t="s">
        <v>80</v>
      </c>
      <c r="N50" s="1" t="s">
        <v>81</v>
      </c>
      <c r="O50" s="1" t="s">
        <v>1222</v>
      </c>
      <c r="P50" s="1" t="s">
        <v>1223</v>
      </c>
      <c r="Q50" s="1" t="s">
        <v>1224</v>
      </c>
      <c r="R50" s="1" t="s">
        <v>1225</v>
      </c>
      <c r="S50" s="1" t="s">
        <v>74</v>
      </c>
      <c r="T50" s="1" t="s">
        <v>1226</v>
      </c>
      <c r="U50" s="1" t="s">
        <v>74</v>
      </c>
      <c r="V50" s="1" t="s">
        <v>1227</v>
      </c>
      <c r="W50" s="1" t="s">
        <v>1228</v>
      </c>
      <c r="X50" s="1" t="s">
        <v>1229</v>
      </c>
      <c r="Y50" s="1" t="s">
        <v>1230</v>
      </c>
      <c r="Z50" s="1" t="s">
        <v>1231</v>
      </c>
      <c r="AA50" s="1" t="s">
        <v>1232</v>
      </c>
      <c r="AB50" s="1" t="s">
        <v>74</v>
      </c>
      <c r="AC50" s="1" t="s">
        <v>74</v>
      </c>
      <c r="AD50" s="1" t="s">
        <v>74</v>
      </c>
      <c r="AE50" s="1" t="s">
        <v>74</v>
      </c>
      <c r="AF50" s="1" t="s">
        <v>74</v>
      </c>
      <c r="AG50" s="1">
        <v>27.0</v>
      </c>
      <c r="AH50" s="1">
        <v>1.0</v>
      </c>
      <c r="AI50" s="1">
        <v>1.0</v>
      </c>
      <c r="AJ50" s="1">
        <v>6.0</v>
      </c>
      <c r="AK50" s="1">
        <v>10.0</v>
      </c>
      <c r="AL50" s="1" t="s">
        <v>223</v>
      </c>
      <c r="AM50" s="1" t="s">
        <v>224</v>
      </c>
      <c r="AN50" s="1" t="s">
        <v>225</v>
      </c>
      <c r="AO50" s="1" t="s">
        <v>430</v>
      </c>
      <c r="AP50" s="1" t="s">
        <v>431</v>
      </c>
      <c r="AQ50" s="1" t="s">
        <v>1233</v>
      </c>
      <c r="AR50" s="1" t="s">
        <v>433</v>
      </c>
      <c r="AS50" s="1" t="s">
        <v>74</v>
      </c>
      <c r="AT50" s="1" t="s">
        <v>74</v>
      </c>
      <c r="AU50" s="1">
        <v>2022.0</v>
      </c>
      <c r="AV50" s="1">
        <v>1734.0</v>
      </c>
      <c r="AW50" s="1" t="s">
        <v>74</v>
      </c>
      <c r="AX50" s="1" t="s">
        <v>74</v>
      </c>
      <c r="AY50" s="1" t="s">
        <v>74</v>
      </c>
      <c r="AZ50" s="1" t="s">
        <v>74</v>
      </c>
      <c r="BA50" s="1" t="s">
        <v>74</v>
      </c>
      <c r="BB50" s="1">
        <v>348.0</v>
      </c>
      <c r="BC50" s="1">
        <v>367.0</v>
      </c>
      <c r="BD50" s="1" t="s">
        <v>74</v>
      </c>
      <c r="BE50" s="1" t="s">
        <v>1234</v>
      </c>
      <c r="BF50" s="2" t="str">
        <f>HYPERLINK("http://dx.doi.org/10.1007/978-3-031-22321-1_24","http://dx.doi.org/10.1007/978-3-031-22321-1_24")</f>
        <v>http://dx.doi.org/10.1007/978-3-031-22321-1_24</v>
      </c>
      <c r="BG50" s="1" t="s">
        <v>74</v>
      </c>
      <c r="BH50" s="1" t="s">
        <v>74</v>
      </c>
      <c r="BI50" s="1">
        <v>20.0</v>
      </c>
      <c r="BJ50" s="1" t="s">
        <v>1214</v>
      </c>
      <c r="BK50" s="1" t="s">
        <v>128</v>
      </c>
      <c r="BL50" s="1" t="s">
        <v>232</v>
      </c>
      <c r="BM50" s="1" t="s">
        <v>1235</v>
      </c>
      <c r="BN50" s="1" t="s">
        <v>74</v>
      </c>
      <c r="BO50" s="1" t="s">
        <v>74</v>
      </c>
      <c r="BP50" s="1" t="s">
        <v>74</v>
      </c>
      <c r="BQ50" s="1" t="s">
        <v>74</v>
      </c>
      <c r="BR50" s="1" t="s">
        <v>102</v>
      </c>
      <c r="BS50" s="1" t="s">
        <v>1236</v>
      </c>
      <c r="BT50" s="1" t="str">
        <f>HYPERLINK("https%3A%2F%2Fwww.webofscience.com%2Fwos%2Fwoscc%2Ffull-record%2FWOS:000921010700024","View Full Record in Web of Science")</f>
        <v>View Full Record in Web of Science</v>
      </c>
    </row>
    <row r="51" ht="12.75" customHeight="1">
      <c r="A51" s="1" t="s">
        <v>132</v>
      </c>
      <c r="B51" s="1" t="s">
        <v>1237</v>
      </c>
      <c r="C51" s="1" t="s">
        <v>74</v>
      </c>
      <c r="D51" s="1" t="s">
        <v>74</v>
      </c>
      <c r="E51" s="1" t="s">
        <v>74</v>
      </c>
      <c r="F51" s="1" t="s">
        <v>1238</v>
      </c>
      <c r="G51" s="1" t="s">
        <v>74</v>
      </c>
      <c r="H51" s="1" t="s">
        <v>74</v>
      </c>
      <c r="I51" s="1" t="s">
        <v>1239</v>
      </c>
      <c r="J51" s="1" t="s">
        <v>1240</v>
      </c>
      <c r="K51" s="1" t="s">
        <v>74</v>
      </c>
      <c r="L51" s="1" t="s">
        <v>74</v>
      </c>
      <c r="M51" s="1" t="s">
        <v>80</v>
      </c>
      <c r="N51" s="1" t="s">
        <v>1010</v>
      </c>
      <c r="O51" s="1" t="s">
        <v>74</v>
      </c>
      <c r="P51" s="1" t="s">
        <v>74</v>
      </c>
      <c r="Q51" s="1" t="s">
        <v>74</v>
      </c>
      <c r="R51" s="1" t="s">
        <v>74</v>
      </c>
      <c r="S51" s="1" t="s">
        <v>74</v>
      </c>
      <c r="T51" s="1" t="s">
        <v>1241</v>
      </c>
      <c r="U51" s="1" t="s">
        <v>1242</v>
      </c>
      <c r="V51" s="1" t="s">
        <v>1243</v>
      </c>
      <c r="W51" s="1" t="s">
        <v>1244</v>
      </c>
      <c r="X51" s="1" t="s">
        <v>1245</v>
      </c>
      <c r="Y51" s="1" t="s">
        <v>1246</v>
      </c>
      <c r="Z51" s="1" t="s">
        <v>1247</v>
      </c>
      <c r="AA51" s="1" t="s">
        <v>74</v>
      </c>
      <c r="AB51" s="1" t="s">
        <v>74</v>
      </c>
      <c r="AC51" s="1" t="s">
        <v>74</v>
      </c>
      <c r="AD51" s="1" t="s">
        <v>74</v>
      </c>
      <c r="AE51" s="1" t="s">
        <v>74</v>
      </c>
      <c r="AF51" s="1" t="s">
        <v>74</v>
      </c>
      <c r="AG51" s="1">
        <v>108.0</v>
      </c>
      <c r="AH51" s="1">
        <v>10.0</v>
      </c>
      <c r="AI51" s="1">
        <v>10.0</v>
      </c>
      <c r="AJ51" s="1">
        <v>161.0</v>
      </c>
      <c r="AK51" s="1">
        <v>183.0</v>
      </c>
      <c r="AL51" s="1" t="s">
        <v>1240</v>
      </c>
      <c r="AM51" s="1" t="s">
        <v>1248</v>
      </c>
      <c r="AN51" s="1" t="s">
        <v>1249</v>
      </c>
      <c r="AO51" s="1" t="s">
        <v>1250</v>
      </c>
      <c r="AP51" s="1" t="s">
        <v>74</v>
      </c>
      <c r="AQ51" s="1" t="s">
        <v>74</v>
      </c>
      <c r="AR51" s="1" t="s">
        <v>1251</v>
      </c>
      <c r="AS51" s="1" t="s">
        <v>1252</v>
      </c>
      <c r="AT51" s="1" t="s">
        <v>1253</v>
      </c>
      <c r="AU51" s="1">
        <v>2024.0</v>
      </c>
      <c r="AV51" s="1" t="s">
        <v>74</v>
      </c>
      <c r="AW51" s="1" t="s">
        <v>74</v>
      </c>
      <c r="AX51" s="1" t="s">
        <v>74</v>
      </c>
      <c r="AY51" s="1" t="s">
        <v>74</v>
      </c>
      <c r="AZ51" s="1" t="s">
        <v>474</v>
      </c>
      <c r="BA51" s="1" t="s">
        <v>74</v>
      </c>
      <c r="BB51" s="1">
        <v>26.0</v>
      </c>
      <c r="BC51" s="1">
        <v>55.0</v>
      </c>
      <c r="BD51" s="1" t="s">
        <v>74</v>
      </c>
      <c r="BE51" s="1" t="s">
        <v>1254</v>
      </c>
      <c r="BF51" s="2" t="str">
        <f>HYPERLINK("http://dx.doi.org/10.24093/awej/ChatGPT.2","http://dx.doi.org/10.24093/awej/ChatGPT.2")</f>
        <v>http://dx.doi.org/10.24093/awej/ChatGPT.2</v>
      </c>
      <c r="BG51" s="1" t="s">
        <v>74</v>
      </c>
      <c r="BH51" s="1" t="s">
        <v>74</v>
      </c>
      <c r="BI51" s="1">
        <v>30.0</v>
      </c>
      <c r="BJ51" s="1" t="s">
        <v>1255</v>
      </c>
      <c r="BK51" s="1" t="s">
        <v>172</v>
      </c>
      <c r="BL51" s="1" t="s">
        <v>1256</v>
      </c>
      <c r="BM51" s="1" t="s">
        <v>1257</v>
      </c>
      <c r="BN51" s="1" t="s">
        <v>74</v>
      </c>
      <c r="BO51" s="1" t="s">
        <v>556</v>
      </c>
      <c r="BP51" s="1" t="s">
        <v>74</v>
      </c>
      <c r="BQ51" s="1" t="s">
        <v>74</v>
      </c>
      <c r="BR51" s="1" t="s">
        <v>102</v>
      </c>
      <c r="BS51" s="1" t="s">
        <v>1258</v>
      </c>
      <c r="BT51" s="1" t="str">
        <f>HYPERLINK("https%3A%2F%2Fwww.webofscience.com%2Fwos%2Fwoscc%2Ffull-record%2FWOS:001245053900003","View Full Record in Web of Science")</f>
        <v>View Full Record in Web of Science</v>
      </c>
    </row>
    <row r="52" ht="12.75" customHeight="1">
      <c r="A52" s="1" t="s">
        <v>132</v>
      </c>
      <c r="B52" s="1" t="s">
        <v>1259</v>
      </c>
      <c r="C52" s="1" t="s">
        <v>74</v>
      </c>
      <c r="D52" s="1" t="s">
        <v>74</v>
      </c>
      <c r="E52" s="1" t="s">
        <v>74</v>
      </c>
      <c r="F52" s="1" t="s">
        <v>1260</v>
      </c>
      <c r="G52" s="1" t="s">
        <v>74</v>
      </c>
      <c r="H52" s="1" t="s">
        <v>74</v>
      </c>
      <c r="I52" s="1" t="s">
        <v>1261</v>
      </c>
      <c r="J52" s="1" t="s">
        <v>1262</v>
      </c>
      <c r="K52" s="1" t="s">
        <v>74</v>
      </c>
      <c r="L52" s="1" t="s">
        <v>74</v>
      </c>
      <c r="M52" s="1" t="s">
        <v>80</v>
      </c>
      <c r="N52" s="1" t="s">
        <v>136</v>
      </c>
      <c r="O52" s="1" t="s">
        <v>74</v>
      </c>
      <c r="P52" s="1" t="s">
        <v>74</v>
      </c>
      <c r="Q52" s="1" t="s">
        <v>74</v>
      </c>
      <c r="R52" s="1" t="s">
        <v>74</v>
      </c>
      <c r="S52" s="1" t="s">
        <v>74</v>
      </c>
      <c r="T52" s="1" t="s">
        <v>1263</v>
      </c>
      <c r="U52" s="1" t="s">
        <v>1264</v>
      </c>
      <c r="V52" s="1" t="s">
        <v>1265</v>
      </c>
      <c r="W52" s="1" t="s">
        <v>1266</v>
      </c>
      <c r="X52" s="1" t="s">
        <v>1267</v>
      </c>
      <c r="Y52" s="1" t="s">
        <v>1268</v>
      </c>
      <c r="Z52" s="1" t="s">
        <v>1269</v>
      </c>
      <c r="AA52" s="1" t="s">
        <v>1270</v>
      </c>
      <c r="AB52" s="1" t="s">
        <v>1271</v>
      </c>
      <c r="AC52" s="1" t="s">
        <v>1272</v>
      </c>
      <c r="AD52" s="1" t="s">
        <v>1272</v>
      </c>
      <c r="AE52" s="1" t="s">
        <v>1273</v>
      </c>
      <c r="AF52" s="1" t="s">
        <v>74</v>
      </c>
      <c r="AG52" s="1">
        <v>27.0</v>
      </c>
      <c r="AH52" s="1">
        <v>123.0</v>
      </c>
      <c r="AI52" s="1">
        <v>125.0</v>
      </c>
      <c r="AJ52" s="1">
        <v>11.0</v>
      </c>
      <c r="AK52" s="1">
        <v>74.0</v>
      </c>
      <c r="AL52" s="1" t="s">
        <v>1274</v>
      </c>
      <c r="AM52" s="1" t="s">
        <v>1021</v>
      </c>
      <c r="AN52" s="1" t="s">
        <v>1275</v>
      </c>
      <c r="AO52" s="1" t="s">
        <v>1276</v>
      </c>
      <c r="AP52" s="1" t="s">
        <v>1277</v>
      </c>
      <c r="AQ52" s="1" t="s">
        <v>74</v>
      </c>
      <c r="AR52" s="1" t="s">
        <v>1262</v>
      </c>
      <c r="AS52" s="1" t="s">
        <v>1278</v>
      </c>
      <c r="AT52" s="1" t="s">
        <v>1279</v>
      </c>
      <c r="AU52" s="1">
        <v>2022.0</v>
      </c>
      <c r="AV52" s="1">
        <v>163.0</v>
      </c>
      <c r="AW52" s="1">
        <v>1.0</v>
      </c>
      <c r="AX52" s="1" t="s">
        <v>74</v>
      </c>
      <c r="AY52" s="1" t="s">
        <v>74</v>
      </c>
      <c r="AZ52" s="1" t="s">
        <v>74</v>
      </c>
      <c r="BA52" s="1" t="s">
        <v>74</v>
      </c>
      <c r="BB52" s="1">
        <v>295.0</v>
      </c>
      <c r="BC52" s="1" t="s">
        <v>1280</v>
      </c>
      <c r="BD52" s="1" t="s">
        <v>74</v>
      </c>
      <c r="BE52" s="1" t="s">
        <v>1281</v>
      </c>
      <c r="BF52" s="2" t="str">
        <f>HYPERLINK("http://dx.doi.org/10.1053/j.gastro.2022.03.007","http://dx.doi.org/10.1053/j.gastro.2022.03.007")</f>
        <v>http://dx.doi.org/10.1053/j.gastro.2022.03.007</v>
      </c>
      <c r="BG52" s="1" t="s">
        <v>74</v>
      </c>
      <c r="BH52" s="1" t="s">
        <v>74</v>
      </c>
      <c r="BI52" s="1">
        <v>15.0</v>
      </c>
      <c r="BJ52" s="1" t="s">
        <v>1282</v>
      </c>
      <c r="BK52" s="1" t="s">
        <v>149</v>
      </c>
      <c r="BL52" s="1" t="s">
        <v>1282</v>
      </c>
      <c r="BM52" s="1" t="s">
        <v>1283</v>
      </c>
      <c r="BN52" s="1">
        <v>3.5304117E7</v>
      </c>
      <c r="BO52" s="1" t="s">
        <v>306</v>
      </c>
      <c r="BP52" s="1" t="s">
        <v>74</v>
      </c>
      <c r="BQ52" s="1" t="s">
        <v>74</v>
      </c>
      <c r="BR52" s="1" t="s">
        <v>102</v>
      </c>
      <c r="BS52" s="1" t="s">
        <v>1284</v>
      </c>
      <c r="BT52" s="1" t="str">
        <f>HYPERLINK("https%3A%2F%2Fwww.webofscience.com%2Fwos%2Fwoscc%2Ffull-record%2FWOS:000833492600011","View Full Record in Web of Science")</f>
        <v>View Full Record in Web of Science</v>
      </c>
    </row>
    <row r="53" ht="12.75" customHeight="1">
      <c r="A53" s="1" t="s">
        <v>132</v>
      </c>
      <c r="B53" s="1" t="s">
        <v>1285</v>
      </c>
      <c r="C53" s="1" t="s">
        <v>74</v>
      </c>
      <c r="D53" s="1" t="s">
        <v>74</v>
      </c>
      <c r="E53" s="1" t="s">
        <v>74</v>
      </c>
      <c r="F53" s="1" t="s">
        <v>1286</v>
      </c>
      <c r="G53" s="1" t="s">
        <v>74</v>
      </c>
      <c r="H53" s="1" t="s">
        <v>74</v>
      </c>
      <c r="I53" s="1" t="s">
        <v>1287</v>
      </c>
      <c r="J53" s="1" t="s">
        <v>1288</v>
      </c>
      <c r="K53" s="1" t="s">
        <v>74</v>
      </c>
      <c r="L53" s="1" t="s">
        <v>74</v>
      </c>
      <c r="M53" s="1" t="s">
        <v>80</v>
      </c>
      <c r="N53" s="1" t="s">
        <v>136</v>
      </c>
      <c r="O53" s="1" t="s">
        <v>74</v>
      </c>
      <c r="P53" s="1" t="s">
        <v>74</v>
      </c>
      <c r="Q53" s="1" t="s">
        <v>74</v>
      </c>
      <c r="R53" s="1" t="s">
        <v>74</v>
      </c>
      <c r="S53" s="1" t="s">
        <v>74</v>
      </c>
      <c r="T53" s="1" t="s">
        <v>1289</v>
      </c>
      <c r="U53" s="1" t="s">
        <v>74</v>
      </c>
      <c r="V53" s="1" t="s">
        <v>1290</v>
      </c>
      <c r="W53" s="1" t="s">
        <v>1291</v>
      </c>
      <c r="X53" s="1" t="s">
        <v>673</v>
      </c>
      <c r="Y53" s="1" t="s">
        <v>1292</v>
      </c>
      <c r="Z53" s="1" t="s">
        <v>1293</v>
      </c>
      <c r="AA53" s="1" t="s">
        <v>74</v>
      </c>
      <c r="AB53" s="1" t="s">
        <v>74</v>
      </c>
      <c r="AC53" s="1" t="s">
        <v>74</v>
      </c>
      <c r="AD53" s="1" t="s">
        <v>74</v>
      </c>
      <c r="AE53" s="1" t="s">
        <v>74</v>
      </c>
      <c r="AF53" s="1" t="s">
        <v>74</v>
      </c>
      <c r="AG53" s="1">
        <v>40.0</v>
      </c>
      <c r="AH53" s="1">
        <v>4.0</v>
      </c>
      <c r="AI53" s="1">
        <v>4.0</v>
      </c>
      <c r="AJ53" s="1">
        <v>42.0</v>
      </c>
      <c r="AK53" s="1">
        <v>47.0</v>
      </c>
      <c r="AL53" s="1" t="s">
        <v>1294</v>
      </c>
      <c r="AM53" s="1" t="s">
        <v>1295</v>
      </c>
      <c r="AN53" s="1" t="s">
        <v>1296</v>
      </c>
      <c r="AO53" s="1" t="s">
        <v>1297</v>
      </c>
      <c r="AP53" s="1" t="s">
        <v>1298</v>
      </c>
      <c r="AQ53" s="1" t="s">
        <v>74</v>
      </c>
      <c r="AR53" s="1" t="s">
        <v>1299</v>
      </c>
      <c r="AS53" s="1" t="s">
        <v>1300</v>
      </c>
      <c r="AT53" s="1" t="s">
        <v>1301</v>
      </c>
      <c r="AU53" s="1">
        <v>2024.0</v>
      </c>
      <c r="AV53" s="1">
        <v>26.0</v>
      </c>
      <c r="AW53" s="1">
        <v>65.0</v>
      </c>
      <c r="AX53" s="1" t="s">
        <v>74</v>
      </c>
      <c r="AY53" s="1" t="s">
        <v>74</v>
      </c>
      <c r="AZ53" s="1" t="s">
        <v>74</v>
      </c>
      <c r="BA53" s="1" t="s">
        <v>74</v>
      </c>
      <c r="BB53" s="1">
        <v>89.0</v>
      </c>
      <c r="BC53" s="1">
        <v>105.0</v>
      </c>
      <c r="BD53" s="1" t="s">
        <v>74</v>
      </c>
      <c r="BE53" s="1" t="s">
        <v>1302</v>
      </c>
      <c r="BF53" s="2" t="str">
        <f>HYPERLINK("http://dx.doi.org/10.24818/EA/2024/65/89","http://dx.doi.org/10.24818/EA/2024/65/89")</f>
        <v>http://dx.doi.org/10.24818/EA/2024/65/89</v>
      </c>
      <c r="BG53" s="1" t="s">
        <v>74</v>
      </c>
      <c r="BH53" s="1" t="s">
        <v>74</v>
      </c>
      <c r="BI53" s="1">
        <v>17.0</v>
      </c>
      <c r="BJ53" s="1" t="s">
        <v>1303</v>
      </c>
      <c r="BK53" s="1" t="s">
        <v>203</v>
      </c>
      <c r="BL53" s="1" t="s">
        <v>204</v>
      </c>
      <c r="BM53" s="1" t="s">
        <v>1304</v>
      </c>
      <c r="BN53" s="1" t="s">
        <v>74</v>
      </c>
      <c r="BO53" s="1" t="s">
        <v>1161</v>
      </c>
      <c r="BP53" s="1" t="s">
        <v>74</v>
      </c>
      <c r="BQ53" s="1" t="s">
        <v>74</v>
      </c>
      <c r="BR53" s="1" t="s">
        <v>102</v>
      </c>
      <c r="BS53" s="1" t="s">
        <v>1305</v>
      </c>
      <c r="BT53" s="1" t="str">
        <f>HYPERLINK("https%3A%2F%2Fwww.webofscience.com%2Fwos%2Fwoscc%2Ffull-record%2FWOS:001251298900006","View Full Record in Web of Science")</f>
        <v>View Full Record in Web of Science</v>
      </c>
    </row>
    <row r="54" ht="12.75" customHeight="1">
      <c r="A54" s="1" t="s">
        <v>72</v>
      </c>
      <c r="B54" s="1" t="s">
        <v>1306</v>
      </c>
      <c r="C54" s="1" t="s">
        <v>74</v>
      </c>
      <c r="D54" s="1" t="s">
        <v>1307</v>
      </c>
      <c r="E54" s="1" t="s">
        <v>74</v>
      </c>
      <c r="F54" s="1" t="s">
        <v>1308</v>
      </c>
      <c r="G54" s="1" t="s">
        <v>74</v>
      </c>
      <c r="H54" s="1" t="s">
        <v>74</v>
      </c>
      <c r="I54" s="1" t="s">
        <v>1309</v>
      </c>
      <c r="J54" s="1" t="s">
        <v>1310</v>
      </c>
      <c r="K54" s="1" t="s">
        <v>74</v>
      </c>
      <c r="L54" s="1" t="s">
        <v>74</v>
      </c>
      <c r="M54" s="1" t="s">
        <v>80</v>
      </c>
      <c r="N54" s="1" t="s">
        <v>81</v>
      </c>
      <c r="O54" s="1" t="s">
        <v>1311</v>
      </c>
      <c r="P54" s="1" t="s">
        <v>1312</v>
      </c>
      <c r="Q54" s="1" t="s">
        <v>1313</v>
      </c>
      <c r="R54" s="1" t="s">
        <v>1314</v>
      </c>
      <c r="S54" s="1" t="s">
        <v>74</v>
      </c>
      <c r="T54" s="1" t="s">
        <v>1315</v>
      </c>
      <c r="U54" s="1" t="s">
        <v>74</v>
      </c>
      <c r="V54" s="1" t="s">
        <v>1316</v>
      </c>
      <c r="W54" s="1" t="s">
        <v>1317</v>
      </c>
      <c r="X54" s="1" t="s">
        <v>1318</v>
      </c>
      <c r="Y54" s="1" t="s">
        <v>1319</v>
      </c>
      <c r="Z54" s="1" t="s">
        <v>1320</v>
      </c>
      <c r="AA54" s="1" t="s">
        <v>1321</v>
      </c>
      <c r="AB54" s="1" t="s">
        <v>1322</v>
      </c>
      <c r="AC54" s="1" t="s">
        <v>74</v>
      </c>
      <c r="AD54" s="1" t="s">
        <v>74</v>
      </c>
      <c r="AE54" s="1" t="s">
        <v>74</v>
      </c>
      <c r="AF54" s="1" t="s">
        <v>74</v>
      </c>
      <c r="AG54" s="1">
        <v>20.0</v>
      </c>
      <c r="AH54" s="1">
        <v>10.0</v>
      </c>
      <c r="AI54" s="1">
        <v>10.0</v>
      </c>
      <c r="AJ54" s="1">
        <v>2.0</v>
      </c>
      <c r="AK54" s="1">
        <v>21.0</v>
      </c>
      <c r="AL54" s="1" t="s">
        <v>236</v>
      </c>
      <c r="AM54" s="1" t="s">
        <v>193</v>
      </c>
      <c r="AN54" s="1" t="s">
        <v>252</v>
      </c>
      <c r="AO54" s="1" t="s">
        <v>74</v>
      </c>
      <c r="AP54" s="1" t="s">
        <v>74</v>
      </c>
      <c r="AQ54" s="1" t="s">
        <v>1323</v>
      </c>
      <c r="AR54" s="1" t="s">
        <v>74</v>
      </c>
      <c r="AS54" s="1" t="s">
        <v>74</v>
      </c>
      <c r="AT54" s="1" t="s">
        <v>74</v>
      </c>
      <c r="AU54" s="1">
        <v>2019.0</v>
      </c>
      <c r="AV54" s="1" t="s">
        <v>74</v>
      </c>
      <c r="AW54" s="1" t="s">
        <v>74</v>
      </c>
      <c r="AX54" s="1" t="s">
        <v>74</v>
      </c>
      <c r="AY54" s="1" t="s">
        <v>74</v>
      </c>
      <c r="AZ54" s="1" t="s">
        <v>74</v>
      </c>
      <c r="BA54" s="1" t="s">
        <v>74</v>
      </c>
      <c r="BB54" s="1">
        <v>565.0</v>
      </c>
      <c r="BC54" s="1">
        <v>570.0</v>
      </c>
      <c r="BD54" s="1" t="s">
        <v>74</v>
      </c>
      <c r="BE54" s="1" t="s">
        <v>74</v>
      </c>
      <c r="BF54" s="1" t="s">
        <v>74</v>
      </c>
      <c r="BG54" s="1" t="s">
        <v>74</v>
      </c>
      <c r="BH54" s="1" t="s">
        <v>74</v>
      </c>
      <c r="BI54" s="1">
        <v>6.0</v>
      </c>
      <c r="BJ54" s="1" t="s">
        <v>1324</v>
      </c>
      <c r="BK54" s="1" t="s">
        <v>128</v>
      </c>
      <c r="BL54" s="1" t="s">
        <v>1325</v>
      </c>
      <c r="BM54" s="1" t="s">
        <v>1326</v>
      </c>
      <c r="BN54" s="1" t="s">
        <v>74</v>
      </c>
      <c r="BO54" s="1" t="s">
        <v>74</v>
      </c>
      <c r="BP54" s="1" t="s">
        <v>74</v>
      </c>
      <c r="BQ54" s="1" t="s">
        <v>74</v>
      </c>
      <c r="BR54" s="1" t="s">
        <v>102</v>
      </c>
      <c r="BS54" s="1" t="s">
        <v>1327</v>
      </c>
      <c r="BT54" s="1" t="str">
        <f>HYPERLINK("https%3A%2F%2Fwww.webofscience.com%2Fwos%2Fwoscc%2Ffull-record%2FWOS:000470894100105","View Full Record in Web of Science")</f>
        <v>View Full Record in Web of Science</v>
      </c>
    </row>
    <row r="55" ht="12.75" customHeight="1">
      <c r="A55" s="1" t="s">
        <v>132</v>
      </c>
      <c r="B55" s="1" t="s">
        <v>1328</v>
      </c>
      <c r="C55" s="1" t="s">
        <v>74</v>
      </c>
      <c r="D55" s="1" t="s">
        <v>74</v>
      </c>
      <c r="E55" s="1" t="s">
        <v>74</v>
      </c>
      <c r="F55" s="1" t="s">
        <v>1328</v>
      </c>
      <c r="G55" s="1" t="s">
        <v>74</v>
      </c>
      <c r="H55" s="1" t="s">
        <v>74</v>
      </c>
      <c r="I55" s="1" t="s">
        <v>1329</v>
      </c>
      <c r="J55" s="1" t="s">
        <v>1330</v>
      </c>
      <c r="K55" s="1" t="s">
        <v>74</v>
      </c>
      <c r="L55" s="1" t="s">
        <v>74</v>
      </c>
      <c r="M55" s="1" t="s">
        <v>80</v>
      </c>
      <c r="N55" s="1" t="s">
        <v>136</v>
      </c>
      <c r="O55" s="1" t="s">
        <v>74</v>
      </c>
      <c r="P55" s="1" t="s">
        <v>74</v>
      </c>
      <c r="Q55" s="1" t="s">
        <v>74</v>
      </c>
      <c r="R55" s="1" t="s">
        <v>74</v>
      </c>
      <c r="S55" s="1" t="s">
        <v>74</v>
      </c>
      <c r="T55" s="1" t="s">
        <v>1331</v>
      </c>
      <c r="U55" s="1" t="s">
        <v>74</v>
      </c>
      <c r="V55" s="1" t="s">
        <v>1332</v>
      </c>
      <c r="W55" s="1" t="s">
        <v>1333</v>
      </c>
      <c r="X55" s="1" t="s">
        <v>1334</v>
      </c>
      <c r="Y55" s="1" t="s">
        <v>1335</v>
      </c>
      <c r="Z55" s="1" t="s">
        <v>74</v>
      </c>
      <c r="AA55" s="1" t="s">
        <v>74</v>
      </c>
      <c r="AB55" s="1" t="s">
        <v>74</v>
      </c>
      <c r="AC55" s="1" t="s">
        <v>74</v>
      </c>
      <c r="AD55" s="1" t="s">
        <v>74</v>
      </c>
      <c r="AE55" s="1" t="s">
        <v>74</v>
      </c>
      <c r="AF55" s="1" t="s">
        <v>74</v>
      </c>
      <c r="AG55" s="1">
        <v>28.0</v>
      </c>
      <c r="AH55" s="1">
        <v>7.0</v>
      </c>
      <c r="AI55" s="1">
        <v>7.0</v>
      </c>
      <c r="AJ55" s="1">
        <v>3.0</v>
      </c>
      <c r="AK55" s="1">
        <v>21.0</v>
      </c>
      <c r="AL55" s="1" t="s">
        <v>1336</v>
      </c>
      <c r="AM55" s="1" t="s">
        <v>1337</v>
      </c>
      <c r="AN55" s="1" t="s">
        <v>1338</v>
      </c>
      <c r="AO55" s="1" t="s">
        <v>1339</v>
      </c>
      <c r="AP55" s="1" t="s">
        <v>74</v>
      </c>
      <c r="AQ55" s="1" t="s">
        <v>74</v>
      </c>
      <c r="AR55" s="1" t="s">
        <v>1330</v>
      </c>
      <c r="AS55" s="1" t="s">
        <v>1340</v>
      </c>
      <c r="AT55" s="1" t="s">
        <v>74</v>
      </c>
      <c r="AU55" s="1">
        <v>1993.0</v>
      </c>
      <c r="AV55" s="1">
        <v>22.0</v>
      </c>
      <c r="AW55" s="1">
        <v>2.0</v>
      </c>
      <c r="AX55" s="1" t="s">
        <v>74</v>
      </c>
      <c r="AY55" s="1" t="s">
        <v>74</v>
      </c>
      <c r="AZ55" s="1" t="s">
        <v>74</v>
      </c>
      <c r="BA55" s="1" t="s">
        <v>74</v>
      </c>
      <c r="BB55" s="1">
        <v>40.0</v>
      </c>
      <c r="BC55" s="1">
        <v>50.0</v>
      </c>
      <c r="BD55" s="1" t="s">
        <v>74</v>
      </c>
      <c r="BE55" s="1" t="s">
        <v>1341</v>
      </c>
      <c r="BF55" s="2" t="str">
        <f>HYPERLINK("http://dx.doi.org/10.1108/eb005962","http://dx.doi.org/10.1108/eb005962")</f>
        <v>http://dx.doi.org/10.1108/eb005962</v>
      </c>
      <c r="BG55" s="1" t="s">
        <v>74</v>
      </c>
      <c r="BH55" s="1" t="s">
        <v>74</v>
      </c>
      <c r="BI55" s="1">
        <v>11.0</v>
      </c>
      <c r="BJ55" s="1" t="s">
        <v>1342</v>
      </c>
      <c r="BK55" s="1" t="s">
        <v>149</v>
      </c>
      <c r="BL55" s="1" t="s">
        <v>232</v>
      </c>
      <c r="BM55" s="1" t="s">
        <v>1343</v>
      </c>
      <c r="BN55" s="1" t="s">
        <v>74</v>
      </c>
      <c r="BO55" s="1" t="s">
        <v>74</v>
      </c>
      <c r="BP55" s="1" t="s">
        <v>74</v>
      </c>
      <c r="BQ55" s="1" t="s">
        <v>74</v>
      </c>
      <c r="BR55" s="1" t="s">
        <v>102</v>
      </c>
      <c r="BS55" s="1" t="s">
        <v>1344</v>
      </c>
      <c r="BT55" s="1" t="str">
        <f>HYPERLINK("https%3A%2F%2Fwww.webofscience.com%2Fwos%2Fwoscc%2Ffull-record%2FWOS:A1993LN30200004","View Full Record in Web of Science")</f>
        <v>View Full Record in Web of Science</v>
      </c>
    </row>
    <row r="56" ht="12.75" customHeight="1">
      <c r="A56" s="1" t="s">
        <v>132</v>
      </c>
      <c r="B56" s="1" t="s">
        <v>1345</v>
      </c>
      <c r="C56" s="1" t="s">
        <v>74</v>
      </c>
      <c r="D56" s="1" t="s">
        <v>74</v>
      </c>
      <c r="E56" s="1" t="s">
        <v>74</v>
      </c>
      <c r="F56" s="1" t="s">
        <v>1346</v>
      </c>
      <c r="G56" s="1" t="s">
        <v>74</v>
      </c>
      <c r="H56" s="1" t="s">
        <v>74</v>
      </c>
      <c r="I56" s="1" t="s">
        <v>1347</v>
      </c>
      <c r="J56" s="1" t="s">
        <v>1348</v>
      </c>
      <c r="K56" s="1" t="s">
        <v>74</v>
      </c>
      <c r="L56" s="1" t="s">
        <v>74</v>
      </c>
      <c r="M56" s="1" t="s">
        <v>80</v>
      </c>
      <c r="N56" s="1" t="s">
        <v>136</v>
      </c>
      <c r="O56" s="1" t="s">
        <v>74</v>
      </c>
      <c r="P56" s="1" t="s">
        <v>74</v>
      </c>
      <c r="Q56" s="1" t="s">
        <v>74</v>
      </c>
      <c r="R56" s="1" t="s">
        <v>74</v>
      </c>
      <c r="S56" s="1" t="s">
        <v>74</v>
      </c>
      <c r="T56" s="1" t="s">
        <v>1349</v>
      </c>
      <c r="U56" s="1" t="s">
        <v>1350</v>
      </c>
      <c r="V56" s="1" t="s">
        <v>1351</v>
      </c>
      <c r="W56" s="1" t="s">
        <v>1352</v>
      </c>
      <c r="X56" s="1" t="s">
        <v>1353</v>
      </c>
      <c r="Y56" s="1" t="s">
        <v>1354</v>
      </c>
      <c r="Z56" s="1" t="s">
        <v>1355</v>
      </c>
      <c r="AA56" s="1" t="s">
        <v>1356</v>
      </c>
      <c r="AB56" s="1" t="s">
        <v>74</v>
      </c>
      <c r="AC56" s="1" t="s">
        <v>74</v>
      </c>
      <c r="AD56" s="1" t="s">
        <v>74</v>
      </c>
      <c r="AE56" s="1" t="s">
        <v>74</v>
      </c>
      <c r="AF56" s="1" t="s">
        <v>74</v>
      </c>
      <c r="AG56" s="1">
        <v>57.0</v>
      </c>
      <c r="AH56" s="1">
        <v>5.0</v>
      </c>
      <c r="AI56" s="1">
        <v>5.0</v>
      </c>
      <c r="AJ56" s="1">
        <v>15.0</v>
      </c>
      <c r="AK56" s="1">
        <v>81.0</v>
      </c>
      <c r="AL56" s="1" t="s">
        <v>1357</v>
      </c>
      <c r="AM56" s="1" t="s">
        <v>1358</v>
      </c>
      <c r="AN56" s="1" t="s">
        <v>1359</v>
      </c>
      <c r="AO56" s="1" t="s">
        <v>1360</v>
      </c>
      <c r="AP56" s="1" t="s">
        <v>1361</v>
      </c>
      <c r="AQ56" s="1" t="s">
        <v>74</v>
      </c>
      <c r="AR56" s="1" t="s">
        <v>1362</v>
      </c>
      <c r="AS56" s="1" t="s">
        <v>1363</v>
      </c>
      <c r="AT56" s="1" t="s">
        <v>1364</v>
      </c>
      <c r="AU56" s="1">
        <v>2022.0</v>
      </c>
      <c r="AV56" s="1">
        <v>39.0</v>
      </c>
      <c r="AW56" s="1">
        <v>3.0</v>
      </c>
      <c r="AX56" s="1" t="s">
        <v>74</v>
      </c>
      <c r="AY56" s="1" t="s">
        <v>74</v>
      </c>
      <c r="AZ56" s="1" t="s">
        <v>474</v>
      </c>
      <c r="BA56" s="1" t="s">
        <v>74</v>
      </c>
      <c r="BB56" s="1">
        <v>633.0</v>
      </c>
      <c r="BC56" s="1">
        <v>640.0</v>
      </c>
      <c r="BD56" s="1" t="s">
        <v>74</v>
      </c>
      <c r="BE56" s="1" t="s">
        <v>1365</v>
      </c>
      <c r="BF56" s="2" t="str">
        <f>HYPERLINK("http://dx.doi.org/10.1002/sres.2863","http://dx.doi.org/10.1002/sres.2863")</f>
        <v>http://dx.doi.org/10.1002/sres.2863</v>
      </c>
      <c r="BG56" s="1" t="s">
        <v>74</v>
      </c>
      <c r="BH56" s="1" t="s">
        <v>1366</v>
      </c>
      <c r="BI56" s="1">
        <v>8.0</v>
      </c>
      <c r="BJ56" s="1" t="s">
        <v>1367</v>
      </c>
      <c r="BK56" s="1" t="s">
        <v>203</v>
      </c>
      <c r="BL56" s="1" t="s">
        <v>715</v>
      </c>
      <c r="BM56" s="1" t="s">
        <v>1368</v>
      </c>
      <c r="BN56" s="1" t="s">
        <v>74</v>
      </c>
      <c r="BO56" s="1" t="s">
        <v>74</v>
      </c>
      <c r="BP56" s="1" t="s">
        <v>74</v>
      </c>
      <c r="BQ56" s="1" t="s">
        <v>74</v>
      </c>
      <c r="BR56" s="1" t="s">
        <v>102</v>
      </c>
      <c r="BS56" s="1" t="s">
        <v>1369</v>
      </c>
      <c r="BT56" s="1" t="str">
        <f>HYPERLINK("https%3A%2F%2Fwww.webofscience.com%2Fwos%2Fwoscc%2Ffull-record%2FWOS:000802902400001","View Full Record in Web of Science")</f>
        <v>View Full Record in Web of Science</v>
      </c>
    </row>
    <row r="57" ht="12.75" customHeight="1">
      <c r="A57" s="1" t="s">
        <v>72</v>
      </c>
      <c r="B57" s="1" t="s">
        <v>1370</v>
      </c>
      <c r="C57" s="1" t="s">
        <v>74</v>
      </c>
      <c r="D57" s="1" t="s">
        <v>74</v>
      </c>
      <c r="E57" s="1" t="s">
        <v>236</v>
      </c>
      <c r="F57" s="1" t="s">
        <v>1371</v>
      </c>
      <c r="G57" s="1" t="s">
        <v>74</v>
      </c>
      <c r="H57" s="1" t="s">
        <v>74</v>
      </c>
      <c r="I57" s="1" t="s">
        <v>1372</v>
      </c>
      <c r="J57" s="1" t="s">
        <v>1373</v>
      </c>
      <c r="K57" s="1" t="s">
        <v>74</v>
      </c>
      <c r="L57" s="1" t="s">
        <v>74</v>
      </c>
      <c r="M57" s="1" t="s">
        <v>80</v>
      </c>
      <c r="N57" s="1" t="s">
        <v>81</v>
      </c>
      <c r="O57" s="1" t="s">
        <v>1374</v>
      </c>
      <c r="P57" s="1" t="s">
        <v>1375</v>
      </c>
      <c r="Q57" s="1" t="s">
        <v>1376</v>
      </c>
      <c r="R57" s="1" t="s">
        <v>1377</v>
      </c>
      <c r="S57" s="1" t="s">
        <v>74</v>
      </c>
      <c r="T57" s="1" t="s">
        <v>1378</v>
      </c>
      <c r="U57" s="1" t="s">
        <v>74</v>
      </c>
      <c r="V57" s="1" t="s">
        <v>1379</v>
      </c>
      <c r="W57" s="1" t="s">
        <v>1380</v>
      </c>
      <c r="X57" s="1" t="s">
        <v>74</v>
      </c>
      <c r="Y57" s="1" t="s">
        <v>1381</v>
      </c>
      <c r="Z57" s="1" t="s">
        <v>74</v>
      </c>
      <c r="AA57" s="1" t="s">
        <v>74</v>
      </c>
      <c r="AB57" s="1" t="s">
        <v>74</v>
      </c>
      <c r="AC57" s="1" t="s">
        <v>74</v>
      </c>
      <c r="AD57" s="1" t="s">
        <v>74</v>
      </c>
      <c r="AE57" s="1" t="s">
        <v>74</v>
      </c>
      <c r="AF57" s="1" t="s">
        <v>74</v>
      </c>
      <c r="AG57" s="1">
        <v>8.0</v>
      </c>
      <c r="AH57" s="1">
        <v>1.0</v>
      </c>
      <c r="AI57" s="1">
        <v>1.0</v>
      </c>
      <c r="AJ57" s="1">
        <v>3.0</v>
      </c>
      <c r="AK57" s="1">
        <v>51.0</v>
      </c>
      <c r="AL57" s="1" t="s">
        <v>236</v>
      </c>
      <c r="AM57" s="1" t="s">
        <v>193</v>
      </c>
      <c r="AN57" s="1" t="s">
        <v>252</v>
      </c>
      <c r="AO57" s="1" t="s">
        <v>74</v>
      </c>
      <c r="AP57" s="1" t="s">
        <v>74</v>
      </c>
      <c r="AQ57" s="1" t="s">
        <v>1382</v>
      </c>
      <c r="AR57" s="1" t="s">
        <v>74</v>
      </c>
      <c r="AS57" s="1" t="s">
        <v>74</v>
      </c>
      <c r="AT57" s="1" t="s">
        <v>74</v>
      </c>
      <c r="AU57" s="1">
        <v>2018.0</v>
      </c>
      <c r="AV57" s="1" t="s">
        <v>74</v>
      </c>
      <c r="AW57" s="1" t="s">
        <v>74</v>
      </c>
      <c r="AX57" s="1" t="s">
        <v>74</v>
      </c>
      <c r="AY57" s="1" t="s">
        <v>74</v>
      </c>
      <c r="AZ57" s="1" t="s">
        <v>74</v>
      </c>
      <c r="BA57" s="1" t="s">
        <v>74</v>
      </c>
      <c r="BB57" s="1">
        <v>31.0</v>
      </c>
      <c r="BC57" s="1">
        <v>36.0</v>
      </c>
      <c r="BD57" s="1" t="s">
        <v>74</v>
      </c>
      <c r="BE57" s="1" t="s">
        <v>1383</v>
      </c>
      <c r="BF57" s="2" t="str">
        <f>HYPERLINK("http://dx.doi.org/10.1109/IC-AIAI.2018.00013","http://dx.doi.org/10.1109/IC-AIAI.2018.00013")</f>
        <v>http://dx.doi.org/10.1109/IC-AIAI.2018.00013</v>
      </c>
      <c r="BG57" s="1" t="s">
        <v>74</v>
      </c>
      <c r="BH57" s="1" t="s">
        <v>74</v>
      </c>
      <c r="BI57" s="1">
        <v>6.0</v>
      </c>
      <c r="BJ57" s="1" t="s">
        <v>1214</v>
      </c>
      <c r="BK57" s="1" t="s">
        <v>128</v>
      </c>
      <c r="BL57" s="1" t="s">
        <v>232</v>
      </c>
      <c r="BM57" s="1" t="s">
        <v>1384</v>
      </c>
      <c r="BN57" s="1" t="s">
        <v>74</v>
      </c>
      <c r="BO57" s="1" t="s">
        <v>74</v>
      </c>
      <c r="BP57" s="1" t="s">
        <v>74</v>
      </c>
      <c r="BQ57" s="1" t="s">
        <v>74</v>
      </c>
      <c r="BR57" s="1" t="s">
        <v>102</v>
      </c>
      <c r="BS57" s="1" t="s">
        <v>1385</v>
      </c>
      <c r="BT57" s="1" t="str">
        <f>HYPERLINK("https%3A%2F%2Fwww.webofscience.com%2Fwos%2Fwoscc%2Ffull-record%2FWOS:000469060800007","View Full Record in Web of Science")</f>
        <v>View Full Record in Web of Science</v>
      </c>
    </row>
    <row r="58" ht="12.75" customHeight="1">
      <c r="A58" s="1" t="s">
        <v>72</v>
      </c>
      <c r="B58" s="1" t="s">
        <v>1386</v>
      </c>
      <c r="C58" s="1" t="s">
        <v>74</v>
      </c>
      <c r="D58" s="1" t="s">
        <v>74</v>
      </c>
      <c r="E58" s="1" t="s">
        <v>236</v>
      </c>
      <c r="F58" s="1" t="s">
        <v>1387</v>
      </c>
      <c r="G58" s="1" t="s">
        <v>74</v>
      </c>
      <c r="H58" s="1" t="s">
        <v>74</v>
      </c>
      <c r="I58" s="1" t="s">
        <v>1388</v>
      </c>
      <c r="J58" s="1" t="s">
        <v>1389</v>
      </c>
      <c r="K58" s="1" t="s">
        <v>1390</v>
      </c>
      <c r="L58" s="1" t="s">
        <v>74</v>
      </c>
      <c r="M58" s="1" t="s">
        <v>80</v>
      </c>
      <c r="N58" s="1" t="s">
        <v>81</v>
      </c>
      <c r="O58" s="1" t="s">
        <v>1391</v>
      </c>
      <c r="P58" s="1" t="s">
        <v>1392</v>
      </c>
      <c r="Q58" s="1" t="s">
        <v>1393</v>
      </c>
      <c r="R58" s="1" t="s">
        <v>1394</v>
      </c>
      <c r="S58" s="1" t="s">
        <v>1395</v>
      </c>
      <c r="T58" s="1" t="s">
        <v>1396</v>
      </c>
      <c r="U58" s="1" t="s">
        <v>74</v>
      </c>
      <c r="V58" s="1" t="s">
        <v>1397</v>
      </c>
      <c r="W58" s="1" t="s">
        <v>1398</v>
      </c>
      <c r="X58" s="1" t="s">
        <v>883</v>
      </c>
      <c r="Y58" s="1" t="s">
        <v>1399</v>
      </c>
      <c r="Z58" s="1" t="s">
        <v>74</v>
      </c>
      <c r="AA58" s="1" t="s">
        <v>1400</v>
      </c>
      <c r="AB58" s="1" t="s">
        <v>1401</v>
      </c>
      <c r="AC58" s="1" t="s">
        <v>74</v>
      </c>
      <c r="AD58" s="1" t="s">
        <v>74</v>
      </c>
      <c r="AE58" s="1" t="s">
        <v>74</v>
      </c>
      <c r="AF58" s="1" t="s">
        <v>74</v>
      </c>
      <c r="AG58" s="1">
        <v>2.0</v>
      </c>
      <c r="AH58" s="1">
        <v>7.0</v>
      </c>
      <c r="AI58" s="1">
        <v>7.0</v>
      </c>
      <c r="AJ58" s="1">
        <v>26.0</v>
      </c>
      <c r="AK58" s="1">
        <v>214.0</v>
      </c>
      <c r="AL58" s="1" t="s">
        <v>296</v>
      </c>
      <c r="AM58" s="1" t="s">
        <v>297</v>
      </c>
      <c r="AN58" s="1" t="s">
        <v>800</v>
      </c>
      <c r="AO58" s="1" t="s">
        <v>1402</v>
      </c>
      <c r="AP58" s="1" t="s">
        <v>1403</v>
      </c>
      <c r="AQ58" s="1" t="s">
        <v>1404</v>
      </c>
      <c r="AR58" s="1" t="s">
        <v>1405</v>
      </c>
      <c r="AS58" s="1" t="s">
        <v>74</v>
      </c>
      <c r="AT58" s="1" t="s">
        <v>74</v>
      </c>
      <c r="AU58" s="1">
        <v>2019.0</v>
      </c>
      <c r="AV58" s="1" t="s">
        <v>74</v>
      </c>
      <c r="AW58" s="1" t="s">
        <v>74</v>
      </c>
      <c r="AX58" s="1" t="s">
        <v>74</v>
      </c>
      <c r="AY58" s="1" t="s">
        <v>74</v>
      </c>
      <c r="AZ58" s="1" t="s">
        <v>74</v>
      </c>
      <c r="BA58" s="1" t="s">
        <v>74</v>
      </c>
      <c r="BB58" s="1">
        <v>381.0</v>
      </c>
      <c r="BC58" s="1">
        <v>382.0</v>
      </c>
      <c r="BD58" s="1" t="s">
        <v>74</v>
      </c>
      <c r="BE58" s="1" t="s">
        <v>1406</v>
      </c>
      <c r="BF58" s="2" t="str">
        <f>HYPERLINK("http://dx.doi.org/10.1109/CSCS.2019.00069","http://dx.doi.org/10.1109/CSCS.2019.00069")</f>
        <v>http://dx.doi.org/10.1109/CSCS.2019.00069</v>
      </c>
      <c r="BG58" s="1" t="s">
        <v>74</v>
      </c>
      <c r="BH58" s="1" t="s">
        <v>74</v>
      </c>
      <c r="BI58" s="1">
        <v>2.0</v>
      </c>
      <c r="BJ58" s="1" t="s">
        <v>1407</v>
      </c>
      <c r="BK58" s="1" t="s">
        <v>128</v>
      </c>
      <c r="BL58" s="1" t="s">
        <v>1074</v>
      </c>
      <c r="BM58" s="1" t="s">
        <v>1408</v>
      </c>
      <c r="BN58" s="1" t="s">
        <v>74</v>
      </c>
      <c r="BO58" s="1" t="s">
        <v>74</v>
      </c>
      <c r="BP58" s="1" t="s">
        <v>74</v>
      </c>
      <c r="BQ58" s="1" t="s">
        <v>74</v>
      </c>
      <c r="BR58" s="1" t="s">
        <v>102</v>
      </c>
      <c r="BS58" s="1" t="s">
        <v>1409</v>
      </c>
      <c r="BT58" s="1" t="str">
        <f>HYPERLINK("https%3A%2F%2Fwww.webofscience.com%2Fwos%2Fwoscc%2Ffull-record%2FWOS:000491270300062","View Full Record in Web of Science")</f>
        <v>View Full Record in Web of Science</v>
      </c>
    </row>
    <row r="59" ht="12.75" customHeight="1">
      <c r="A59" s="1" t="s">
        <v>72</v>
      </c>
      <c r="B59" s="1" t="s">
        <v>1410</v>
      </c>
      <c r="C59" s="1" t="s">
        <v>74</v>
      </c>
      <c r="D59" s="1" t="s">
        <v>74</v>
      </c>
      <c r="E59" s="1" t="s">
        <v>1411</v>
      </c>
      <c r="F59" s="1" t="s">
        <v>1412</v>
      </c>
      <c r="G59" s="1" t="s">
        <v>74</v>
      </c>
      <c r="H59" s="1" t="s">
        <v>74</v>
      </c>
      <c r="I59" s="1" t="s">
        <v>1413</v>
      </c>
      <c r="J59" s="1" t="s">
        <v>1414</v>
      </c>
      <c r="K59" s="1" t="s">
        <v>74</v>
      </c>
      <c r="L59" s="1" t="s">
        <v>74</v>
      </c>
      <c r="M59" s="1" t="s">
        <v>80</v>
      </c>
      <c r="N59" s="1" t="s">
        <v>81</v>
      </c>
      <c r="O59" s="1" t="s">
        <v>1415</v>
      </c>
      <c r="P59" s="1" t="s">
        <v>1416</v>
      </c>
      <c r="Q59" s="1" t="s">
        <v>1417</v>
      </c>
      <c r="R59" s="1" t="s">
        <v>1418</v>
      </c>
      <c r="S59" s="1" t="s">
        <v>74</v>
      </c>
      <c r="T59" s="1" t="s">
        <v>1419</v>
      </c>
      <c r="U59" s="1" t="s">
        <v>74</v>
      </c>
      <c r="V59" s="1" t="s">
        <v>1420</v>
      </c>
      <c r="W59" s="1" t="s">
        <v>1421</v>
      </c>
      <c r="X59" s="1" t="s">
        <v>1422</v>
      </c>
      <c r="Y59" s="1" t="s">
        <v>1423</v>
      </c>
      <c r="Z59" s="1" t="s">
        <v>1424</v>
      </c>
      <c r="AA59" s="1" t="s">
        <v>1425</v>
      </c>
      <c r="AB59" s="1" t="s">
        <v>74</v>
      </c>
      <c r="AC59" s="1" t="s">
        <v>74</v>
      </c>
      <c r="AD59" s="1" t="s">
        <v>74</v>
      </c>
      <c r="AE59" s="1" t="s">
        <v>74</v>
      </c>
      <c r="AF59" s="1" t="s">
        <v>74</v>
      </c>
      <c r="AG59" s="1">
        <v>0.0</v>
      </c>
      <c r="AH59" s="1">
        <v>2.0</v>
      </c>
      <c r="AI59" s="1">
        <v>2.0</v>
      </c>
      <c r="AJ59" s="1">
        <v>9.0</v>
      </c>
      <c r="AK59" s="1">
        <v>14.0</v>
      </c>
      <c r="AL59" s="1" t="s">
        <v>1426</v>
      </c>
      <c r="AM59" s="1" t="s">
        <v>193</v>
      </c>
      <c r="AN59" s="1" t="s">
        <v>1427</v>
      </c>
      <c r="AO59" s="1" t="s">
        <v>74</v>
      </c>
      <c r="AP59" s="1" t="s">
        <v>74</v>
      </c>
      <c r="AQ59" s="1" t="s">
        <v>1428</v>
      </c>
      <c r="AR59" s="1" t="s">
        <v>74</v>
      </c>
      <c r="AS59" s="1" t="s">
        <v>74</v>
      </c>
      <c r="AT59" s="1" t="s">
        <v>74</v>
      </c>
      <c r="AU59" s="1">
        <v>2022.0</v>
      </c>
      <c r="AV59" s="1" t="s">
        <v>74</v>
      </c>
      <c r="AW59" s="1" t="s">
        <v>74</v>
      </c>
      <c r="AX59" s="1" t="s">
        <v>74</v>
      </c>
      <c r="AY59" s="1" t="s">
        <v>74</v>
      </c>
      <c r="AZ59" s="1" t="s">
        <v>74</v>
      </c>
      <c r="BA59" s="1" t="s">
        <v>74</v>
      </c>
      <c r="BB59" s="1">
        <v>446.0</v>
      </c>
      <c r="BC59" s="1">
        <v>446.0</v>
      </c>
      <c r="BD59" s="1" t="s">
        <v>74</v>
      </c>
      <c r="BE59" s="1" t="s">
        <v>1429</v>
      </c>
      <c r="BF59" s="2" t="str">
        <f>HYPERLINK("http://dx.doi.org/10.1145/3514094.3534125","http://dx.doi.org/10.1145/3514094.3534125")</f>
        <v>http://dx.doi.org/10.1145/3514094.3534125</v>
      </c>
      <c r="BG59" s="1" t="s">
        <v>74</v>
      </c>
      <c r="BH59" s="1" t="s">
        <v>74</v>
      </c>
      <c r="BI59" s="1">
        <v>1.0</v>
      </c>
      <c r="BJ59" s="1" t="s">
        <v>1430</v>
      </c>
      <c r="BK59" s="1" t="s">
        <v>405</v>
      </c>
      <c r="BL59" s="1" t="s">
        <v>1431</v>
      </c>
      <c r="BM59" s="1" t="s">
        <v>1432</v>
      </c>
      <c r="BN59" s="1" t="s">
        <v>74</v>
      </c>
      <c r="BO59" s="1" t="s">
        <v>74</v>
      </c>
      <c r="BP59" s="1" t="s">
        <v>74</v>
      </c>
      <c r="BQ59" s="1" t="s">
        <v>74</v>
      </c>
      <c r="BR59" s="1" t="s">
        <v>102</v>
      </c>
      <c r="BS59" s="1" t="s">
        <v>1433</v>
      </c>
      <c r="BT59" s="1" t="str">
        <f>HYPERLINK("https%3A%2F%2Fwww.webofscience.com%2Fwos%2Fwoscc%2Ffull-record%2FWOS:001118017500045","View Full Record in Web of Science")</f>
        <v>View Full Record in Web of Science</v>
      </c>
    </row>
    <row r="60" ht="12.75" customHeight="1">
      <c r="A60" s="1" t="s">
        <v>72</v>
      </c>
      <c r="B60" s="1" t="s">
        <v>1434</v>
      </c>
      <c r="C60" s="1" t="s">
        <v>74</v>
      </c>
      <c r="D60" s="1" t="s">
        <v>1435</v>
      </c>
      <c r="E60" s="1" t="s">
        <v>74</v>
      </c>
      <c r="F60" s="1" t="s">
        <v>1436</v>
      </c>
      <c r="G60" s="1" t="s">
        <v>74</v>
      </c>
      <c r="H60" s="1" t="s">
        <v>74</v>
      </c>
      <c r="I60" s="1" t="s">
        <v>1437</v>
      </c>
      <c r="J60" s="1" t="s">
        <v>1438</v>
      </c>
      <c r="K60" s="1" t="s">
        <v>74</v>
      </c>
      <c r="L60" s="1" t="s">
        <v>74</v>
      </c>
      <c r="M60" s="1" t="s">
        <v>80</v>
      </c>
      <c r="N60" s="1" t="s">
        <v>81</v>
      </c>
      <c r="O60" s="1" t="s">
        <v>1439</v>
      </c>
      <c r="P60" s="1" t="s">
        <v>1440</v>
      </c>
      <c r="Q60" s="1" t="s">
        <v>1441</v>
      </c>
      <c r="R60" s="1" t="s">
        <v>1442</v>
      </c>
      <c r="S60" s="1" t="s">
        <v>1443</v>
      </c>
      <c r="T60" s="1" t="s">
        <v>1444</v>
      </c>
      <c r="U60" s="1" t="s">
        <v>74</v>
      </c>
      <c r="V60" s="1" t="s">
        <v>1445</v>
      </c>
      <c r="W60" s="1" t="s">
        <v>1446</v>
      </c>
      <c r="X60" s="1" t="s">
        <v>74</v>
      </c>
      <c r="Y60" s="1" t="s">
        <v>1447</v>
      </c>
      <c r="Z60" s="1" t="s">
        <v>1448</v>
      </c>
      <c r="AA60" s="1" t="s">
        <v>74</v>
      </c>
      <c r="AB60" s="1" t="s">
        <v>74</v>
      </c>
      <c r="AC60" s="1" t="s">
        <v>1449</v>
      </c>
      <c r="AD60" s="1" t="s">
        <v>1450</v>
      </c>
      <c r="AE60" s="1" t="s">
        <v>1451</v>
      </c>
      <c r="AF60" s="1" t="s">
        <v>74</v>
      </c>
      <c r="AG60" s="1">
        <v>12.0</v>
      </c>
      <c r="AH60" s="1">
        <v>0.0</v>
      </c>
      <c r="AI60" s="1">
        <v>0.0</v>
      </c>
      <c r="AJ60" s="1">
        <v>8.0</v>
      </c>
      <c r="AK60" s="1">
        <v>60.0</v>
      </c>
      <c r="AL60" s="1" t="s">
        <v>1452</v>
      </c>
      <c r="AM60" s="1" t="s">
        <v>1453</v>
      </c>
      <c r="AN60" s="1" t="s">
        <v>1454</v>
      </c>
      <c r="AO60" s="1" t="s">
        <v>74</v>
      </c>
      <c r="AP60" s="1" t="s">
        <v>74</v>
      </c>
      <c r="AQ60" s="1" t="s">
        <v>1455</v>
      </c>
      <c r="AR60" s="1" t="s">
        <v>74</v>
      </c>
      <c r="AS60" s="1" t="s">
        <v>74</v>
      </c>
      <c r="AT60" s="1" t="s">
        <v>74</v>
      </c>
      <c r="AU60" s="1">
        <v>2019.0</v>
      </c>
      <c r="AV60" s="1" t="s">
        <v>74</v>
      </c>
      <c r="AW60" s="1" t="s">
        <v>74</v>
      </c>
      <c r="AX60" s="1" t="s">
        <v>74</v>
      </c>
      <c r="AY60" s="1" t="s">
        <v>74</v>
      </c>
      <c r="AZ60" s="1" t="s">
        <v>74</v>
      </c>
      <c r="BA60" s="1" t="s">
        <v>74</v>
      </c>
      <c r="BB60" s="1">
        <v>41.0</v>
      </c>
      <c r="BC60" s="1">
        <v>48.0</v>
      </c>
      <c r="BD60" s="1" t="s">
        <v>74</v>
      </c>
      <c r="BE60" s="1" t="s">
        <v>74</v>
      </c>
      <c r="BF60" s="1" t="s">
        <v>74</v>
      </c>
      <c r="BG60" s="1" t="s">
        <v>74</v>
      </c>
      <c r="BH60" s="1" t="s">
        <v>74</v>
      </c>
      <c r="BI60" s="1">
        <v>8.0</v>
      </c>
      <c r="BJ60" s="1" t="s">
        <v>1456</v>
      </c>
      <c r="BK60" s="1" t="s">
        <v>99</v>
      </c>
      <c r="BL60" s="1" t="s">
        <v>204</v>
      </c>
      <c r="BM60" s="1" t="s">
        <v>1457</v>
      </c>
      <c r="BN60" s="1" t="s">
        <v>74</v>
      </c>
      <c r="BO60" s="1" t="s">
        <v>74</v>
      </c>
      <c r="BP60" s="1" t="s">
        <v>74</v>
      </c>
      <c r="BQ60" s="1" t="s">
        <v>74</v>
      </c>
      <c r="BR60" s="1" t="s">
        <v>102</v>
      </c>
      <c r="BS60" s="1" t="s">
        <v>1458</v>
      </c>
      <c r="BT60" s="1" t="str">
        <f>HYPERLINK("https%3A%2F%2Fwww.webofscience.com%2Fwos%2Fwoscc%2Ffull-record%2FWOS:000540035600005","View Full Record in Web of Science")</f>
        <v>View Full Record in Web of Science</v>
      </c>
    </row>
    <row r="61" ht="12.75" customHeight="1">
      <c r="A61" s="1" t="s">
        <v>72</v>
      </c>
      <c r="B61" s="1" t="s">
        <v>1459</v>
      </c>
      <c r="C61" s="1" t="s">
        <v>74</v>
      </c>
      <c r="D61" s="1" t="s">
        <v>1460</v>
      </c>
      <c r="E61" s="1" t="s">
        <v>74</v>
      </c>
      <c r="F61" s="1" t="s">
        <v>1461</v>
      </c>
      <c r="G61" s="1" t="s">
        <v>74</v>
      </c>
      <c r="H61" s="1" t="s">
        <v>74</v>
      </c>
      <c r="I61" s="1" t="s">
        <v>1462</v>
      </c>
      <c r="J61" s="1" t="s">
        <v>1463</v>
      </c>
      <c r="K61" s="1" t="s">
        <v>1464</v>
      </c>
      <c r="L61" s="1" t="s">
        <v>74</v>
      </c>
      <c r="M61" s="1" t="s">
        <v>80</v>
      </c>
      <c r="N61" s="1" t="s">
        <v>81</v>
      </c>
      <c r="O61" s="1" t="s">
        <v>1465</v>
      </c>
      <c r="P61" s="1" t="s">
        <v>1466</v>
      </c>
      <c r="Q61" s="1" t="s">
        <v>1467</v>
      </c>
      <c r="R61" s="1" t="s">
        <v>74</v>
      </c>
      <c r="S61" s="1" t="s">
        <v>1468</v>
      </c>
      <c r="T61" s="1" t="s">
        <v>1469</v>
      </c>
      <c r="U61" s="1" t="s">
        <v>74</v>
      </c>
      <c r="V61" s="1" t="s">
        <v>1470</v>
      </c>
      <c r="W61" s="1" t="s">
        <v>1471</v>
      </c>
      <c r="X61" s="1" t="s">
        <v>74</v>
      </c>
      <c r="Y61" s="1" t="s">
        <v>1472</v>
      </c>
      <c r="Z61" s="1" t="s">
        <v>1473</v>
      </c>
      <c r="AA61" s="1" t="s">
        <v>1474</v>
      </c>
      <c r="AB61" s="1" t="s">
        <v>74</v>
      </c>
      <c r="AC61" s="1" t="s">
        <v>1475</v>
      </c>
      <c r="AD61" s="1" t="s">
        <v>1475</v>
      </c>
      <c r="AE61" s="1" t="s">
        <v>1476</v>
      </c>
      <c r="AF61" s="1" t="s">
        <v>74</v>
      </c>
      <c r="AG61" s="1">
        <v>15.0</v>
      </c>
      <c r="AH61" s="1">
        <v>24.0</v>
      </c>
      <c r="AI61" s="1">
        <v>24.0</v>
      </c>
      <c r="AJ61" s="1">
        <v>32.0</v>
      </c>
      <c r="AK61" s="1">
        <v>83.0</v>
      </c>
      <c r="AL61" s="1" t="s">
        <v>1477</v>
      </c>
      <c r="AM61" s="1" t="s">
        <v>322</v>
      </c>
      <c r="AN61" s="1" t="s">
        <v>1478</v>
      </c>
      <c r="AO61" s="1" t="s">
        <v>1479</v>
      </c>
      <c r="AP61" s="1" t="s">
        <v>74</v>
      </c>
      <c r="AQ61" s="1" t="s">
        <v>74</v>
      </c>
      <c r="AR61" s="1" t="s">
        <v>1480</v>
      </c>
      <c r="AS61" s="1" t="s">
        <v>74</v>
      </c>
      <c r="AT61" s="1" t="s">
        <v>74</v>
      </c>
      <c r="AU61" s="1">
        <v>2022.0</v>
      </c>
      <c r="AV61" s="1">
        <v>200.0</v>
      </c>
      <c r="AW61" s="1" t="s">
        <v>74</v>
      </c>
      <c r="AX61" s="1" t="s">
        <v>74</v>
      </c>
      <c r="AY61" s="1" t="s">
        <v>74</v>
      </c>
      <c r="AZ61" s="1" t="s">
        <v>74</v>
      </c>
      <c r="BA61" s="1" t="s">
        <v>74</v>
      </c>
      <c r="BB61" s="1">
        <v>1024.0</v>
      </c>
      <c r="BC61" s="1">
        <v>1030.0</v>
      </c>
      <c r="BD61" s="1" t="s">
        <v>74</v>
      </c>
      <c r="BE61" s="1" t="s">
        <v>1481</v>
      </c>
      <c r="BF61" s="2" t="str">
        <f>HYPERLINK("http://dx.doi.org/10.1016/j.procs.2022.01.301","http://dx.doi.org/10.1016/j.procs.2022.01.301")</f>
        <v>http://dx.doi.org/10.1016/j.procs.2022.01.301</v>
      </c>
      <c r="BG61" s="1" t="s">
        <v>74</v>
      </c>
      <c r="BH61" s="1" t="s">
        <v>1482</v>
      </c>
      <c r="BI61" s="1">
        <v>7.0</v>
      </c>
      <c r="BJ61" s="1" t="s">
        <v>1483</v>
      </c>
      <c r="BK61" s="1" t="s">
        <v>128</v>
      </c>
      <c r="BL61" s="1" t="s">
        <v>1325</v>
      </c>
      <c r="BM61" s="1" t="s">
        <v>1484</v>
      </c>
      <c r="BN61" s="1" t="s">
        <v>74</v>
      </c>
      <c r="BO61" s="1" t="s">
        <v>174</v>
      </c>
      <c r="BP61" s="1" t="s">
        <v>74</v>
      </c>
      <c r="BQ61" s="1" t="s">
        <v>74</v>
      </c>
      <c r="BR61" s="1" t="s">
        <v>102</v>
      </c>
      <c r="BS61" s="1" t="s">
        <v>1485</v>
      </c>
      <c r="BT61" s="1" t="str">
        <f>HYPERLINK("https%3A%2F%2Fwww.webofscience.com%2Fwos%2Fwoscc%2Ffull-record%2FWOS:000777601300104","View Full Record in Web of Science")</f>
        <v>View Full Record in Web of Science</v>
      </c>
    </row>
    <row r="62" ht="12.75" customHeight="1">
      <c r="A62" s="1" t="s">
        <v>72</v>
      </c>
      <c r="B62" s="1" t="s">
        <v>1486</v>
      </c>
      <c r="C62" s="1" t="s">
        <v>74</v>
      </c>
      <c r="D62" s="1" t="s">
        <v>1487</v>
      </c>
      <c r="E62" s="1" t="s">
        <v>74</v>
      </c>
      <c r="F62" s="1" t="s">
        <v>1488</v>
      </c>
      <c r="G62" s="1" t="s">
        <v>74</v>
      </c>
      <c r="H62" s="1" t="s">
        <v>74</v>
      </c>
      <c r="I62" s="1" t="s">
        <v>1489</v>
      </c>
      <c r="J62" s="1" t="s">
        <v>1490</v>
      </c>
      <c r="K62" s="1" t="s">
        <v>1491</v>
      </c>
      <c r="L62" s="1" t="s">
        <v>74</v>
      </c>
      <c r="M62" s="1" t="s">
        <v>80</v>
      </c>
      <c r="N62" s="1" t="s">
        <v>81</v>
      </c>
      <c r="O62" s="1" t="s">
        <v>1492</v>
      </c>
      <c r="P62" s="1" t="s">
        <v>1493</v>
      </c>
      <c r="Q62" s="1" t="s">
        <v>1494</v>
      </c>
      <c r="R62" s="1" t="s">
        <v>74</v>
      </c>
      <c r="S62" s="1" t="s">
        <v>1495</v>
      </c>
      <c r="T62" s="1" t="s">
        <v>1496</v>
      </c>
      <c r="U62" s="1" t="s">
        <v>74</v>
      </c>
      <c r="V62" s="1" t="s">
        <v>1497</v>
      </c>
      <c r="W62" s="1" t="s">
        <v>1498</v>
      </c>
      <c r="X62" s="1" t="s">
        <v>1499</v>
      </c>
      <c r="Y62" s="1" t="s">
        <v>1500</v>
      </c>
      <c r="Z62" s="1" t="s">
        <v>1501</v>
      </c>
      <c r="AA62" s="1" t="s">
        <v>1502</v>
      </c>
      <c r="AB62" s="1" t="s">
        <v>1503</v>
      </c>
      <c r="AC62" s="1" t="s">
        <v>74</v>
      </c>
      <c r="AD62" s="1" t="s">
        <v>74</v>
      </c>
      <c r="AE62" s="1" t="s">
        <v>74</v>
      </c>
      <c r="AF62" s="1" t="s">
        <v>74</v>
      </c>
      <c r="AG62" s="1">
        <v>31.0</v>
      </c>
      <c r="AH62" s="1">
        <v>6.0</v>
      </c>
      <c r="AI62" s="1">
        <v>6.0</v>
      </c>
      <c r="AJ62" s="1">
        <v>21.0</v>
      </c>
      <c r="AK62" s="1">
        <v>95.0</v>
      </c>
      <c r="AL62" s="1" t="s">
        <v>122</v>
      </c>
      <c r="AM62" s="1" t="s">
        <v>123</v>
      </c>
      <c r="AN62" s="1" t="s">
        <v>124</v>
      </c>
      <c r="AO62" s="1" t="s">
        <v>1504</v>
      </c>
      <c r="AP62" s="1" t="s">
        <v>1505</v>
      </c>
      <c r="AQ62" s="1" t="s">
        <v>1506</v>
      </c>
      <c r="AR62" s="1" t="s">
        <v>1507</v>
      </c>
      <c r="AS62" s="1" t="s">
        <v>74</v>
      </c>
      <c r="AT62" s="1" t="s">
        <v>74</v>
      </c>
      <c r="AU62" s="1">
        <v>2021.0</v>
      </c>
      <c r="AV62" s="1" t="s">
        <v>74</v>
      </c>
      <c r="AW62" s="1" t="s">
        <v>74</v>
      </c>
      <c r="AX62" s="1" t="s">
        <v>74</v>
      </c>
      <c r="AY62" s="1" t="s">
        <v>74</v>
      </c>
      <c r="AZ62" s="1" t="s">
        <v>74</v>
      </c>
      <c r="BA62" s="1" t="s">
        <v>74</v>
      </c>
      <c r="BB62" s="1">
        <v>222.0</v>
      </c>
      <c r="BC62" s="1">
        <v>230.0</v>
      </c>
      <c r="BD62" s="1" t="s">
        <v>74</v>
      </c>
      <c r="BE62" s="1" t="s">
        <v>1508</v>
      </c>
      <c r="BF62" s="2" t="str">
        <f>HYPERLINK("http://dx.doi.org/10.34190/EIE.21.225","http://dx.doi.org/10.34190/EIE.21.225")</f>
        <v>http://dx.doi.org/10.34190/EIE.21.225</v>
      </c>
      <c r="BG62" s="1" t="s">
        <v>74</v>
      </c>
      <c r="BH62" s="1" t="s">
        <v>74</v>
      </c>
      <c r="BI62" s="1">
        <v>9.0</v>
      </c>
      <c r="BJ62" s="1" t="s">
        <v>1509</v>
      </c>
      <c r="BK62" s="1" t="s">
        <v>99</v>
      </c>
      <c r="BL62" s="1" t="s">
        <v>204</v>
      </c>
      <c r="BM62" s="1" t="s">
        <v>1510</v>
      </c>
      <c r="BN62" s="1" t="s">
        <v>74</v>
      </c>
      <c r="BO62" s="1" t="s">
        <v>1511</v>
      </c>
      <c r="BP62" s="1" t="s">
        <v>74</v>
      </c>
      <c r="BQ62" s="1" t="s">
        <v>74</v>
      </c>
      <c r="BR62" s="1" t="s">
        <v>102</v>
      </c>
      <c r="BS62" s="1" t="s">
        <v>1512</v>
      </c>
      <c r="BT62" s="1" t="str">
        <f>HYPERLINK("https%3A%2F%2Fwww.webofscience.com%2Fwos%2Fwoscc%2Ffull-record%2FWOS:000759344600027","View Full Record in Web of Science")</f>
        <v>View Full Record in Web of Science</v>
      </c>
    </row>
    <row r="63" ht="12.75" customHeight="1">
      <c r="A63" s="1" t="s">
        <v>132</v>
      </c>
      <c r="B63" s="1" t="s">
        <v>1513</v>
      </c>
      <c r="C63" s="1" t="s">
        <v>74</v>
      </c>
      <c r="D63" s="1" t="s">
        <v>74</v>
      </c>
      <c r="E63" s="1" t="s">
        <v>74</v>
      </c>
      <c r="F63" s="1" t="s">
        <v>1514</v>
      </c>
      <c r="G63" s="1" t="s">
        <v>74</v>
      </c>
      <c r="H63" s="1" t="s">
        <v>74</v>
      </c>
      <c r="I63" s="1" t="s">
        <v>1515</v>
      </c>
      <c r="J63" s="1" t="s">
        <v>1516</v>
      </c>
      <c r="K63" s="1" t="s">
        <v>74</v>
      </c>
      <c r="L63" s="1" t="s">
        <v>74</v>
      </c>
      <c r="M63" s="1" t="s">
        <v>80</v>
      </c>
      <c r="N63" s="1" t="s">
        <v>136</v>
      </c>
      <c r="O63" s="1" t="s">
        <v>74</v>
      </c>
      <c r="P63" s="1" t="s">
        <v>74</v>
      </c>
      <c r="Q63" s="1" t="s">
        <v>74</v>
      </c>
      <c r="R63" s="1" t="s">
        <v>74</v>
      </c>
      <c r="S63" s="1" t="s">
        <v>74</v>
      </c>
      <c r="T63" s="1" t="s">
        <v>1517</v>
      </c>
      <c r="U63" s="1" t="s">
        <v>74</v>
      </c>
      <c r="V63" s="1" t="s">
        <v>1518</v>
      </c>
      <c r="W63" s="1" t="s">
        <v>1519</v>
      </c>
      <c r="X63" s="1" t="s">
        <v>1520</v>
      </c>
      <c r="Y63" s="1" t="s">
        <v>1521</v>
      </c>
      <c r="Z63" s="1" t="s">
        <v>1522</v>
      </c>
      <c r="AA63" s="1" t="s">
        <v>1523</v>
      </c>
      <c r="AB63" s="1" t="s">
        <v>1524</v>
      </c>
      <c r="AC63" s="1" t="s">
        <v>1525</v>
      </c>
      <c r="AD63" s="1" t="s">
        <v>1526</v>
      </c>
      <c r="AE63" s="1" t="s">
        <v>1527</v>
      </c>
      <c r="AF63" s="1" t="s">
        <v>74</v>
      </c>
      <c r="AG63" s="1">
        <v>78.0</v>
      </c>
      <c r="AH63" s="1">
        <v>93.0</v>
      </c>
      <c r="AI63" s="1">
        <v>102.0</v>
      </c>
      <c r="AJ63" s="1">
        <v>49.0</v>
      </c>
      <c r="AK63" s="1">
        <v>284.0</v>
      </c>
      <c r="AL63" s="1" t="s">
        <v>1528</v>
      </c>
      <c r="AM63" s="1" t="s">
        <v>1529</v>
      </c>
      <c r="AN63" s="1" t="s">
        <v>1530</v>
      </c>
      <c r="AO63" s="1" t="s">
        <v>1531</v>
      </c>
      <c r="AP63" s="1" t="s">
        <v>1532</v>
      </c>
      <c r="AQ63" s="1" t="s">
        <v>74</v>
      </c>
      <c r="AR63" s="1" t="s">
        <v>1533</v>
      </c>
      <c r="AS63" s="1" t="s">
        <v>1534</v>
      </c>
      <c r="AT63" s="1" t="s">
        <v>1027</v>
      </c>
      <c r="AU63" s="1">
        <v>2021.0</v>
      </c>
      <c r="AV63" s="1">
        <v>11.0</v>
      </c>
      <c r="AW63" s="1">
        <v>1.0</v>
      </c>
      <c r="AX63" s="1" t="s">
        <v>74</v>
      </c>
      <c r="AY63" s="1" t="s">
        <v>74</v>
      </c>
      <c r="AZ63" s="1" t="s">
        <v>74</v>
      </c>
      <c r="BA63" s="1" t="s">
        <v>74</v>
      </c>
      <c r="BB63" s="1">
        <v>1.0</v>
      </c>
      <c r="BC63" s="1">
        <v>25.0</v>
      </c>
      <c r="BD63" s="1" t="s">
        <v>74</v>
      </c>
      <c r="BE63" s="1" t="s">
        <v>1535</v>
      </c>
      <c r="BF63" s="2" t="str">
        <f>HYPERLINK("http://dx.doi.org/10.1007/s40821-020-00172-8","http://dx.doi.org/10.1007/s40821-020-00172-8")</f>
        <v>http://dx.doi.org/10.1007/s40821-020-00172-8</v>
      </c>
      <c r="BG63" s="1" t="s">
        <v>74</v>
      </c>
      <c r="BH63" s="1" t="s">
        <v>1536</v>
      </c>
      <c r="BI63" s="1">
        <v>25.0</v>
      </c>
      <c r="BJ63" s="1" t="s">
        <v>1303</v>
      </c>
      <c r="BK63" s="1" t="s">
        <v>203</v>
      </c>
      <c r="BL63" s="1" t="s">
        <v>204</v>
      </c>
      <c r="BM63" s="1" t="s">
        <v>1537</v>
      </c>
      <c r="BN63" s="1" t="s">
        <v>74</v>
      </c>
      <c r="BO63" s="1" t="s">
        <v>306</v>
      </c>
      <c r="BP63" s="1" t="s">
        <v>74</v>
      </c>
      <c r="BQ63" s="1" t="s">
        <v>74</v>
      </c>
      <c r="BR63" s="1" t="s">
        <v>102</v>
      </c>
      <c r="BS63" s="1" t="s">
        <v>1538</v>
      </c>
      <c r="BT63" s="1" t="str">
        <f>HYPERLINK("https%3A%2F%2Fwww.webofscience.com%2Fwos%2Fwoscc%2Ffull-record%2FWOS:000609114100001","View Full Record in Web of Science")</f>
        <v>View Full Record in Web of Science</v>
      </c>
    </row>
    <row r="64" ht="12.75" customHeight="1">
      <c r="A64" s="1" t="s">
        <v>72</v>
      </c>
      <c r="B64" s="1" t="s">
        <v>1539</v>
      </c>
      <c r="C64" s="1" t="s">
        <v>74</v>
      </c>
      <c r="D64" s="1" t="s">
        <v>1540</v>
      </c>
      <c r="E64" s="1" t="s">
        <v>74</v>
      </c>
      <c r="F64" s="1" t="s">
        <v>1541</v>
      </c>
      <c r="G64" s="1" t="s">
        <v>74</v>
      </c>
      <c r="H64" s="1" t="s">
        <v>74</v>
      </c>
      <c r="I64" s="1" t="s">
        <v>1542</v>
      </c>
      <c r="J64" s="1" t="s">
        <v>1543</v>
      </c>
      <c r="K64" s="1" t="s">
        <v>534</v>
      </c>
      <c r="L64" s="1" t="s">
        <v>74</v>
      </c>
      <c r="M64" s="1" t="s">
        <v>80</v>
      </c>
      <c r="N64" s="1" t="s">
        <v>81</v>
      </c>
      <c r="O64" s="1" t="s">
        <v>1544</v>
      </c>
      <c r="P64" s="1" t="s">
        <v>1545</v>
      </c>
      <c r="Q64" s="1" t="s">
        <v>667</v>
      </c>
      <c r="R64" s="1" t="s">
        <v>1546</v>
      </c>
      <c r="S64" s="1" t="s">
        <v>74</v>
      </c>
      <c r="T64" s="1" t="s">
        <v>1547</v>
      </c>
      <c r="U64" s="1" t="s">
        <v>74</v>
      </c>
      <c r="V64" s="1" t="s">
        <v>1548</v>
      </c>
      <c r="W64" s="1" t="s">
        <v>1549</v>
      </c>
      <c r="X64" s="1" t="s">
        <v>1550</v>
      </c>
      <c r="Y64" s="1" t="s">
        <v>1551</v>
      </c>
      <c r="Z64" s="1" t="s">
        <v>1552</v>
      </c>
      <c r="AA64" s="1" t="s">
        <v>1553</v>
      </c>
      <c r="AB64" s="1" t="s">
        <v>1554</v>
      </c>
      <c r="AC64" s="1" t="s">
        <v>74</v>
      </c>
      <c r="AD64" s="1" t="s">
        <v>74</v>
      </c>
      <c r="AE64" s="1" t="s">
        <v>74</v>
      </c>
      <c r="AF64" s="1" t="s">
        <v>74</v>
      </c>
      <c r="AG64" s="1">
        <v>19.0</v>
      </c>
      <c r="AH64" s="1">
        <v>0.0</v>
      </c>
      <c r="AI64" s="1">
        <v>0.0</v>
      </c>
      <c r="AJ64" s="1">
        <v>1.0</v>
      </c>
      <c r="AK64" s="1">
        <v>23.0</v>
      </c>
      <c r="AL64" s="1" t="s">
        <v>236</v>
      </c>
      <c r="AM64" s="1" t="s">
        <v>193</v>
      </c>
      <c r="AN64" s="1" t="s">
        <v>252</v>
      </c>
      <c r="AO64" s="1" t="s">
        <v>550</v>
      </c>
      <c r="AP64" s="1" t="s">
        <v>74</v>
      </c>
      <c r="AQ64" s="1" t="s">
        <v>1555</v>
      </c>
      <c r="AR64" s="1" t="s">
        <v>552</v>
      </c>
      <c r="AS64" s="1" t="s">
        <v>74</v>
      </c>
      <c r="AT64" s="1" t="s">
        <v>74</v>
      </c>
      <c r="AU64" s="1">
        <v>2020.0</v>
      </c>
      <c r="AV64" s="1" t="s">
        <v>74</v>
      </c>
      <c r="AW64" s="1" t="s">
        <v>74</v>
      </c>
      <c r="AX64" s="1" t="s">
        <v>74</v>
      </c>
      <c r="AY64" s="1" t="s">
        <v>74</v>
      </c>
      <c r="AZ64" s="1" t="s">
        <v>74</v>
      </c>
      <c r="BA64" s="1" t="s">
        <v>74</v>
      </c>
      <c r="BB64" s="1" t="s">
        <v>74</v>
      </c>
      <c r="BC64" s="1" t="s">
        <v>74</v>
      </c>
      <c r="BD64" s="1" t="s">
        <v>74</v>
      </c>
      <c r="BE64" s="1" t="s">
        <v>1556</v>
      </c>
      <c r="BF64" s="2" t="str">
        <f>HYPERLINK("http://dx.doi.org/10.23919/cisti49556.2020.9140903","http://dx.doi.org/10.23919/cisti49556.2020.9140903")</f>
        <v>http://dx.doi.org/10.23919/cisti49556.2020.9140903</v>
      </c>
      <c r="BG64" s="1" t="s">
        <v>74</v>
      </c>
      <c r="BH64" s="1" t="s">
        <v>74</v>
      </c>
      <c r="BI64" s="1">
        <v>6.0</v>
      </c>
      <c r="BJ64" s="1" t="s">
        <v>554</v>
      </c>
      <c r="BK64" s="1" t="s">
        <v>128</v>
      </c>
      <c r="BL64" s="1" t="s">
        <v>232</v>
      </c>
      <c r="BM64" s="1" t="s">
        <v>1557</v>
      </c>
      <c r="BN64" s="1" t="s">
        <v>74</v>
      </c>
      <c r="BO64" s="1" t="s">
        <v>74</v>
      </c>
      <c r="BP64" s="1" t="s">
        <v>74</v>
      </c>
      <c r="BQ64" s="1" t="s">
        <v>74</v>
      </c>
      <c r="BR64" s="1" t="s">
        <v>102</v>
      </c>
      <c r="BS64" s="1" t="s">
        <v>1558</v>
      </c>
      <c r="BT64" s="1" t="str">
        <f>HYPERLINK("https%3A%2F%2Fwww.webofscience.com%2Fwos%2Fwoscc%2Ffull-record%2FWOS:000612720600102","View Full Record in Web of Science")</f>
        <v>View Full Record in Web of Science</v>
      </c>
    </row>
    <row r="65" ht="12.75" customHeight="1">
      <c r="A65" s="1" t="s">
        <v>132</v>
      </c>
      <c r="B65" s="1" t="s">
        <v>1559</v>
      </c>
      <c r="C65" s="1" t="s">
        <v>74</v>
      </c>
      <c r="D65" s="1" t="s">
        <v>74</v>
      </c>
      <c r="E65" s="1" t="s">
        <v>74</v>
      </c>
      <c r="F65" s="1" t="s">
        <v>1560</v>
      </c>
      <c r="G65" s="1" t="s">
        <v>74</v>
      </c>
      <c r="H65" s="1" t="s">
        <v>74</v>
      </c>
      <c r="I65" s="1" t="s">
        <v>1561</v>
      </c>
      <c r="J65" s="1" t="s">
        <v>1562</v>
      </c>
      <c r="K65" s="1" t="s">
        <v>74</v>
      </c>
      <c r="L65" s="1" t="s">
        <v>74</v>
      </c>
      <c r="M65" s="1" t="s">
        <v>80</v>
      </c>
      <c r="N65" s="1" t="s">
        <v>1563</v>
      </c>
      <c r="O65" s="1" t="s">
        <v>74</v>
      </c>
      <c r="P65" s="1" t="s">
        <v>74</v>
      </c>
      <c r="Q65" s="1" t="s">
        <v>74</v>
      </c>
      <c r="R65" s="1" t="s">
        <v>74</v>
      </c>
      <c r="S65" s="1" t="s">
        <v>74</v>
      </c>
      <c r="T65" s="1" t="s">
        <v>1564</v>
      </c>
      <c r="U65" s="1" t="s">
        <v>74</v>
      </c>
      <c r="V65" s="1" t="s">
        <v>1565</v>
      </c>
      <c r="W65" s="1" t="s">
        <v>1566</v>
      </c>
      <c r="X65" s="1" t="s">
        <v>74</v>
      </c>
      <c r="Y65" s="1" t="s">
        <v>1567</v>
      </c>
      <c r="Z65" s="1" t="s">
        <v>1568</v>
      </c>
      <c r="AA65" s="1" t="s">
        <v>1569</v>
      </c>
      <c r="AB65" s="1" t="s">
        <v>1570</v>
      </c>
      <c r="AC65" s="1" t="s">
        <v>74</v>
      </c>
      <c r="AD65" s="1" t="s">
        <v>74</v>
      </c>
      <c r="AE65" s="1" t="s">
        <v>74</v>
      </c>
      <c r="AF65" s="1" t="s">
        <v>74</v>
      </c>
      <c r="AG65" s="1">
        <v>25.0</v>
      </c>
      <c r="AH65" s="1">
        <v>18.0</v>
      </c>
      <c r="AI65" s="1">
        <v>19.0</v>
      </c>
      <c r="AJ65" s="1">
        <v>9.0</v>
      </c>
      <c r="AK65" s="1">
        <v>30.0</v>
      </c>
      <c r="AL65" s="1" t="s">
        <v>1571</v>
      </c>
      <c r="AM65" s="1" t="s">
        <v>1572</v>
      </c>
      <c r="AN65" s="1" t="s">
        <v>1573</v>
      </c>
      <c r="AO65" s="1" t="s">
        <v>1574</v>
      </c>
      <c r="AP65" s="1" t="s">
        <v>74</v>
      </c>
      <c r="AQ65" s="1" t="s">
        <v>74</v>
      </c>
      <c r="AR65" s="1" t="s">
        <v>1575</v>
      </c>
      <c r="AS65" s="1" t="s">
        <v>1576</v>
      </c>
      <c r="AT65" s="1" t="s">
        <v>74</v>
      </c>
      <c r="AU65" s="1">
        <v>2023.0</v>
      </c>
      <c r="AV65" s="1">
        <v>9.0</v>
      </c>
      <c r="AW65" s="1" t="s">
        <v>74</v>
      </c>
      <c r="AX65" s="1" t="s">
        <v>74</v>
      </c>
      <c r="AY65" s="1" t="s">
        <v>74</v>
      </c>
      <c r="AZ65" s="1" t="s">
        <v>74</v>
      </c>
      <c r="BA65" s="1" t="s">
        <v>74</v>
      </c>
      <c r="BB65" s="1" t="s">
        <v>74</v>
      </c>
      <c r="BC65" s="1" t="s">
        <v>74</v>
      </c>
      <c r="BD65" s="1">
        <v>2.377960823119685E16</v>
      </c>
      <c r="BE65" s="1" t="s">
        <v>1577</v>
      </c>
      <c r="BF65" s="2" t="str">
        <f>HYPERLINK("http://dx.doi.org/10.1177/23779608231196847","http://dx.doi.org/10.1177/23779608231196847")</f>
        <v>http://dx.doi.org/10.1177/23779608231196847</v>
      </c>
      <c r="BG65" s="1" t="s">
        <v>74</v>
      </c>
      <c r="BH65" s="1" t="s">
        <v>74</v>
      </c>
      <c r="BI65" s="1">
        <v>4.0</v>
      </c>
      <c r="BJ65" s="1" t="s">
        <v>1578</v>
      </c>
      <c r="BK65" s="1" t="s">
        <v>172</v>
      </c>
      <c r="BL65" s="1" t="s">
        <v>1578</v>
      </c>
      <c r="BM65" s="1" t="s">
        <v>1579</v>
      </c>
      <c r="BN65" s="1">
        <v>3.7691725E7</v>
      </c>
      <c r="BO65" s="1" t="s">
        <v>1161</v>
      </c>
      <c r="BP65" s="1" t="s">
        <v>74</v>
      </c>
      <c r="BQ65" s="1" t="s">
        <v>74</v>
      </c>
      <c r="BR65" s="1" t="s">
        <v>102</v>
      </c>
      <c r="BS65" s="1" t="s">
        <v>1580</v>
      </c>
      <c r="BT65" s="1" t="str">
        <f>HYPERLINK("https%3A%2F%2Fwww.webofscience.com%2Fwos%2Fwoscc%2Ffull-record%2FWOS:001064537100001","View Full Record in Web of Science")</f>
        <v>View Full Record in Web of Science</v>
      </c>
    </row>
    <row r="66" ht="12.75" customHeight="1">
      <c r="A66" s="1" t="s">
        <v>72</v>
      </c>
      <c r="B66" s="1" t="s">
        <v>1581</v>
      </c>
      <c r="C66" s="1" t="s">
        <v>74</v>
      </c>
      <c r="D66" s="1" t="s">
        <v>1582</v>
      </c>
      <c r="E66" s="1" t="s">
        <v>74</v>
      </c>
      <c r="F66" s="1" t="s">
        <v>1583</v>
      </c>
      <c r="G66" s="1" t="s">
        <v>74</v>
      </c>
      <c r="H66" s="1" t="s">
        <v>74</v>
      </c>
      <c r="I66" s="1" t="s">
        <v>1584</v>
      </c>
      <c r="J66" s="1" t="s">
        <v>1585</v>
      </c>
      <c r="K66" s="1" t="s">
        <v>534</v>
      </c>
      <c r="L66" s="1" t="s">
        <v>74</v>
      </c>
      <c r="M66" s="1" t="s">
        <v>638</v>
      </c>
      <c r="N66" s="1" t="s">
        <v>81</v>
      </c>
      <c r="O66" s="1" t="s">
        <v>1586</v>
      </c>
      <c r="P66" s="1" t="s">
        <v>1587</v>
      </c>
      <c r="Q66" s="1" t="s">
        <v>1588</v>
      </c>
      <c r="R66" s="1" t="s">
        <v>1589</v>
      </c>
      <c r="S66" s="1" t="s">
        <v>74</v>
      </c>
      <c r="T66" s="1" t="s">
        <v>1590</v>
      </c>
      <c r="U66" s="1" t="s">
        <v>74</v>
      </c>
      <c r="V66" s="1" t="s">
        <v>1591</v>
      </c>
      <c r="W66" s="1" t="s">
        <v>1592</v>
      </c>
      <c r="X66" s="1" t="s">
        <v>74</v>
      </c>
      <c r="Y66" s="1" t="s">
        <v>1593</v>
      </c>
      <c r="Z66" s="1" t="s">
        <v>1594</v>
      </c>
      <c r="AA66" s="1" t="s">
        <v>1595</v>
      </c>
      <c r="AB66" s="1" t="s">
        <v>74</v>
      </c>
      <c r="AC66" s="1" t="s">
        <v>74</v>
      </c>
      <c r="AD66" s="1" t="s">
        <v>74</v>
      </c>
      <c r="AE66" s="1" t="s">
        <v>74</v>
      </c>
      <c r="AF66" s="1" t="s">
        <v>74</v>
      </c>
      <c r="AG66" s="1">
        <v>25.0</v>
      </c>
      <c r="AH66" s="1">
        <v>0.0</v>
      </c>
      <c r="AI66" s="1">
        <v>0.0</v>
      </c>
      <c r="AJ66" s="1">
        <v>3.0</v>
      </c>
      <c r="AK66" s="1">
        <v>15.0</v>
      </c>
      <c r="AL66" s="1" t="s">
        <v>236</v>
      </c>
      <c r="AM66" s="1" t="s">
        <v>193</v>
      </c>
      <c r="AN66" s="1" t="s">
        <v>252</v>
      </c>
      <c r="AO66" s="1" t="s">
        <v>550</v>
      </c>
      <c r="AP66" s="1" t="s">
        <v>74</v>
      </c>
      <c r="AQ66" s="1" t="s">
        <v>1596</v>
      </c>
      <c r="AR66" s="1" t="s">
        <v>552</v>
      </c>
      <c r="AS66" s="1" t="s">
        <v>74</v>
      </c>
      <c r="AT66" s="1" t="s">
        <v>74</v>
      </c>
      <c r="AU66" s="1">
        <v>2022.0</v>
      </c>
      <c r="AV66" s="1" t="s">
        <v>74</v>
      </c>
      <c r="AW66" s="1" t="s">
        <v>74</v>
      </c>
      <c r="AX66" s="1" t="s">
        <v>74</v>
      </c>
      <c r="AY66" s="1" t="s">
        <v>74</v>
      </c>
      <c r="AZ66" s="1" t="s">
        <v>74</v>
      </c>
      <c r="BA66" s="1" t="s">
        <v>74</v>
      </c>
      <c r="BB66" s="1" t="s">
        <v>74</v>
      </c>
      <c r="BC66" s="1" t="s">
        <v>74</v>
      </c>
      <c r="BD66" s="1" t="s">
        <v>74</v>
      </c>
      <c r="BE66" s="1" t="s">
        <v>74</v>
      </c>
      <c r="BF66" s="1" t="s">
        <v>74</v>
      </c>
      <c r="BG66" s="1" t="s">
        <v>74</v>
      </c>
      <c r="BH66" s="1" t="s">
        <v>74</v>
      </c>
      <c r="BI66" s="1">
        <v>7.0</v>
      </c>
      <c r="BJ66" s="1" t="s">
        <v>554</v>
      </c>
      <c r="BK66" s="1" t="s">
        <v>128</v>
      </c>
      <c r="BL66" s="1" t="s">
        <v>232</v>
      </c>
      <c r="BM66" s="1" t="s">
        <v>1597</v>
      </c>
      <c r="BN66" s="1" t="s">
        <v>74</v>
      </c>
      <c r="BO66" s="1" t="s">
        <v>74</v>
      </c>
      <c r="BP66" s="1" t="s">
        <v>74</v>
      </c>
      <c r="BQ66" s="1" t="s">
        <v>74</v>
      </c>
      <c r="BR66" s="1" t="s">
        <v>102</v>
      </c>
      <c r="BS66" s="1" t="s">
        <v>1598</v>
      </c>
      <c r="BT66" s="1" t="str">
        <f>HYPERLINK("https%3A%2F%2Fwww.webofscience.com%2Fwos%2Fwoscc%2Ffull-record%2FWOS:000848616300018","View Full Record in Web of Science")</f>
        <v>View Full Record in Web of Science</v>
      </c>
    </row>
    <row r="67" ht="12.75" customHeight="1">
      <c r="A67" s="1" t="s">
        <v>132</v>
      </c>
      <c r="B67" s="1" t="s">
        <v>1599</v>
      </c>
      <c r="C67" s="1" t="s">
        <v>74</v>
      </c>
      <c r="D67" s="1" t="s">
        <v>74</v>
      </c>
      <c r="E67" s="1" t="s">
        <v>74</v>
      </c>
      <c r="F67" s="1" t="s">
        <v>1600</v>
      </c>
      <c r="G67" s="1" t="s">
        <v>74</v>
      </c>
      <c r="H67" s="1" t="s">
        <v>74</v>
      </c>
      <c r="I67" s="1" t="s">
        <v>1601</v>
      </c>
      <c r="J67" s="1" t="s">
        <v>1602</v>
      </c>
      <c r="K67" s="1" t="s">
        <v>74</v>
      </c>
      <c r="L67" s="1" t="s">
        <v>74</v>
      </c>
      <c r="M67" s="1" t="s">
        <v>80</v>
      </c>
      <c r="N67" s="1" t="s">
        <v>1603</v>
      </c>
      <c r="O67" s="1" t="s">
        <v>74</v>
      </c>
      <c r="P67" s="1" t="s">
        <v>74</v>
      </c>
      <c r="Q67" s="1" t="s">
        <v>74</v>
      </c>
      <c r="R67" s="1" t="s">
        <v>74</v>
      </c>
      <c r="S67" s="1" t="s">
        <v>74</v>
      </c>
      <c r="T67" s="1" t="s">
        <v>1604</v>
      </c>
      <c r="U67" s="1" t="s">
        <v>74</v>
      </c>
      <c r="V67" s="1" t="s">
        <v>1605</v>
      </c>
      <c r="W67" s="1" t="s">
        <v>1606</v>
      </c>
      <c r="X67" s="1" t="s">
        <v>1607</v>
      </c>
      <c r="Y67" s="1" t="s">
        <v>1608</v>
      </c>
      <c r="Z67" s="1" t="s">
        <v>1609</v>
      </c>
      <c r="AA67" s="1" t="s">
        <v>1610</v>
      </c>
      <c r="AB67" s="1" t="s">
        <v>1611</v>
      </c>
      <c r="AC67" s="1" t="s">
        <v>74</v>
      </c>
      <c r="AD67" s="1" t="s">
        <v>74</v>
      </c>
      <c r="AE67" s="1" t="s">
        <v>74</v>
      </c>
      <c r="AF67" s="1" t="s">
        <v>74</v>
      </c>
      <c r="AG67" s="1">
        <v>1.0</v>
      </c>
      <c r="AH67" s="1">
        <v>0.0</v>
      </c>
      <c r="AI67" s="1">
        <v>0.0</v>
      </c>
      <c r="AJ67" s="1">
        <v>10.0</v>
      </c>
      <c r="AK67" s="1">
        <v>10.0</v>
      </c>
      <c r="AL67" s="1" t="s">
        <v>1612</v>
      </c>
      <c r="AM67" s="1" t="s">
        <v>1613</v>
      </c>
      <c r="AN67" s="1" t="s">
        <v>1614</v>
      </c>
      <c r="AO67" s="1" t="s">
        <v>1615</v>
      </c>
      <c r="AP67" s="1" t="s">
        <v>74</v>
      </c>
      <c r="AQ67" s="1" t="s">
        <v>74</v>
      </c>
      <c r="AR67" s="1" t="s">
        <v>1602</v>
      </c>
      <c r="AS67" s="1" t="s">
        <v>1616</v>
      </c>
      <c r="AT67" s="1" t="s">
        <v>74</v>
      </c>
      <c r="AU67" s="1">
        <v>2024.0</v>
      </c>
      <c r="AV67" s="1">
        <v>12.0</v>
      </c>
      <c r="AW67" s="1" t="s">
        <v>74</v>
      </c>
      <c r="AX67" s="1" t="s">
        <v>74</v>
      </c>
      <c r="AY67" s="1" t="s">
        <v>74</v>
      </c>
      <c r="AZ67" s="1" t="s">
        <v>74</v>
      </c>
      <c r="BA67" s="1" t="s">
        <v>74</v>
      </c>
      <c r="BB67" s="1">
        <v>118923.0</v>
      </c>
      <c r="BC67" s="1">
        <v>118923.0</v>
      </c>
      <c r="BD67" s="1" t="s">
        <v>74</v>
      </c>
      <c r="BE67" s="1" t="s">
        <v>1617</v>
      </c>
      <c r="BF67" s="2" t="str">
        <f>HYPERLINK("http://dx.doi.org/10.1109/ACCESS.2024.3448788","http://dx.doi.org/10.1109/ACCESS.2024.3448788")</f>
        <v>http://dx.doi.org/10.1109/ACCESS.2024.3448788</v>
      </c>
      <c r="BG67" s="1" t="s">
        <v>74</v>
      </c>
      <c r="BH67" s="1" t="s">
        <v>74</v>
      </c>
      <c r="BI67" s="1">
        <v>1.0</v>
      </c>
      <c r="BJ67" s="1" t="s">
        <v>1618</v>
      </c>
      <c r="BK67" s="1" t="s">
        <v>149</v>
      </c>
      <c r="BL67" s="1" t="s">
        <v>1619</v>
      </c>
      <c r="BM67" s="1" t="s">
        <v>1620</v>
      </c>
      <c r="BN67" s="1" t="s">
        <v>74</v>
      </c>
      <c r="BO67" s="1" t="s">
        <v>174</v>
      </c>
      <c r="BP67" s="1" t="s">
        <v>74</v>
      </c>
      <c r="BQ67" s="1" t="s">
        <v>74</v>
      </c>
      <c r="BR67" s="1" t="s">
        <v>102</v>
      </c>
      <c r="BS67" s="1" t="s">
        <v>1621</v>
      </c>
      <c r="BT67" s="1" t="str">
        <f>HYPERLINK("https%3A%2F%2Fwww.webofscience.com%2Fwos%2Fwoscc%2Ffull-record%2FWOS:001306624700001","View Full Record in Web of Science")</f>
        <v>View Full Record in Web of Science</v>
      </c>
    </row>
    <row r="68" ht="12.75" customHeight="1">
      <c r="A68" s="1" t="s">
        <v>132</v>
      </c>
      <c r="B68" s="1" t="s">
        <v>1622</v>
      </c>
      <c r="C68" s="1" t="s">
        <v>74</v>
      </c>
      <c r="D68" s="1" t="s">
        <v>74</v>
      </c>
      <c r="E68" s="1" t="s">
        <v>74</v>
      </c>
      <c r="F68" s="1" t="s">
        <v>1623</v>
      </c>
      <c r="G68" s="1" t="s">
        <v>74</v>
      </c>
      <c r="H68" s="1" t="s">
        <v>74</v>
      </c>
      <c r="I68" s="1" t="s">
        <v>1624</v>
      </c>
      <c r="J68" s="1" t="s">
        <v>263</v>
      </c>
      <c r="K68" s="1" t="s">
        <v>74</v>
      </c>
      <c r="L68" s="1" t="s">
        <v>74</v>
      </c>
      <c r="M68" s="1" t="s">
        <v>80</v>
      </c>
      <c r="N68" s="1" t="s">
        <v>136</v>
      </c>
      <c r="O68" s="1" t="s">
        <v>74</v>
      </c>
      <c r="P68" s="1" t="s">
        <v>74</v>
      </c>
      <c r="Q68" s="1" t="s">
        <v>74</v>
      </c>
      <c r="R68" s="1" t="s">
        <v>74</v>
      </c>
      <c r="S68" s="1" t="s">
        <v>74</v>
      </c>
      <c r="T68" s="1" t="s">
        <v>1625</v>
      </c>
      <c r="U68" s="1" t="s">
        <v>1626</v>
      </c>
      <c r="V68" s="1" t="s">
        <v>1627</v>
      </c>
      <c r="W68" s="1" t="s">
        <v>1628</v>
      </c>
      <c r="X68" s="1" t="s">
        <v>1629</v>
      </c>
      <c r="Y68" s="1" t="s">
        <v>1630</v>
      </c>
      <c r="Z68" s="1" t="s">
        <v>1631</v>
      </c>
      <c r="AA68" s="1" t="s">
        <v>1632</v>
      </c>
      <c r="AB68" s="1" t="s">
        <v>1633</v>
      </c>
      <c r="AC68" s="1" t="s">
        <v>1634</v>
      </c>
      <c r="AD68" s="1" t="s">
        <v>1634</v>
      </c>
      <c r="AE68" s="1" t="s">
        <v>1635</v>
      </c>
      <c r="AF68" s="1" t="s">
        <v>74</v>
      </c>
      <c r="AG68" s="1">
        <v>96.0</v>
      </c>
      <c r="AH68" s="1">
        <v>9.0</v>
      </c>
      <c r="AI68" s="1">
        <v>9.0</v>
      </c>
      <c r="AJ68" s="1">
        <v>16.0</v>
      </c>
      <c r="AK68" s="1">
        <v>87.0</v>
      </c>
      <c r="AL68" s="1" t="s">
        <v>275</v>
      </c>
      <c r="AM68" s="1" t="s">
        <v>276</v>
      </c>
      <c r="AN68" s="1" t="s">
        <v>277</v>
      </c>
      <c r="AO68" s="1" t="s">
        <v>74</v>
      </c>
      <c r="AP68" s="1" t="s">
        <v>278</v>
      </c>
      <c r="AQ68" s="1" t="s">
        <v>74</v>
      </c>
      <c r="AR68" s="1" t="s">
        <v>279</v>
      </c>
      <c r="AS68" s="1" t="s">
        <v>280</v>
      </c>
      <c r="AT68" s="1" t="s">
        <v>1636</v>
      </c>
      <c r="AU68" s="1">
        <v>2022.0</v>
      </c>
      <c r="AV68" s="1">
        <v>5.0</v>
      </c>
      <c r="AW68" s="1" t="s">
        <v>74</v>
      </c>
      <c r="AX68" s="1" t="s">
        <v>74</v>
      </c>
      <c r="AY68" s="1" t="s">
        <v>74</v>
      </c>
      <c r="AZ68" s="1" t="s">
        <v>74</v>
      </c>
      <c r="BA68" s="1" t="s">
        <v>74</v>
      </c>
      <c r="BB68" s="1" t="s">
        <v>74</v>
      </c>
      <c r="BC68" s="1" t="s">
        <v>74</v>
      </c>
      <c r="BD68" s="1">
        <v>869114.0</v>
      </c>
      <c r="BE68" s="1" t="s">
        <v>1637</v>
      </c>
      <c r="BF68" s="2" t="str">
        <f>HYPERLINK("http://dx.doi.org/10.3389/frai.2022.869114","http://dx.doi.org/10.3389/frai.2022.869114")</f>
        <v>http://dx.doi.org/10.3389/frai.2022.869114</v>
      </c>
      <c r="BG68" s="1" t="s">
        <v>74</v>
      </c>
      <c r="BH68" s="1" t="s">
        <v>74</v>
      </c>
      <c r="BI68" s="1">
        <v>14.0</v>
      </c>
      <c r="BJ68" s="1" t="s">
        <v>282</v>
      </c>
      <c r="BK68" s="1" t="s">
        <v>172</v>
      </c>
      <c r="BL68" s="1" t="s">
        <v>232</v>
      </c>
      <c r="BM68" s="1" t="s">
        <v>1638</v>
      </c>
      <c r="BN68" s="1">
        <v>3.5910189E7</v>
      </c>
      <c r="BO68" s="1" t="s">
        <v>1639</v>
      </c>
      <c r="BP68" s="1" t="s">
        <v>74</v>
      </c>
      <c r="BQ68" s="1" t="s">
        <v>74</v>
      </c>
      <c r="BR68" s="1" t="s">
        <v>102</v>
      </c>
      <c r="BS68" s="1" t="s">
        <v>1640</v>
      </c>
      <c r="BT68" s="1" t="str">
        <f>HYPERLINK("https%3A%2F%2Fwww.webofscience.com%2Fwos%2Fwoscc%2Ffull-record%2FWOS:000915813100001","View Full Record in Web of Science")</f>
        <v>View Full Record in Web of Science</v>
      </c>
    </row>
    <row r="69" ht="12.75" customHeight="1">
      <c r="A69" s="1" t="s">
        <v>132</v>
      </c>
      <c r="B69" s="1" t="s">
        <v>1641</v>
      </c>
      <c r="C69" s="1" t="s">
        <v>74</v>
      </c>
      <c r="D69" s="1" t="s">
        <v>74</v>
      </c>
      <c r="E69" s="1" t="s">
        <v>74</v>
      </c>
      <c r="F69" s="1" t="s">
        <v>1642</v>
      </c>
      <c r="G69" s="1" t="s">
        <v>74</v>
      </c>
      <c r="H69" s="1" t="s">
        <v>74</v>
      </c>
      <c r="I69" s="1" t="s">
        <v>1643</v>
      </c>
      <c r="J69" s="1" t="s">
        <v>1644</v>
      </c>
      <c r="K69" s="1" t="s">
        <v>74</v>
      </c>
      <c r="L69" s="1" t="s">
        <v>74</v>
      </c>
      <c r="M69" s="1" t="s">
        <v>80</v>
      </c>
      <c r="N69" s="1" t="s">
        <v>1010</v>
      </c>
      <c r="O69" s="1" t="s">
        <v>74</v>
      </c>
      <c r="P69" s="1" t="s">
        <v>74</v>
      </c>
      <c r="Q69" s="1" t="s">
        <v>74</v>
      </c>
      <c r="R69" s="1" t="s">
        <v>74</v>
      </c>
      <c r="S69" s="1" t="s">
        <v>74</v>
      </c>
      <c r="T69" s="1" t="s">
        <v>1645</v>
      </c>
      <c r="U69" s="1" t="s">
        <v>1646</v>
      </c>
      <c r="V69" s="1" t="s">
        <v>1647</v>
      </c>
      <c r="W69" s="1" t="s">
        <v>1648</v>
      </c>
      <c r="X69" s="1" t="s">
        <v>1649</v>
      </c>
      <c r="Y69" s="1" t="s">
        <v>1650</v>
      </c>
      <c r="Z69" s="1" t="s">
        <v>1651</v>
      </c>
      <c r="AA69" s="1" t="s">
        <v>1652</v>
      </c>
      <c r="AB69" s="1" t="s">
        <v>1653</v>
      </c>
      <c r="AC69" s="1" t="s">
        <v>1654</v>
      </c>
      <c r="AD69" s="1" t="s">
        <v>1655</v>
      </c>
      <c r="AE69" s="1" t="s">
        <v>1656</v>
      </c>
      <c r="AF69" s="1" t="s">
        <v>74</v>
      </c>
      <c r="AG69" s="1">
        <v>34.0</v>
      </c>
      <c r="AH69" s="1">
        <v>56.0</v>
      </c>
      <c r="AI69" s="1">
        <v>59.0</v>
      </c>
      <c r="AJ69" s="1">
        <v>11.0</v>
      </c>
      <c r="AK69" s="1">
        <v>91.0</v>
      </c>
      <c r="AL69" s="1" t="s">
        <v>1657</v>
      </c>
      <c r="AM69" s="1" t="s">
        <v>1658</v>
      </c>
      <c r="AN69" s="1" t="s">
        <v>1659</v>
      </c>
      <c r="AO69" s="1" t="s">
        <v>1660</v>
      </c>
      <c r="AP69" s="1" t="s">
        <v>1661</v>
      </c>
      <c r="AQ69" s="1" t="s">
        <v>74</v>
      </c>
      <c r="AR69" s="1" t="s">
        <v>1662</v>
      </c>
      <c r="AS69" s="1" t="s">
        <v>1663</v>
      </c>
      <c r="AT69" s="1" t="s">
        <v>74</v>
      </c>
      <c r="AU69" s="1">
        <v>2019.0</v>
      </c>
      <c r="AV69" s="1">
        <v>5.0</v>
      </c>
      <c r="AW69" s="1">
        <v>1.0</v>
      </c>
      <c r="AX69" s="1" t="s">
        <v>74</v>
      </c>
      <c r="AY69" s="1" t="s">
        <v>74</v>
      </c>
      <c r="AZ69" s="1" t="s">
        <v>74</v>
      </c>
      <c r="BA69" s="1" t="s">
        <v>74</v>
      </c>
      <c r="BB69" s="1">
        <v>11.0</v>
      </c>
      <c r="BC69" s="1">
        <v>17.0</v>
      </c>
      <c r="BD69" s="1" t="s">
        <v>74</v>
      </c>
      <c r="BE69" s="1" t="s">
        <v>1664</v>
      </c>
      <c r="BF69" s="2" t="str">
        <f>HYPERLINK("http://dx.doi.org/10.1159/000492428","http://dx.doi.org/10.1159/000492428")</f>
        <v>http://dx.doi.org/10.1159/000492428</v>
      </c>
      <c r="BG69" s="1" t="s">
        <v>74</v>
      </c>
      <c r="BH69" s="1" t="s">
        <v>74</v>
      </c>
      <c r="BI69" s="1">
        <v>7.0</v>
      </c>
      <c r="BJ69" s="1" t="s">
        <v>1665</v>
      </c>
      <c r="BK69" s="1" t="s">
        <v>149</v>
      </c>
      <c r="BL69" s="1" t="s">
        <v>1665</v>
      </c>
      <c r="BM69" s="1" t="s">
        <v>1666</v>
      </c>
      <c r="BN69" s="1">
        <v>3.0815459E7</v>
      </c>
      <c r="BO69" s="1" t="s">
        <v>1667</v>
      </c>
      <c r="BP69" s="1" t="s">
        <v>74</v>
      </c>
      <c r="BQ69" s="1" t="s">
        <v>74</v>
      </c>
      <c r="BR69" s="1" t="s">
        <v>102</v>
      </c>
      <c r="BS69" s="1" t="s">
        <v>1668</v>
      </c>
      <c r="BT69" s="1" t="str">
        <f>HYPERLINK("https%3A%2F%2Fwww.webofscience.com%2Fwos%2Fwoscc%2Ffull-record%2FWOS:000459513800003","View Full Record in Web of Science")</f>
        <v>View Full Record in Web of Science</v>
      </c>
    </row>
    <row r="70" ht="12.75" customHeight="1">
      <c r="A70" s="1" t="s">
        <v>72</v>
      </c>
      <c r="B70" s="1" t="s">
        <v>1669</v>
      </c>
      <c r="C70" s="1" t="s">
        <v>74</v>
      </c>
      <c r="D70" s="1" t="s">
        <v>1670</v>
      </c>
      <c r="E70" s="1" t="s">
        <v>74</v>
      </c>
      <c r="F70" s="1" t="s">
        <v>1671</v>
      </c>
      <c r="G70" s="1" t="s">
        <v>74</v>
      </c>
      <c r="H70" s="1" t="s">
        <v>74</v>
      </c>
      <c r="I70" s="1" t="s">
        <v>77</v>
      </c>
      <c r="J70" s="1" t="s">
        <v>1672</v>
      </c>
      <c r="K70" s="1" t="s">
        <v>1673</v>
      </c>
      <c r="L70" s="1" t="s">
        <v>74</v>
      </c>
      <c r="M70" s="1" t="s">
        <v>80</v>
      </c>
      <c r="N70" s="1" t="s">
        <v>81</v>
      </c>
      <c r="O70" s="1" t="s">
        <v>1674</v>
      </c>
      <c r="P70" s="1" t="s">
        <v>1675</v>
      </c>
      <c r="Q70" s="1" t="s">
        <v>1676</v>
      </c>
      <c r="R70" s="1" t="s">
        <v>74</v>
      </c>
      <c r="S70" s="1" t="s">
        <v>668</v>
      </c>
      <c r="T70" s="1" t="s">
        <v>1677</v>
      </c>
      <c r="U70" s="1" t="s">
        <v>1678</v>
      </c>
      <c r="V70" s="1" t="s">
        <v>1679</v>
      </c>
      <c r="W70" s="1" t="s">
        <v>1680</v>
      </c>
      <c r="X70" s="1" t="s">
        <v>1681</v>
      </c>
      <c r="Y70" s="1" t="s">
        <v>1682</v>
      </c>
      <c r="Z70" s="1" t="s">
        <v>1683</v>
      </c>
      <c r="AA70" s="1" t="s">
        <v>74</v>
      </c>
      <c r="AB70" s="1" t="s">
        <v>74</v>
      </c>
      <c r="AC70" s="1" t="s">
        <v>74</v>
      </c>
      <c r="AD70" s="1" t="s">
        <v>74</v>
      </c>
      <c r="AE70" s="1" t="s">
        <v>74</v>
      </c>
      <c r="AF70" s="1" t="s">
        <v>74</v>
      </c>
      <c r="AG70" s="1">
        <v>30.0</v>
      </c>
      <c r="AH70" s="1">
        <v>1.0</v>
      </c>
      <c r="AI70" s="1">
        <v>1.0</v>
      </c>
      <c r="AJ70" s="1">
        <v>17.0</v>
      </c>
      <c r="AK70" s="1">
        <v>53.0</v>
      </c>
      <c r="AL70" s="1" t="s">
        <v>223</v>
      </c>
      <c r="AM70" s="1" t="s">
        <v>224</v>
      </c>
      <c r="AN70" s="1" t="s">
        <v>225</v>
      </c>
      <c r="AO70" s="1" t="s">
        <v>1684</v>
      </c>
      <c r="AP70" s="1" t="s">
        <v>1685</v>
      </c>
      <c r="AQ70" s="1" t="s">
        <v>1686</v>
      </c>
      <c r="AR70" s="1" t="s">
        <v>1687</v>
      </c>
      <c r="AS70" s="1" t="s">
        <v>74</v>
      </c>
      <c r="AT70" s="1" t="s">
        <v>74</v>
      </c>
      <c r="AU70" s="1">
        <v>2023.0</v>
      </c>
      <c r="AV70" s="1" t="s">
        <v>74</v>
      </c>
      <c r="AW70" s="1" t="s">
        <v>74</v>
      </c>
      <c r="AX70" s="1" t="s">
        <v>74</v>
      </c>
      <c r="AY70" s="1" t="s">
        <v>74</v>
      </c>
      <c r="AZ70" s="1" t="s">
        <v>74</v>
      </c>
      <c r="BA70" s="1" t="s">
        <v>74</v>
      </c>
      <c r="BB70" s="1">
        <v>247.0</v>
      </c>
      <c r="BC70" s="1">
        <v>265.0</v>
      </c>
      <c r="BD70" s="1" t="s">
        <v>74</v>
      </c>
      <c r="BE70" s="1" t="s">
        <v>1688</v>
      </c>
      <c r="BF70" s="2" t="str">
        <f>HYPERLINK("http://dx.doi.org/10.1007/978-3-031-19886-1_18","http://dx.doi.org/10.1007/978-3-031-19886-1_18")</f>
        <v>http://dx.doi.org/10.1007/978-3-031-19886-1_18</v>
      </c>
      <c r="BG70" s="1" t="s">
        <v>74</v>
      </c>
      <c r="BH70" s="1" t="s">
        <v>74</v>
      </c>
      <c r="BI70" s="1">
        <v>19.0</v>
      </c>
      <c r="BJ70" s="1" t="s">
        <v>1689</v>
      </c>
      <c r="BK70" s="1" t="s">
        <v>99</v>
      </c>
      <c r="BL70" s="1" t="s">
        <v>1690</v>
      </c>
      <c r="BM70" s="1" t="s">
        <v>1691</v>
      </c>
      <c r="BN70" s="1" t="s">
        <v>74</v>
      </c>
      <c r="BO70" s="1" t="s">
        <v>74</v>
      </c>
      <c r="BP70" s="1" t="s">
        <v>74</v>
      </c>
      <c r="BQ70" s="1" t="s">
        <v>74</v>
      </c>
      <c r="BR70" s="1" t="s">
        <v>102</v>
      </c>
      <c r="BS70" s="1" t="s">
        <v>1692</v>
      </c>
      <c r="BT70" s="1" t="str">
        <f>HYPERLINK("https%3A%2F%2Fwww.webofscience.com%2Fwos%2Fwoscc%2Ffull-record%2FWOS:000964117400018","View Full Record in Web of Science")</f>
        <v>View Full Record in Web of Science</v>
      </c>
    </row>
    <row r="71" ht="12.75" customHeight="1">
      <c r="A71" s="1" t="s">
        <v>132</v>
      </c>
      <c r="B71" s="1" t="s">
        <v>1693</v>
      </c>
      <c r="C71" s="1" t="s">
        <v>74</v>
      </c>
      <c r="D71" s="1" t="s">
        <v>74</v>
      </c>
      <c r="E71" s="1" t="s">
        <v>74</v>
      </c>
      <c r="F71" s="1" t="s">
        <v>1694</v>
      </c>
      <c r="G71" s="1" t="s">
        <v>74</v>
      </c>
      <c r="H71" s="1" t="s">
        <v>74</v>
      </c>
      <c r="I71" s="1" t="s">
        <v>1695</v>
      </c>
      <c r="J71" s="1" t="s">
        <v>1696</v>
      </c>
      <c r="K71" s="1" t="s">
        <v>74</v>
      </c>
      <c r="L71" s="1" t="s">
        <v>74</v>
      </c>
      <c r="M71" s="1" t="s">
        <v>80</v>
      </c>
      <c r="N71" s="1" t="s">
        <v>136</v>
      </c>
      <c r="O71" s="1" t="s">
        <v>74</v>
      </c>
      <c r="P71" s="1" t="s">
        <v>74</v>
      </c>
      <c r="Q71" s="1" t="s">
        <v>74</v>
      </c>
      <c r="R71" s="1" t="s">
        <v>74</v>
      </c>
      <c r="S71" s="1" t="s">
        <v>74</v>
      </c>
      <c r="T71" s="1" t="s">
        <v>1697</v>
      </c>
      <c r="U71" s="1" t="s">
        <v>1698</v>
      </c>
      <c r="V71" s="1" t="s">
        <v>1699</v>
      </c>
      <c r="W71" s="1" t="s">
        <v>1700</v>
      </c>
      <c r="X71" s="1" t="s">
        <v>1701</v>
      </c>
      <c r="Y71" s="1" t="s">
        <v>1702</v>
      </c>
      <c r="Z71" s="1" t="s">
        <v>1703</v>
      </c>
      <c r="AA71" s="1" t="s">
        <v>1704</v>
      </c>
      <c r="AB71" s="1" t="s">
        <v>74</v>
      </c>
      <c r="AC71" s="1" t="s">
        <v>74</v>
      </c>
      <c r="AD71" s="1" t="s">
        <v>74</v>
      </c>
      <c r="AE71" s="1" t="s">
        <v>74</v>
      </c>
      <c r="AF71" s="1" t="s">
        <v>74</v>
      </c>
      <c r="AG71" s="1">
        <v>35.0</v>
      </c>
      <c r="AH71" s="1">
        <v>32.0</v>
      </c>
      <c r="AI71" s="1">
        <v>32.0</v>
      </c>
      <c r="AJ71" s="1">
        <v>3.0</v>
      </c>
      <c r="AK71" s="1">
        <v>32.0</v>
      </c>
      <c r="AL71" s="1" t="s">
        <v>321</v>
      </c>
      <c r="AM71" s="1" t="s">
        <v>322</v>
      </c>
      <c r="AN71" s="1" t="s">
        <v>323</v>
      </c>
      <c r="AO71" s="1" t="s">
        <v>1705</v>
      </c>
      <c r="AP71" s="1" t="s">
        <v>1706</v>
      </c>
      <c r="AQ71" s="1" t="s">
        <v>74</v>
      </c>
      <c r="AR71" s="1" t="s">
        <v>1707</v>
      </c>
      <c r="AS71" s="1" t="s">
        <v>1708</v>
      </c>
      <c r="AT71" s="1" t="s">
        <v>1709</v>
      </c>
      <c r="AU71" s="1">
        <v>2021.0</v>
      </c>
      <c r="AV71" s="1">
        <v>122.0</v>
      </c>
      <c r="AW71" s="1">
        <v>4.0</v>
      </c>
      <c r="AX71" s="1" t="s">
        <v>74</v>
      </c>
      <c r="AY71" s="1" t="s">
        <v>74</v>
      </c>
      <c r="AZ71" s="1" t="s">
        <v>74</v>
      </c>
      <c r="BA71" s="1" t="s">
        <v>74</v>
      </c>
      <c r="BB71" s="1">
        <v>333.0</v>
      </c>
      <c r="BC71" s="1">
        <v>337.0</v>
      </c>
      <c r="BD71" s="1" t="s">
        <v>74</v>
      </c>
      <c r="BE71" s="1" t="s">
        <v>1710</v>
      </c>
      <c r="BF71" s="2" t="str">
        <f>HYPERLINK("http://dx.doi.org/10.1016/j.jormas.2020.12.006","http://dx.doi.org/10.1016/j.jormas.2020.12.006")</f>
        <v>http://dx.doi.org/10.1016/j.jormas.2020.12.006</v>
      </c>
      <c r="BG71" s="1" t="s">
        <v>74</v>
      </c>
      <c r="BH71" s="1" t="s">
        <v>781</v>
      </c>
      <c r="BI71" s="1">
        <v>5.0</v>
      </c>
      <c r="BJ71" s="1" t="s">
        <v>1711</v>
      </c>
      <c r="BK71" s="1" t="s">
        <v>149</v>
      </c>
      <c r="BL71" s="1" t="s">
        <v>1711</v>
      </c>
      <c r="BM71" s="1" t="s">
        <v>1712</v>
      </c>
      <c r="BN71" s="1" t="s">
        <v>74</v>
      </c>
      <c r="BO71" s="1" t="s">
        <v>74</v>
      </c>
      <c r="BP71" s="1" t="s">
        <v>74</v>
      </c>
      <c r="BQ71" s="1" t="s">
        <v>74</v>
      </c>
      <c r="BR71" s="1" t="s">
        <v>102</v>
      </c>
      <c r="BS71" s="1" t="s">
        <v>1713</v>
      </c>
      <c r="BT71" s="1" t="str">
        <f>HYPERLINK("https%3A%2F%2Fwww.webofscience.com%2Fwos%2Fwoscc%2Ffull-record%2FWOS:000701819300002","View Full Record in Web of Science")</f>
        <v>View Full Record in Web of Science</v>
      </c>
    </row>
    <row r="72" ht="12.75" customHeight="1">
      <c r="A72" s="1" t="s">
        <v>132</v>
      </c>
      <c r="B72" s="1" t="s">
        <v>1714</v>
      </c>
      <c r="C72" s="1" t="s">
        <v>74</v>
      </c>
      <c r="D72" s="1" t="s">
        <v>74</v>
      </c>
      <c r="E72" s="1" t="s">
        <v>74</v>
      </c>
      <c r="F72" s="1" t="s">
        <v>1715</v>
      </c>
      <c r="G72" s="1" t="s">
        <v>74</v>
      </c>
      <c r="H72" s="1" t="s">
        <v>74</v>
      </c>
      <c r="I72" s="1" t="s">
        <v>1716</v>
      </c>
      <c r="J72" s="1" t="s">
        <v>1717</v>
      </c>
      <c r="K72" s="1" t="s">
        <v>74</v>
      </c>
      <c r="L72" s="1" t="s">
        <v>74</v>
      </c>
      <c r="M72" s="1" t="s">
        <v>80</v>
      </c>
      <c r="N72" s="1" t="s">
        <v>136</v>
      </c>
      <c r="O72" s="1" t="s">
        <v>74</v>
      </c>
      <c r="P72" s="1" t="s">
        <v>74</v>
      </c>
      <c r="Q72" s="1" t="s">
        <v>74</v>
      </c>
      <c r="R72" s="1" t="s">
        <v>74</v>
      </c>
      <c r="S72" s="1" t="s">
        <v>74</v>
      </c>
      <c r="T72" s="1" t="s">
        <v>1718</v>
      </c>
      <c r="U72" s="1" t="s">
        <v>74</v>
      </c>
      <c r="V72" s="1" t="s">
        <v>1719</v>
      </c>
      <c r="W72" s="1" t="s">
        <v>1720</v>
      </c>
      <c r="X72" s="1" t="s">
        <v>1721</v>
      </c>
      <c r="Y72" s="1" t="s">
        <v>1722</v>
      </c>
      <c r="Z72" s="1" t="s">
        <v>1723</v>
      </c>
      <c r="AA72" s="1" t="s">
        <v>1724</v>
      </c>
      <c r="AB72" s="1" t="s">
        <v>74</v>
      </c>
      <c r="AC72" s="1" t="s">
        <v>74</v>
      </c>
      <c r="AD72" s="1" t="s">
        <v>74</v>
      </c>
      <c r="AE72" s="1" t="s">
        <v>74</v>
      </c>
      <c r="AF72" s="1" t="s">
        <v>74</v>
      </c>
      <c r="AG72" s="1">
        <v>12.0</v>
      </c>
      <c r="AH72" s="1">
        <v>12.0</v>
      </c>
      <c r="AI72" s="1">
        <v>12.0</v>
      </c>
      <c r="AJ72" s="1">
        <v>56.0</v>
      </c>
      <c r="AK72" s="1">
        <v>105.0</v>
      </c>
      <c r="AL72" s="1" t="s">
        <v>1725</v>
      </c>
      <c r="AM72" s="1" t="s">
        <v>1726</v>
      </c>
      <c r="AN72" s="1" t="s">
        <v>1727</v>
      </c>
      <c r="AO72" s="1" t="s">
        <v>1728</v>
      </c>
      <c r="AP72" s="1" t="s">
        <v>1729</v>
      </c>
      <c r="AQ72" s="1" t="s">
        <v>74</v>
      </c>
      <c r="AR72" s="1" t="s">
        <v>1730</v>
      </c>
      <c r="AS72" s="1" t="s">
        <v>1731</v>
      </c>
      <c r="AT72" s="1" t="s">
        <v>74</v>
      </c>
      <c r="AU72" s="1">
        <v>2024.0</v>
      </c>
      <c r="AV72" s="1">
        <v>25.0</v>
      </c>
      <c r="AW72" s="1">
        <v>1.0</v>
      </c>
      <c r="AX72" s="1" t="s">
        <v>74</v>
      </c>
      <c r="AY72" s="1" t="s">
        <v>74</v>
      </c>
      <c r="AZ72" s="1" t="s">
        <v>474</v>
      </c>
      <c r="BA72" s="1" t="s">
        <v>74</v>
      </c>
      <c r="BB72" s="1" t="s">
        <v>74</v>
      </c>
      <c r="BC72" s="1" t="s">
        <v>74</v>
      </c>
      <c r="BD72" s="1" t="s">
        <v>74</v>
      </c>
      <c r="BE72" s="1" t="s">
        <v>1732</v>
      </c>
      <c r="BF72" s="2" t="str">
        <f>HYPERLINK("http://dx.doi.org/10.17705/1jais.00860","http://dx.doi.org/10.17705/1jais.00860")</f>
        <v>http://dx.doi.org/10.17705/1jais.00860</v>
      </c>
      <c r="BG72" s="1" t="s">
        <v>74</v>
      </c>
      <c r="BH72" s="1" t="s">
        <v>74</v>
      </c>
      <c r="BI72" s="1">
        <v>11.0</v>
      </c>
      <c r="BJ72" s="1" t="s">
        <v>1733</v>
      </c>
      <c r="BK72" s="1" t="s">
        <v>783</v>
      </c>
      <c r="BL72" s="1" t="s">
        <v>1734</v>
      </c>
      <c r="BM72" s="1" t="s">
        <v>1735</v>
      </c>
      <c r="BN72" s="1" t="s">
        <v>74</v>
      </c>
      <c r="BO72" s="1" t="s">
        <v>632</v>
      </c>
      <c r="BP72" s="1" t="s">
        <v>74</v>
      </c>
      <c r="BQ72" s="1" t="s">
        <v>74</v>
      </c>
      <c r="BR72" s="1" t="s">
        <v>102</v>
      </c>
      <c r="BS72" s="1" t="s">
        <v>1736</v>
      </c>
      <c r="BT72" s="1" t="str">
        <f>HYPERLINK("https%3A%2F%2Fwww.webofscience.com%2Fwos%2Fwoscc%2Ffull-record%2FWOS:001184331000007","View Full Record in Web of Science")</f>
        <v>View Full Record in Web of Science</v>
      </c>
    </row>
    <row r="73" ht="12.75" customHeight="1">
      <c r="A73" s="1" t="s">
        <v>72</v>
      </c>
      <c r="B73" s="1" t="s">
        <v>1737</v>
      </c>
      <c r="C73" s="1" t="s">
        <v>74</v>
      </c>
      <c r="D73" s="1" t="s">
        <v>74</v>
      </c>
      <c r="E73" s="1" t="s">
        <v>1738</v>
      </c>
      <c r="F73" s="1" t="s">
        <v>1739</v>
      </c>
      <c r="G73" s="1" t="s">
        <v>74</v>
      </c>
      <c r="H73" s="1" t="s">
        <v>74</v>
      </c>
      <c r="I73" s="1" t="s">
        <v>1740</v>
      </c>
      <c r="J73" s="1" t="s">
        <v>1741</v>
      </c>
      <c r="K73" s="1" t="s">
        <v>74</v>
      </c>
      <c r="L73" s="1" t="s">
        <v>74</v>
      </c>
      <c r="M73" s="1" t="s">
        <v>80</v>
      </c>
      <c r="N73" s="1" t="s">
        <v>81</v>
      </c>
      <c r="O73" s="1" t="s">
        <v>1742</v>
      </c>
      <c r="P73" s="1" t="s">
        <v>1743</v>
      </c>
      <c r="Q73" s="1" t="s">
        <v>1744</v>
      </c>
      <c r="R73" s="1" t="s">
        <v>74</v>
      </c>
      <c r="S73" s="1" t="s">
        <v>74</v>
      </c>
      <c r="T73" s="1" t="s">
        <v>1745</v>
      </c>
      <c r="U73" s="1" t="s">
        <v>74</v>
      </c>
      <c r="V73" s="1" t="s">
        <v>1746</v>
      </c>
      <c r="W73" s="1" t="s">
        <v>1747</v>
      </c>
      <c r="X73" s="1" t="s">
        <v>74</v>
      </c>
      <c r="Y73" s="1" t="s">
        <v>1748</v>
      </c>
      <c r="Z73" s="1" t="s">
        <v>1749</v>
      </c>
      <c r="AA73" s="1" t="s">
        <v>74</v>
      </c>
      <c r="AB73" s="1" t="s">
        <v>1750</v>
      </c>
      <c r="AC73" s="1" t="s">
        <v>74</v>
      </c>
      <c r="AD73" s="1" t="s">
        <v>74</v>
      </c>
      <c r="AE73" s="1" t="s">
        <v>74</v>
      </c>
      <c r="AF73" s="1" t="s">
        <v>74</v>
      </c>
      <c r="AG73" s="1">
        <v>19.0</v>
      </c>
      <c r="AH73" s="1">
        <v>0.0</v>
      </c>
      <c r="AI73" s="1">
        <v>0.0</v>
      </c>
      <c r="AJ73" s="1">
        <v>1.0</v>
      </c>
      <c r="AK73" s="1">
        <v>3.0</v>
      </c>
      <c r="AL73" s="1" t="s">
        <v>1426</v>
      </c>
      <c r="AM73" s="1" t="s">
        <v>193</v>
      </c>
      <c r="AN73" s="1" t="s">
        <v>1427</v>
      </c>
      <c r="AO73" s="1" t="s">
        <v>74</v>
      </c>
      <c r="AP73" s="1" t="s">
        <v>74</v>
      </c>
      <c r="AQ73" s="1" t="s">
        <v>1751</v>
      </c>
      <c r="AR73" s="1" t="s">
        <v>74</v>
      </c>
      <c r="AS73" s="1" t="s">
        <v>74</v>
      </c>
      <c r="AT73" s="1" t="s">
        <v>74</v>
      </c>
      <c r="AU73" s="1">
        <v>2023.0</v>
      </c>
      <c r="AV73" s="1" t="s">
        <v>74</v>
      </c>
      <c r="AW73" s="1" t="s">
        <v>74</v>
      </c>
      <c r="AX73" s="1" t="s">
        <v>74</v>
      </c>
      <c r="AY73" s="1" t="s">
        <v>74</v>
      </c>
      <c r="AZ73" s="1" t="s">
        <v>74</v>
      </c>
      <c r="BA73" s="1" t="s">
        <v>74</v>
      </c>
      <c r="BB73" s="1">
        <v>114.0</v>
      </c>
      <c r="BC73" s="1">
        <v>125.0</v>
      </c>
      <c r="BD73" s="1" t="s">
        <v>74</v>
      </c>
      <c r="BE73" s="1" t="s">
        <v>1752</v>
      </c>
      <c r="BF73" s="2" t="str">
        <f>HYPERLINK("http://dx.doi.org/10.1145/3639592.3639609","http://dx.doi.org/10.1145/3639592.3639609")</f>
        <v>http://dx.doi.org/10.1145/3639592.3639609</v>
      </c>
      <c r="BG73" s="1" t="s">
        <v>74</v>
      </c>
      <c r="BH73" s="1" t="s">
        <v>74</v>
      </c>
      <c r="BI73" s="1">
        <v>12.0</v>
      </c>
      <c r="BJ73" s="1" t="s">
        <v>231</v>
      </c>
      <c r="BK73" s="1" t="s">
        <v>128</v>
      </c>
      <c r="BL73" s="1" t="s">
        <v>232</v>
      </c>
      <c r="BM73" s="1" t="s">
        <v>1753</v>
      </c>
      <c r="BN73" s="1" t="s">
        <v>74</v>
      </c>
      <c r="BO73" s="1" t="s">
        <v>74</v>
      </c>
      <c r="BP73" s="1" t="s">
        <v>74</v>
      </c>
      <c r="BQ73" s="1" t="s">
        <v>74</v>
      </c>
      <c r="BR73" s="1" t="s">
        <v>102</v>
      </c>
      <c r="BS73" s="1" t="s">
        <v>1754</v>
      </c>
      <c r="BT73" s="1" t="str">
        <f>HYPERLINK("https%3A%2F%2Fwww.webofscience.com%2Fwos%2Fwoscc%2Ffull-record%2FWOS:001214025800017","View Full Record in Web of Science")</f>
        <v>View Full Record in Web of Science</v>
      </c>
    </row>
    <row r="74" ht="12.75" customHeight="1">
      <c r="A74" s="1" t="s">
        <v>132</v>
      </c>
      <c r="B74" s="1" t="s">
        <v>1755</v>
      </c>
      <c r="C74" s="1" t="s">
        <v>74</v>
      </c>
      <c r="D74" s="1" t="s">
        <v>74</v>
      </c>
      <c r="E74" s="1" t="s">
        <v>74</v>
      </c>
      <c r="F74" s="1" t="s">
        <v>1756</v>
      </c>
      <c r="G74" s="1" t="s">
        <v>74</v>
      </c>
      <c r="H74" s="1" t="s">
        <v>74</v>
      </c>
      <c r="I74" s="1" t="s">
        <v>1757</v>
      </c>
      <c r="J74" s="1" t="s">
        <v>1758</v>
      </c>
      <c r="K74" s="1" t="s">
        <v>74</v>
      </c>
      <c r="L74" s="1" t="s">
        <v>74</v>
      </c>
      <c r="M74" s="1" t="s">
        <v>80</v>
      </c>
      <c r="N74" s="1" t="s">
        <v>136</v>
      </c>
      <c r="O74" s="1" t="s">
        <v>74</v>
      </c>
      <c r="P74" s="1" t="s">
        <v>74</v>
      </c>
      <c r="Q74" s="1" t="s">
        <v>74</v>
      </c>
      <c r="R74" s="1" t="s">
        <v>74</v>
      </c>
      <c r="S74" s="1" t="s">
        <v>74</v>
      </c>
      <c r="T74" s="1" t="s">
        <v>1759</v>
      </c>
      <c r="U74" s="1" t="s">
        <v>1760</v>
      </c>
      <c r="V74" s="1" t="s">
        <v>1761</v>
      </c>
      <c r="W74" s="1" t="s">
        <v>1762</v>
      </c>
      <c r="X74" s="1" t="s">
        <v>1763</v>
      </c>
      <c r="Y74" s="1" t="s">
        <v>1764</v>
      </c>
      <c r="Z74" s="1" t="s">
        <v>1765</v>
      </c>
      <c r="AA74" s="1" t="s">
        <v>1766</v>
      </c>
      <c r="AB74" s="1" t="s">
        <v>1767</v>
      </c>
      <c r="AC74" s="1" t="s">
        <v>74</v>
      </c>
      <c r="AD74" s="1" t="s">
        <v>74</v>
      </c>
      <c r="AE74" s="1" t="s">
        <v>74</v>
      </c>
      <c r="AF74" s="1" t="s">
        <v>74</v>
      </c>
      <c r="AG74" s="1">
        <v>86.0</v>
      </c>
      <c r="AH74" s="1">
        <v>6.0</v>
      </c>
      <c r="AI74" s="1">
        <v>8.0</v>
      </c>
      <c r="AJ74" s="1">
        <v>23.0</v>
      </c>
      <c r="AK74" s="1">
        <v>76.0</v>
      </c>
      <c r="AL74" s="1" t="s">
        <v>571</v>
      </c>
      <c r="AM74" s="1" t="s">
        <v>1768</v>
      </c>
      <c r="AN74" s="1" t="s">
        <v>1769</v>
      </c>
      <c r="AO74" s="1" t="s">
        <v>1770</v>
      </c>
      <c r="AP74" s="1" t="s">
        <v>1771</v>
      </c>
      <c r="AQ74" s="1" t="s">
        <v>74</v>
      </c>
      <c r="AR74" s="1" t="s">
        <v>1772</v>
      </c>
      <c r="AS74" s="1" t="s">
        <v>1773</v>
      </c>
      <c r="AT74" s="1" t="s">
        <v>1774</v>
      </c>
      <c r="AU74" s="1">
        <v>2023.0</v>
      </c>
      <c r="AV74" s="1">
        <v>36.0</v>
      </c>
      <c r="AW74" s="1">
        <v>8.0</v>
      </c>
      <c r="AX74" s="1" t="s">
        <v>74</v>
      </c>
      <c r="AY74" s="1" t="s">
        <v>74</v>
      </c>
      <c r="AZ74" s="1" t="s">
        <v>74</v>
      </c>
      <c r="BA74" s="1" t="s">
        <v>74</v>
      </c>
      <c r="BB74" s="1">
        <v>49.0</v>
      </c>
      <c r="BC74" s="1">
        <v>70.0</v>
      </c>
      <c r="BD74" s="1" t="s">
        <v>74</v>
      </c>
      <c r="BE74" s="1" t="s">
        <v>1775</v>
      </c>
      <c r="BF74" s="2" t="str">
        <f>HYPERLINK("http://dx.doi.org/10.1108/JOCM-03-2023-0057","http://dx.doi.org/10.1108/JOCM-03-2023-0057")</f>
        <v>http://dx.doi.org/10.1108/JOCM-03-2023-0057</v>
      </c>
      <c r="BG74" s="1" t="s">
        <v>74</v>
      </c>
      <c r="BH74" s="1" t="s">
        <v>74</v>
      </c>
      <c r="BI74" s="1">
        <v>22.0</v>
      </c>
      <c r="BJ74" s="1" t="s">
        <v>1776</v>
      </c>
      <c r="BK74" s="1" t="s">
        <v>203</v>
      </c>
      <c r="BL74" s="1" t="s">
        <v>204</v>
      </c>
      <c r="BM74" s="1" t="s">
        <v>1777</v>
      </c>
      <c r="BN74" s="1" t="s">
        <v>74</v>
      </c>
      <c r="BO74" s="1" t="s">
        <v>306</v>
      </c>
      <c r="BP74" s="1" t="s">
        <v>74</v>
      </c>
      <c r="BQ74" s="1" t="s">
        <v>74</v>
      </c>
      <c r="BR74" s="1" t="s">
        <v>102</v>
      </c>
      <c r="BS74" s="1" t="s">
        <v>1778</v>
      </c>
      <c r="BT74" s="1" t="str">
        <f>HYPERLINK("https%3A%2F%2Fwww.webofscience.com%2Fwos%2Fwoscc%2Ffull-record%2FWOS:001040564400001","View Full Record in Web of Science")</f>
        <v>View Full Record in Web of Science</v>
      </c>
    </row>
    <row r="75" ht="12.75" customHeight="1">
      <c r="A75" s="1" t="s">
        <v>72</v>
      </c>
      <c r="B75" s="1" t="s">
        <v>1779</v>
      </c>
      <c r="C75" s="1" t="s">
        <v>74</v>
      </c>
      <c r="D75" s="1" t="s">
        <v>362</v>
      </c>
      <c r="E75" s="1" t="s">
        <v>74</v>
      </c>
      <c r="F75" s="1" t="s">
        <v>1780</v>
      </c>
      <c r="G75" s="1" t="s">
        <v>74</v>
      </c>
      <c r="H75" s="1" t="s">
        <v>74</v>
      </c>
      <c r="I75" s="1" t="s">
        <v>1781</v>
      </c>
      <c r="J75" s="1" t="s">
        <v>365</v>
      </c>
      <c r="K75" s="1" t="s">
        <v>74</v>
      </c>
      <c r="L75" s="1" t="s">
        <v>74</v>
      </c>
      <c r="M75" s="1" t="s">
        <v>80</v>
      </c>
      <c r="N75" s="1" t="s">
        <v>81</v>
      </c>
      <c r="O75" s="1" t="s">
        <v>366</v>
      </c>
      <c r="P75" s="1" t="s">
        <v>367</v>
      </c>
      <c r="Q75" s="1" t="s">
        <v>368</v>
      </c>
      <c r="R75" s="1" t="s">
        <v>74</v>
      </c>
      <c r="S75" s="1" t="s">
        <v>369</v>
      </c>
      <c r="T75" s="1" t="s">
        <v>1782</v>
      </c>
      <c r="U75" s="1" t="s">
        <v>74</v>
      </c>
      <c r="V75" s="1" t="s">
        <v>1783</v>
      </c>
      <c r="W75" s="1" t="s">
        <v>1784</v>
      </c>
      <c r="X75" s="1" t="s">
        <v>1785</v>
      </c>
      <c r="Y75" s="1" t="s">
        <v>1786</v>
      </c>
      <c r="Z75" s="1" t="s">
        <v>1787</v>
      </c>
      <c r="AA75" s="1" t="s">
        <v>74</v>
      </c>
      <c r="AB75" s="1" t="s">
        <v>1788</v>
      </c>
      <c r="AC75" s="1" t="s">
        <v>74</v>
      </c>
      <c r="AD75" s="1" t="s">
        <v>74</v>
      </c>
      <c r="AE75" s="1" t="s">
        <v>74</v>
      </c>
      <c r="AF75" s="1" t="s">
        <v>74</v>
      </c>
      <c r="AG75" s="1">
        <v>37.0</v>
      </c>
      <c r="AH75" s="1">
        <v>0.0</v>
      </c>
      <c r="AI75" s="1">
        <v>0.0</v>
      </c>
      <c r="AJ75" s="1">
        <v>5.0</v>
      </c>
      <c r="AK75" s="1">
        <v>87.0</v>
      </c>
      <c r="AL75" s="1" t="s">
        <v>122</v>
      </c>
      <c r="AM75" s="1" t="s">
        <v>123</v>
      </c>
      <c r="AN75" s="1" t="s">
        <v>124</v>
      </c>
      <c r="AO75" s="1" t="s">
        <v>74</v>
      </c>
      <c r="AP75" s="1" t="s">
        <v>74</v>
      </c>
      <c r="AQ75" s="1" t="s">
        <v>376</v>
      </c>
      <c r="AR75" s="1" t="s">
        <v>74</v>
      </c>
      <c r="AS75" s="1" t="s">
        <v>74</v>
      </c>
      <c r="AT75" s="1" t="s">
        <v>74</v>
      </c>
      <c r="AU75" s="1">
        <v>2019.0</v>
      </c>
      <c r="AV75" s="1" t="s">
        <v>74</v>
      </c>
      <c r="AW75" s="1" t="s">
        <v>74</v>
      </c>
      <c r="AX75" s="1" t="s">
        <v>74</v>
      </c>
      <c r="AY75" s="1" t="s">
        <v>74</v>
      </c>
      <c r="AZ75" s="1" t="s">
        <v>74</v>
      </c>
      <c r="BA75" s="1" t="s">
        <v>74</v>
      </c>
      <c r="BB75" s="1">
        <v>191.0</v>
      </c>
      <c r="BC75" s="1">
        <v>197.0</v>
      </c>
      <c r="BD75" s="1" t="s">
        <v>74</v>
      </c>
      <c r="BE75" s="1" t="s">
        <v>1789</v>
      </c>
      <c r="BF75" s="2" t="str">
        <f>HYPERLINK("http://dx.doi.org/10.34190/ECIAIR.19.086","http://dx.doi.org/10.34190/ECIAIR.19.086")</f>
        <v>http://dx.doi.org/10.34190/ECIAIR.19.086</v>
      </c>
      <c r="BG75" s="1" t="s">
        <v>74</v>
      </c>
      <c r="BH75" s="1" t="s">
        <v>74</v>
      </c>
      <c r="BI75" s="1">
        <v>7.0</v>
      </c>
      <c r="BJ75" s="1" t="s">
        <v>127</v>
      </c>
      <c r="BK75" s="1" t="s">
        <v>128</v>
      </c>
      <c r="BL75" s="1" t="s">
        <v>129</v>
      </c>
      <c r="BM75" s="1" t="s">
        <v>378</v>
      </c>
      <c r="BN75" s="1" t="s">
        <v>74</v>
      </c>
      <c r="BO75" s="1" t="s">
        <v>74</v>
      </c>
      <c r="BP75" s="1" t="s">
        <v>74</v>
      </c>
      <c r="BQ75" s="1" t="s">
        <v>74</v>
      </c>
      <c r="BR75" s="1" t="s">
        <v>102</v>
      </c>
      <c r="BS75" s="1" t="s">
        <v>1790</v>
      </c>
      <c r="BT75" s="1" t="str">
        <f>HYPERLINK("https%3A%2F%2Fwww.webofscience.com%2Fwos%2Fwoscc%2Ffull-record%2FWOS:000539633500022","View Full Record in Web of Science")</f>
        <v>View Full Record in Web of Science</v>
      </c>
    </row>
    <row r="76" ht="12.75" customHeight="1">
      <c r="A76" s="1" t="s">
        <v>132</v>
      </c>
      <c r="B76" s="1" t="s">
        <v>1791</v>
      </c>
      <c r="C76" s="1" t="s">
        <v>74</v>
      </c>
      <c r="D76" s="1" t="s">
        <v>74</v>
      </c>
      <c r="E76" s="1" t="s">
        <v>74</v>
      </c>
      <c r="F76" s="1" t="s">
        <v>1792</v>
      </c>
      <c r="G76" s="1" t="s">
        <v>74</v>
      </c>
      <c r="H76" s="1" t="s">
        <v>74</v>
      </c>
      <c r="I76" s="1" t="s">
        <v>1793</v>
      </c>
      <c r="J76" s="1" t="s">
        <v>1794</v>
      </c>
      <c r="K76" s="1" t="s">
        <v>74</v>
      </c>
      <c r="L76" s="1" t="s">
        <v>74</v>
      </c>
      <c r="M76" s="1" t="s">
        <v>80</v>
      </c>
      <c r="N76" s="1" t="s">
        <v>136</v>
      </c>
      <c r="O76" s="1" t="s">
        <v>74</v>
      </c>
      <c r="P76" s="1" t="s">
        <v>74</v>
      </c>
      <c r="Q76" s="1" t="s">
        <v>74</v>
      </c>
      <c r="R76" s="1" t="s">
        <v>74</v>
      </c>
      <c r="S76" s="1" t="s">
        <v>74</v>
      </c>
      <c r="T76" s="1" t="s">
        <v>1795</v>
      </c>
      <c r="U76" s="1" t="s">
        <v>1796</v>
      </c>
      <c r="V76" s="1" t="s">
        <v>1797</v>
      </c>
      <c r="W76" s="1" t="s">
        <v>1798</v>
      </c>
      <c r="X76" s="1" t="s">
        <v>1799</v>
      </c>
      <c r="Y76" s="1" t="s">
        <v>1800</v>
      </c>
      <c r="Z76" s="1" t="s">
        <v>1801</v>
      </c>
      <c r="AA76" s="1" t="s">
        <v>1802</v>
      </c>
      <c r="AB76" s="1" t="s">
        <v>1803</v>
      </c>
      <c r="AC76" s="1" t="s">
        <v>1804</v>
      </c>
      <c r="AD76" s="1" t="s">
        <v>1805</v>
      </c>
      <c r="AE76" s="1" t="s">
        <v>1806</v>
      </c>
      <c r="AF76" s="1" t="s">
        <v>74</v>
      </c>
      <c r="AG76" s="1">
        <v>77.0</v>
      </c>
      <c r="AH76" s="1">
        <v>0.0</v>
      </c>
      <c r="AI76" s="1">
        <v>0.0</v>
      </c>
      <c r="AJ76" s="1">
        <v>3.0</v>
      </c>
      <c r="AK76" s="1">
        <v>3.0</v>
      </c>
      <c r="AL76" s="1" t="s">
        <v>1612</v>
      </c>
      <c r="AM76" s="1" t="s">
        <v>1613</v>
      </c>
      <c r="AN76" s="1" t="s">
        <v>1614</v>
      </c>
      <c r="AO76" s="1" t="s">
        <v>1807</v>
      </c>
      <c r="AP76" s="1" t="s">
        <v>1808</v>
      </c>
      <c r="AQ76" s="1" t="s">
        <v>74</v>
      </c>
      <c r="AR76" s="1" t="s">
        <v>1809</v>
      </c>
      <c r="AS76" s="1" t="s">
        <v>1810</v>
      </c>
      <c r="AT76" s="1" t="s">
        <v>74</v>
      </c>
      <c r="AU76" s="1">
        <v>2025.0</v>
      </c>
      <c r="AV76" s="1">
        <v>72.0</v>
      </c>
      <c r="AW76" s="1" t="s">
        <v>74</v>
      </c>
      <c r="AX76" s="1" t="s">
        <v>74</v>
      </c>
      <c r="AY76" s="1" t="s">
        <v>74</v>
      </c>
      <c r="AZ76" s="1" t="s">
        <v>74</v>
      </c>
      <c r="BA76" s="1" t="s">
        <v>74</v>
      </c>
      <c r="BB76" s="1">
        <v>96.0</v>
      </c>
      <c r="BC76" s="1">
        <v>114.0</v>
      </c>
      <c r="BD76" s="1" t="s">
        <v>74</v>
      </c>
      <c r="BE76" s="1" t="s">
        <v>1811</v>
      </c>
      <c r="BF76" s="2" t="str">
        <f>HYPERLINK("http://dx.doi.org/10.1109/TEM.2024.3491940","http://dx.doi.org/10.1109/TEM.2024.3491940")</f>
        <v>http://dx.doi.org/10.1109/TEM.2024.3491940</v>
      </c>
      <c r="BG76" s="1" t="s">
        <v>74</v>
      </c>
      <c r="BH76" s="1" t="s">
        <v>74</v>
      </c>
      <c r="BI76" s="1">
        <v>19.0</v>
      </c>
      <c r="BJ76" s="1" t="s">
        <v>1812</v>
      </c>
      <c r="BK76" s="1" t="s">
        <v>783</v>
      </c>
      <c r="BL76" s="1" t="s">
        <v>1813</v>
      </c>
      <c r="BM76" s="1" t="s">
        <v>1814</v>
      </c>
      <c r="BN76" s="1" t="s">
        <v>74</v>
      </c>
      <c r="BO76" s="1" t="s">
        <v>74</v>
      </c>
      <c r="BP76" s="1" t="s">
        <v>74</v>
      </c>
      <c r="BQ76" s="1" t="s">
        <v>74</v>
      </c>
      <c r="BR76" s="1" t="s">
        <v>102</v>
      </c>
      <c r="BS76" s="1" t="s">
        <v>1815</v>
      </c>
      <c r="BT76" s="1" t="str">
        <f>HYPERLINK("https%3A%2F%2Fwww.webofscience.com%2Fwos%2Fwoscc%2Ffull-record%2FWOS:001392784000005","View Full Record in Web of Science")</f>
        <v>View Full Record in Web of Science</v>
      </c>
    </row>
    <row r="77" ht="12.75" customHeight="1">
      <c r="A77" s="1" t="s">
        <v>132</v>
      </c>
      <c r="B77" s="1" t="s">
        <v>1816</v>
      </c>
      <c r="C77" s="1" t="s">
        <v>74</v>
      </c>
      <c r="D77" s="1" t="s">
        <v>74</v>
      </c>
      <c r="E77" s="1" t="s">
        <v>74</v>
      </c>
      <c r="F77" s="1" t="s">
        <v>1817</v>
      </c>
      <c r="G77" s="1" t="s">
        <v>74</v>
      </c>
      <c r="H77" s="1" t="s">
        <v>74</v>
      </c>
      <c r="I77" s="1" t="s">
        <v>1818</v>
      </c>
      <c r="J77" s="1" t="s">
        <v>1819</v>
      </c>
      <c r="K77" s="1" t="s">
        <v>74</v>
      </c>
      <c r="L77" s="1" t="s">
        <v>74</v>
      </c>
      <c r="M77" s="1" t="s">
        <v>80</v>
      </c>
      <c r="N77" s="1" t="s">
        <v>1010</v>
      </c>
      <c r="O77" s="1" t="s">
        <v>74</v>
      </c>
      <c r="P77" s="1" t="s">
        <v>74</v>
      </c>
      <c r="Q77" s="1" t="s">
        <v>74</v>
      </c>
      <c r="R77" s="1" t="s">
        <v>74</v>
      </c>
      <c r="S77" s="1" t="s">
        <v>74</v>
      </c>
      <c r="T77" s="1" t="s">
        <v>1820</v>
      </c>
      <c r="U77" s="1" t="s">
        <v>1821</v>
      </c>
      <c r="V77" s="1" t="s">
        <v>1822</v>
      </c>
      <c r="W77" s="1" t="s">
        <v>1823</v>
      </c>
      <c r="X77" s="1" t="s">
        <v>1824</v>
      </c>
      <c r="Y77" s="1" t="s">
        <v>1825</v>
      </c>
      <c r="Z77" s="1" t="s">
        <v>1826</v>
      </c>
      <c r="AA77" s="1" t="s">
        <v>74</v>
      </c>
      <c r="AB77" s="1" t="s">
        <v>1827</v>
      </c>
      <c r="AC77" s="1" t="s">
        <v>1828</v>
      </c>
      <c r="AD77" s="1" t="s">
        <v>1829</v>
      </c>
      <c r="AE77" s="1" t="s">
        <v>1830</v>
      </c>
      <c r="AF77" s="1" t="s">
        <v>74</v>
      </c>
      <c r="AG77" s="1">
        <v>109.0</v>
      </c>
      <c r="AH77" s="1">
        <v>27.0</v>
      </c>
      <c r="AI77" s="1">
        <v>27.0</v>
      </c>
      <c r="AJ77" s="1">
        <v>15.0</v>
      </c>
      <c r="AK77" s="1">
        <v>80.0</v>
      </c>
      <c r="AL77" s="1" t="s">
        <v>1831</v>
      </c>
      <c r="AM77" s="1" t="s">
        <v>349</v>
      </c>
      <c r="AN77" s="1" t="s">
        <v>1832</v>
      </c>
      <c r="AO77" s="1" t="s">
        <v>74</v>
      </c>
      <c r="AP77" s="1" t="s">
        <v>1833</v>
      </c>
      <c r="AQ77" s="1" t="s">
        <v>74</v>
      </c>
      <c r="AR77" s="1" t="s">
        <v>1819</v>
      </c>
      <c r="AS77" s="1" t="s">
        <v>1834</v>
      </c>
      <c r="AT77" s="1" t="s">
        <v>1835</v>
      </c>
      <c r="AU77" s="1">
        <v>2022.0</v>
      </c>
      <c r="AV77" s="1">
        <v>22.0</v>
      </c>
      <c r="AW77" s="1">
        <v>1.0</v>
      </c>
      <c r="AX77" s="1" t="s">
        <v>74</v>
      </c>
      <c r="AY77" s="1" t="s">
        <v>74</v>
      </c>
      <c r="AZ77" s="1" t="s">
        <v>74</v>
      </c>
      <c r="BA77" s="1" t="s">
        <v>74</v>
      </c>
      <c r="BB77" s="1" t="s">
        <v>74</v>
      </c>
      <c r="BC77" s="1" t="s">
        <v>74</v>
      </c>
      <c r="BD77" s="1">
        <v>2146.0</v>
      </c>
      <c r="BE77" s="1" t="s">
        <v>1836</v>
      </c>
      <c r="BF77" s="2" t="str">
        <f>HYPERLINK("http://dx.doi.org/10.1186/s12889-022-14422-z","http://dx.doi.org/10.1186/s12889-022-14422-z")</f>
        <v>http://dx.doi.org/10.1186/s12889-022-14422-z</v>
      </c>
      <c r="BG77" s="1" t="s">
        <v>74</v>
      </c>
      <c r="BH77" s="1" t="s">
        <v>74</v>
      </c>
      <c r="BI77" s="1">
        <v>14.0</v>
      </c>
      <c r="BJ77" s="1" t="s">
        <v>1837</v>
      </c>
      <c r="BK77" s="1" t="s">
        <v>149</v>
      </c>
      <c r="BL77" s="1" t="s">
        <v>1837</v>
      </c>
      <c r="BM77" s="1" t="s">
        <v>1838</v>
      </c>
      <c r="BN77" s="1">
        <v>3.641901E7</v>
      </c>
      <c r="BO77" s="1" t="s">
        <v>1161</v>
      </c>
      <c r="BP77" s="1" t="s">
        <v>74</v>
      </c>
      <c r="BQ77" s="1" t="s">
        <v>74</v>
      </c>
      <c r="BR77" s="1" t="s">
        <v>102</v>
      </c>
      <c r="BS77" s="1" t="s">
        <v>1839</v>
      </c>
      <c r="BT77" s="1" t="str">
        <f>HYPERLINK("https%3A%2F%2Fwww.webofscience.com%2Fwos%2Fwoscc%2Ffull-record%2FWOS:000886979900001","View Full Record in Web of Science")</f>
        <v>View Full Record in Web of Science</v>
      </c>
    </row>
    <row r="78" ht="12.75" customHeight="1">
      <c r="A78" s="1" t="s">
        <v>72</v>
      </c>
      <c r="B78" s="1" t="s">
        <v>1840</v>
      </c>
      <c r="C78" s="1" t="s">
        <v>74</v>
      </c>
      <c r="D78" s="1" t="s">
        <v>105</v>
      </c>
      <c r="E78" s="1" t="s">
        <v>74</v>
      </c>
      <c r="F78" s="1" t="s">
        <v>1841</v>
      </c>
      <c r="G78" s="1" t="s">
        <v>74</v>
      </c>
      <c r="H78" s="1" t="s">
        <v>74</v>
      </c>
      <c r="I78" s="1" t="s">
        <v>1842</v>
      </c>
      <c r="J78" s="1" t="s">
        <v>108</v>
      </c>
      <c r="K78" s="1" t="s">
        <v>74</v>
      </c>
      <c r="L78" s="1" t="s">
        <v>74</v>
      </c>
      <c r="M78" s="1" t="s">
        <v>80</v>
      </c>
      <c r="N78" s="1" t="s">
        <v>81</v>
      </c>
      <c r="O78" s="1" t="s">
        <v>109</v>
      </c>
      <c r="P78" s="1" t="s">
        <v>110</v>
      </c>
      <c r="Q78" s="1" t="s">
        <v>111</v>
      </c>
      <c r="R78" s="1" t="s">
        <v>112</v>
      </c>
      <c r="S78" s="1" t="s">
        <v>113</v>
      </c>
      <c r="T78" s="1" t="s">
        <v>1843</v>
      </c>
      <c r="U78" s="1" t="s">
        <v>74</v>
      </c>
      <c r="V78" s="1" t="s">
        <v>1844</v>
      </c>
      <c r="W78" s="1" t="s">
        <v>1845</v>
      </c>
      <c r="X78" s="1" t="s">
        <v>1846</v>
      </c>
      <c r="Y78" s="1" t="s">
        <v>1847</v>
      </c>
      <c r="Z78" s="1" t="s">
        <v>1848</v>
      </c>
      <c r="AA78" s="1" t="s">
        <v>1849</v>
      </c>
      <c r="AB78" s="1" t="s">
        <v>74</v>
      </c>
      <c r="AC78" s="1" t="s">
        <v>74</v>
      </c>
      <c r="AD78" s="1" t="s">
        <v>74</v>
      </c>
      <c r="AE78" s="1" t="s">
        <v>74</v>
      </c>
      <c r="AF78" s="1" t="s">
        <v>74</v>
      </c>
      <c r="AG78" s="1">
        <v>45.0</v>
      </c>
      <c r="AH78" s="1">
        <v>0.0</v>
      </c>
      <c r="AI78" s="1">
        <v>0.0</v>
      </c>
      <c r="AJ78" s="1">
        <v>2.0</v>
      </c>
      <c r="AK78" s="1">
        <v>5.0</v>
      </c>
      <c r="AL78" s="1" t="s">
        <v>122</v>
      </c>
      <c r="AM78" s="1" t="s">
        <v>123</v>
      </c>
      <c r="AN78" s="1" t="s">
        <v>124</v>
      </c>
      <c r="AO78" s="1" t="s">
        <v>74</v>
      </c>
      <c r="AP78" s="1" t="s">
        <v>74</v>
      </c>
      <c r="AQ78" s="1" t="s">
        <v>125</v>
      </c>
      <c r="AR78" s="1" t="s">
        <v>74</v>
      </c>
      <c r="AS78" s="1" t="s">
        <v>74</v>
      </c>
      <c r="AT78" s="1" t="s">
        <v>74</v>
      </c>
      <c r="AU78" s="1">
        <v>2021.0</v>
      </c>
      <c r="AV78" s="1" t="s">
        <v>74</v>
      </c>
      <c r="AW78" s="1" t="s">
        <v>74</v>
      </c>
      <c r="AX78" s="1" t="s">
        <v>74</v>
      </c>
      <c r="AY78" s="1" t="s">
        <v>74</v>
      </c>
      <c r="AZ78" s="1" t="s">
        <v>74</v>
      </c>
      <c r="BA78" s="1" t="s">
        <v>74</v>
      </c>
      <c r="BB78" s="1">
        <v>74.0</v>
      </c>
      <c r="BC78" s="1">
        <v>81.0</v>
      </c>
      <c r="BD78" s="1" t="s">
        <v>74</v>
      </c>
      <c r="BE78" s="1" t="s">
        <v>1850</v>
      </c>
      <c r="BF78" s="2" t="str">
        <f>HYPERLINK("http://dx.doi.org/10.34190/EAIR.21.030","http://dx.doi.org/10.34190/EAIR.21.030")</f>
        <v>http://dx.doi.org/10.34190/EAIR.21.030</v>
      </c>
      <c r="BG78" s="1" t="s">
        <v>74</v>
      </c>
      <c r="BH78" s="1" t="s">
        <v>74</v>
      </c>
      <c r="BI78" s="1">
        <v>8.0</v>
      </c>
      <c r="BJ78" s="1" t="s">
        <v>127</v>
      </c>
      <c r="BK78" s="1" t="s">
        <v>128</v>
      </c>
      <c r="BL78" s="1" t="s">
        <v>129</v>
      </c>
      <c r="BM78" s="1" t="s">
        <v>130</v>
      </c>
      <c r="BN78" s="1" t="s">
        <v>74</v>
      </c>
      <c r="BO78" s="1" t="s">
        <v>74</v>
      </c>
      <c r="BP78" s="1" t="s">
        <v>74</v>
      </c>
      <c r="BQ78" s="1" t="s">
        <v>74</v>
      </c>
      <c r="BR78" s="1" t="s">
        <v>102</v>
      </c>
      <c r="BS78" s="1" t="s">
        <v>1851</v>
      </c>
      <c r="BT78" s="1" t="str">
        <f>HYPERLINK("https%3A%2F%2Fwww.webofscience.com%2Fwos%2Fwoscc%2Ffull-record%2FWOS:000838033200010","View Full Record in Web of Science")</f>
        <v>View Full Record in Web of Science</v>
      </c>
    </row>
    <row r="79" ht="12.75" customHeight="1">
      <c r="A79" s="1" t="s">
        <v>132</v>
      </c>
      <c r="B79" s="1" t="s">
        <v>1852</v>
      </c>
      <c r="C79" s="1" t="s">
        <v>74</v>
      </c>
      <c r="D79" s="1" t="s">
        <v>74</v>
      </c>
      <c r="E79" s="1" t="s">
        <v>74</v>
      </c>
      <c r="F79" s="1" t="s">
        <v>1853</v>
      </c>
      <c r="G79" s="1" t="s">
        <v>74</v>
      </c>
      <c r="H79" s="1" t="s">
        <v>74</v>
      </c>
      <c r="I79" s="1" t="s">
        <v>1854</v>
      </c>
      <c r="J79" s="1" t="s">
        <v>852</v>
      </c>
      <c r="K79" s="1" t="s">
        <v>74</v>
      </c>
      <c r="L79" s="1" t="s">
        <v>74</v>
      </c>
      <c r="M79" s="1" t="s">
        <v>80</v>
      </c>
      <c r="N79" s="1" t="s">
        <v>136</v>
      </c>
      <c r="O79" s="1" t="s">
        <v>74</v>
      </c>
      <c r="P79" s="1" t="s">
        <v>74</v>
      </c>
      <c r="Q79" s="1" t="s">
        <v>74</v>
      </c>
      <c r="R79" s="1" t="s">
        <v>74</v>
      </c>
      <c r="S79" s="1" t="s">
        <v>74</v>
      </c>
      <c r="T79" s="1" t="s">
        <v>1855</v>
      </c>
      <c r="U79" s="1" t="s">
        <v>1856</v>
      </c>
      <c r="V79" s="1" t="s">
        <v>1857</v>
      </c>
      <c r="W79" s="1" t="s">
        <v>1858</v>
      </c>
      <c r="X79" s="1" t="s">
        <v>1859</v>
      </c>
      <c r="Y79" s="1" t="s">
        <v>1860</v>
      </c>
      <c r="Z79" s="1" t="s">
        <v>1861</v>
      </c>
      <c r="AA79" s="1" t="s">
        <v>1862</v>
      </c>
      <c r="AB79" s="1" t="s">
        <v>1863</v>
      </c>
      <c r="AC79" s="1" t="s">
        <v>74</v>
      </c>
      <c r="AD79" s="1" t="s">
        <v>74</v>
      </c>
      <c r="AE79" s="1" t="s">
        <v>74</v>
      </c>
      <c r="AF79" s="1" t="s">
        <v>74</v>
      </c>
      <c r="AG79" s="1">
        <v>61.0</v>
      </c>
      <c r="AH79" s="1">
        <v>39.0</v>
      </c>
      <c r="AI79" s="1">
        <v>43.0</v>
      </c>
      <c r="AJ79" s="1">
        <v>65.0</v>
      </c>
      <c r="AK79" s="1">
        <v>188.0</v>
      </c>
      <c r="AL79" s="1" t="s">
        <v>192</v>
      </c>
      <c r="AM79" s="1" t="s">
        <v>864</v>
      </c>
      <c r="AN79" s="1" t="s">
        <v>865</v>
      </c>
      <c r="AO79" s="1" t="s">
        <v>866</v>
      </c>
      <c r="AP79" s="1" t="s">
        <v>867</v>
      </c>
      <c r="AQ79" s="1" t="s">
        <v>74</v>
      </c>
      <c r="AR79" s="1" t="s">
        <v>868</v>
      </c>
      <c r="AS79" s="1" t="s">
        <v>869</v>
      </c>
      <c r="AT79" s="1" t="s">
        <v>870</v>
      </c>
      <c r="AU79" s="1">
        <v>2022.0</v>
      </c>
      <c r="AV79" s="1">
        <v>308.0</v>
      </c>
      <c r="AW79" s="1" t="s">
        <v>871</v>
      </c>
      <c r="AX79" s="1" t="s">
        <v>74</v>
      </c>
      <c r="AY79" s="1" t="s">
        <v>74</v>
      </c>
      <c r="AZ79" s="1" t="s">
        <v>474</v>
      </c>
      <c r="BA79" s="1" t="s">
        <v>74</v>
      </c>
      <c r="BB79" s="1">
        <v>373.0</v>
      </c>
      <c r="BC79" s="1">
        <v>388.0</v>
      </c>
      <c r="BD79" s="1" t="s">
        <v>74</v>
      </c>
      <c r="BE79" s="1" t="s">
        <v>1864</v>
      </c>
      <c r="BF79" s="2" t="str">
        <f>HYPERLINK("http://dx.doi.org/10.1007/s10479-020-03862-8","http://dx.doi.org/10.1007/s10479-020-03862-8")</f>
        <v>http://dx.doi.org/10.1007/s10479-020-03862-8</v>
      </c>
      <c r="BG79" s="1" t="s">
        <v>74</v>
      </c>
      <c r="BH79" s="1" t="s">
        <v>1865</v>
      </c>
      <c r="BI79" s="1">
        <v>16.0</v>
      </c>
      <c r="BJ79" s="1" t="s">
        <v>477</v>
      </c>
      <c r="BK79" s="1" t="s">
        <v>783</v>
      </c>
      <c r="BL79" s="1" t="s">
        <v>477</v>
      </c>
      <c r="BM79" s="1" t="s">
        <v>874</v>
      </c>
      <c r="BN79" s="1" t="s">
        <v>74</v>
      </c>
      <c r="BO79" s="1" t="s">
        <v>74</v>
      </c>
      <c r="BP79" s="1" t="s">
        <v>74</v>
      </c>
      <c r="BQ79" s="1" t="s">
        <v>74</v>
      </c>
      <c r="BR79" s="1" t="s">
        <v>102</v>
      </c>
      <c r="BS79" s="1" t="s">
        <v>1866</v>
      </c>
      <c r="BT79" s="1" t="str">
        <f>HYPERLINK("https%3A%2F%2Fwww.webofscience.com%2Fwos%2Fwoscc%2Ffull-record%2FWOS:000617081100001","View Full Record in Web of Science")</f>
        <v>View Full Record in Web of Science</v>
      </c>
    </row>
    <row r="80" ht="12.75" customHeight="1">
      <c r="A80" s="1" t="s">
        <v>132</v>
      </c>
      <c r="B80" s="1" t="s">
        <v>1867</v>
      </c>
      <c r="C80" s="1" t="s">
        <v>74</v>
      </c>
      <c r="D80" s="1" t="s">
        <v>74</v>
      </c>
      <c r="E80" s="1" t="s">
        <v>74</v>
      </c>
      <c r="F80" s="1" t="s">
        <v>1868</v>
      </c>
      <c r="G80" s="1" t="s">
        <v>74</v>
      </c>
      <c r="H80" s="1" t="s">
        <v>74</v>
      </c>
      <c r="I80" s="1" t="s">
        <v>1869</v>
      </c>
      <c r="J80" s="1" t="s">
        <v>1870</v>
      </c>
      <c r="K80" s="1" t="s">
        <v>74</v>
      </c>
      <c r="L80" s="1" t="s">
        <v>74</v>
      </c>
      <c r="M80" s="1" t="s">
        <v>80</v>
      </c>
      <c r="N80" s="1" t="s">
        <v>136</v>
      </c>
      <c r="O80" s="1" t="s">
        <v>74</v>
      </c>
      <c r="P80" s="1" t="s">
        <v>74</v>
      </c>
      <c r="Q80" s="1" t="s">
        <v>74</v>
      </c>
      <c r="R80" s="1" t="s">
        <v>74</v>
      </c>
      <c r="S80" s="1" t="s">
        <v>74</v>
      </c>
      <c r="T80" s="1" t="s">
        <v>1871</v>
      </c>
      <c r="U80" s="1" t="s">
        <v>1872</v>
      </c>
      <c r="V80" s="1" t="s">
        <v>1873</v>
      </c>
      <c r="W80" s="1" t="s">
        <v>1874</v>
      </c>
      <c r="X80" s="1" t="s">
        <v>74</v>
      </c>
      <c r="Y80" s="1" t="s">
        <v>1875</v>
      </c>
      <c r="Z80" s="1" t="s">
        <v>1876</v>
      </c>
      <c r="AA80" s="1" t="s">
        <v>74</v>
      </c>
      <c r="AB80" s="1" t="s">
        <v>74</v>
      </c>
      <c r="AC80" s="1" t="s">
        <v>74</v>
      </c>
      <c r="AD80" s="1" t="s">
        <v>74</v>
      </c>
      <c r="AE80" s="1" t="s">
        <v>74</v>
      </c>
      <c r="AF80" s="1" t="s">
        <v>74</v>
      </c>
      <c r="AG80" s="1">
        <v>132.0</v>
      </c>
      <c r="AH80" s="1">
        <v>0.0</v>
      </c>
      <c r="AI80" s="1">
        <v>0.0</v>
      </c>
      <c r="AJ80" s="1">
        <v>9.0</v>
      </c>
      <c r="AK80" s="1">
        <v>9.0</v>
      </c>
      <c r="AL80" s="1" t="s">
        <v>1089</v>
      </c>
      <c r="AM80" s="1" t="s">
        <v>1090</v>
      </c>
      <c r="AN80" s="1" t="s">
        <v>1091</v>
      </c>
      <c r="AO80" s="1" t="s">
        <v>1877</v>
      </c>
      <c r="AP80" s="1" t="s">
        <v>1878</v>
      </c>
      <c r="AQ80" s="1" t="s">
        <v>74</v>
      </c>
      <c r="AR80" s="1" t="s">
        <v>1879</v>
      </c>
      <c r="AS80" s="1" t="s">
        <v>1880</v>
      </c>
      <c r="AT80" s="1" t="s">
        <v>1051</v>
      </c>
      <c r="AU80" s="1">
        <v>2024.0</v>
      </c>
      <c r="AV80" s="1">
        <v>138.0</v>
      </c>
      <c r="AW80" s="1" t="s">
        <v>74</v>
      </c>
      <c r="AX80" s="1" t="s">
        <v>1881</v>
      </c>
      <c r="AY80" s="1" t="s">
        <v>74</v>
      </c>
      <c r="AZ80" s="1" t="s">
        <v>74</v>
      </c>
      <c r="BA80" s="1" t="s">
        <v>74</v>
      </c>
      <c r="BB80" s="1" t="s">
        <v>74</v>
      </c>
      <c r="BC80" s="1" t="s">
        <v>74</v>
      </c>
      <c r="BD80" s="1">
        <v>109369.0</v>
      </c>
      <c r="BE80" s="1" t="s">
        <v>1882</v>
      </c>
      <c r="BF80" s="2" t="str">
        <f>HYPERLINK("http://dx.doi.org/10.1016/j.engappai.2024.109369","http://dx.doi.org/10.1016/j.engappai.2024.109369")</f>
        <v>http://dx.doi.org/10.1016/j.engappai.2024.109369</v>
      </c>
      <c r="BG80" s="1" t="s">
        <v>74</v>
      </c>
      <c r="BH80" s="1" t="s">
        <v>1883</v>
      </c>
      <c r="BI80" s="1">
        <v>18.0</v>
      </c>
      <c r="BJ80" s="1" t="s">
        <v>1884</v>
      </c>
      <c r="BK80" s="1" t="s">
        <v>149</v>
      </c>
      <c r="BL80" s="1" t="s">
        <v>1074</v>
      </c>
      <c r="BM80" s="1" t="s">
        <v>1885</v>
      </c>
      <c r="BN80" s="1" t="s">
        <v>74</v>
      </c>
      <c r="BO80" s="1" t="s">
        <v>74</v>
      </c>
      <c r="BP80" s="1" t="s">
        <v>74</v>
      </c>
      <c r="BQ80" s="1" t="s">
        <v>74</v>
      </c>
      <c r="BR80" s="1" t="s">
        <v>102</v>
      </c>
      <c r="BS80" s="1" t="s">
        <v>1886</v>
      </c>
      <c r="BT80" s="1" t="str">
        <f>HYPERLINK("https%3A%2F%2Fwww.webofscience.com%2Fwos%2Fwoscc%2Ffull-record%2FWOS:001327786200001","View Full Record in Web of Science")</f>
        <v>View Full Record in Web of Science</v>
      </c>
    </row>
    <row r="81" ht="12.75" customHeight="1">
      <c r="A81" s="1" t="s">
        <v>132</v>
      </c>
      <c r="B81" s="1" t="s">
        <v>1887</v>
      </c>
      <c r="C81" s="1" t="s">
        <v>74</v>
      </c>
      <c r="D81" s="1" t="s">
        <v>74</v>
      </c>
      <c r="E81" s="1" t="s">
        <v>74</v>
      </c>
      <c r="F81" s="1" t="s">
        <v>1888</v>
      </c>
      <c r="G81" s="1" t="s">
        <v>74</v>
      </c>
      <c r="H81" s="1" t="s">
        <v>74</v>
      </c>
      <c r="I81" s="1" t="s">
        <v>1889</v>
      </c>
      <c r="J81" s="1" t="s">
        <v>1890</v>
      </c>
      <c r="K81" s="1" t="s">
        <v>74</v>
      </c>
      <c r="L81" s="1" t="s">
        <v>74</v>
      </c>
      <c r="M81" s="1" t="s">
        <v>80</v>
      </c>
      <c r="N81" s="1" t="s">
        <v>1010</v>
      </c>
      <c r="O81" s="1" t="s">
        <v>74</v>
      </c>
      <c r="P81" s="1" t="s">
        <v>74</v>
      </c>
      <c r="Q81" s="1" t="s">
        <v>74</v>
      </c>
      <c r="R81" s="1" t="s">
        <v>74</v>
      </c>
      <c r="S81" s="1" t="s">
        <v>74</v>
      </c>
      <c r="T81" s="1" t="s">
        <v>1891</v>
      </c>
      <c r="U81" s="1" t="s">
        <v>1892</v>
      </c>
      <c r="V81" s="1" t="s">
        <v>1893</v>
      </c>
      <c r="W81" s="1" t="s">
        <v>1894</v>
      </c>
      <c r="X81" s="1" t="s">
        <v>1895</v>
      </c>
      <c r="Y81" s="1" t="s">
        <v>1896</v>
      </c>
      <c r="Z81" s="1" t="s">
        <v>1897</v>
      </c>
      <c r="AA81" s="1" t="s">
        <v>1898</v>
      </c>
      <c r="AB81" s="1" t="s">
        <v>74</v>
      </c>
      <c r="AC81" s="1" t="s">
        <v>74</v>
      </c>
      <c r="AD81" s="1" t="s">
        <v>74</v>
      </c>
      <c r="AE81" s="1" t="s">
        <v>74</v>
      </c>
      <c r="AF81" s="1" t="s">
        <v>74</v>
      </c>
      <c r="AG81" s="1">
        <v>105.0</v>
      </c>
      <c r="AH81" s="1">
        <v>2.0</v>
      </c>
      <c r="AI81" s="1">
        <v>2.0</v>
      </c>
      <c r="AJ81" s="1">
        <v>21.0</v>
      </c>
      <c r="AK81" s="1">
        <v>21.0</v>
      </c>
      <c r="AL81" s="1" t="s">
        <v>1020</v>
      </c>
      <c r="AM81" s="1" t="s">
        <v>1021</v>
      </c>
      <c r="AN81" s="1" t="s">
        <v>1022</v>
      </c>
      <c r="AO81" s="1" t="s">
        <v>1899</v>
      </c>
      <c r="AP81" s="1" t="s">
        <v>1900</v>
      </c>
      <c r="AQ81" s="1" t="s">
        <v>74</v>
      </c>
      <c r="AR81" s="1" t="s">
        <v>1901</v>
      </c>
      <c r="AS81" s="1" t="s">
        <v>1902</v>
      </c>
      <c r="AT81" s="1" t="s">
        <v>1709</v>
      </c>
      <c r="AU81" s="1">
        <v>2024.0</v>
      </c>
      <c r="AV81" s="1">
        <v>36.0</v>
      </c>
      <c r="AW81" s="1">
        <v>5.0</v>
      </c>
      <c r="AX81" s="1" t="s">
        <v>74</v>
      </c>
      <c r="AY81" s="1" t="s">
        <v>74</v>
      </c>
      <c r="AZ81" s="1" t="s">
        <v>74</v>
      </c>
      <c r="BA81" s="1" t="s">
        <v>74</v>
      </c>
      <c r="BB81" s="1">
        <v>437.0</v>
      </c>
      <c r="BC81" s="1">
        <v>448.0</v>
      </c>
      <c r="BD81" s="1" t="s">
        <v>74</v>
      </c>
      <c r="BE81" s="1" t="s">
        <v>1903</v>
      </c>
      <c r="BF81" s="2" t="str">
        <f>HYPERLINK("http://dx.doi.org/10.1097/CCO.0000000000001068","http://dx.doi.org/10.1097/CCO.0000000000001068")</f>
        <v>http://dx.doi.org/10.1097/CCO.0000000000001068</v>
      </c>
      <c r="BG81" s="1" t="s">
        <v>74</v>
      </c>
      <c r="BH81" s="1" t="s">
        <v>74</v>
      </c>
      <c r="BI81" s="1">
        <v>12.0</v>
      </c>
      <c r="BJ81" s="1" t="s">
        <v>1904</v>
      </c>
      <c r="BK81" s="1" t="s">
        <v>149</v>
      </c>
      <c r="BL81" s="1" t="s">
        <v>1904</v>
      </c>
      <c r="BM81" s="1" t="s">
        <v>1905</v>
      </c>
      <c r="BN81" s="1">
        <v>3.9007164E7</v>
      </c>
      <c r="BO81" s="1" t="s">
        <v>74</v>
      </c>
      <c r="BP81" s="1" t="s">
        <v>74</v>
      </c>
      <c r="BQ81" s="1" t="s">
        <v>74</v>
      </c>
      <c r="BR81" s="1" t="s">
        <v>102</v>
      </c>
      <c r="BS81" s="1" t="s">
        <v>1906</v>
      </c>
      <c r="BT81" s="1" t="str">
        <f>HYPERLINK("https%3A%2F%2Fwww.webofscience.com%2Fwos%2Fwoscc%2Ffull-record%2FWOS:001297242900011","View Full Record in Web of Science")</f>
        <v>View Full Record in Web of Science</v>
      </c>
    </row>
    <row r="82" ht="12.75" customHeight="1">
      <c r="A82" s="1" t="s">
        <v>132</v>
      </c>
      <c r="B82" s="1" t="s">
        <v>1907</v>
      </c>
      <c r="C82" s="1" t="s">
        <v>74</v>
      </c>
      <c r="D82" s="1" t="s">
        <v>74</v>
      </c>
      <c r="E82" s="1" t="s">
        <v>74</v>
      </c>
      <c r="F82" s="1" t="s">
        <v>1908</v>
      </c>
      <c r="G82" s="1" t="s">
        <v>74</v>
      </c>
      <c r="H82" s="1" t="s">
        <v>74</v>
      </c>
      <c r="I82" s="1" t="s">
        <v>1909</v>
      </c>
      <c r="J82" s="1" t="s">
        <v>1910</v>
      </c>
      <c r="K82" s="1" t="s">
        <v>74</v>
      </c>
      <c r="L82" s="1" t="s">
        <v>74</v>
      </c>
      <c r="M82" s="1" t="s">
        <v>80</v>
      </c>
      <c r="N82" s="1" t="s">
        <v>338</v>
      </c>
      <c r="O82" s="1" t="s">
        <v>74</v>
      </c>
      <c r="P82" s="1" t="s">
        <v>74</v>
      </c>
      <c r="Q82" s="1" t="s">
        <v>74</v>
      </c>
      <c r="R82" s="1" t="s">
        <v>74</v>
      </c>
      <c r="S82" s="1" t="s">
        <v>74</v>
      </c>
      <c r="T82" s="1" t="s">
        <v>1911</v>
      </c>
      <c r="U82" s="1" t="s">
        <v>1912</v>
      </c>
      <c r="V82" s="1" t="s">
        <v>1913</v>
      </c>
      <c r="W82" s="1" t="s">
        <v>1914</v>
      </c>
      <c r="X82" s="1" t="s">
        <v>1915</v>
      </c>
      <c r="Y82" s="1" t="s">
        <v>1916</v>
      </c>
      <c r="Z82" s="1" t="s">
        <v>1917</v>
      </c>
      <c r="AA82" s="1" t="s">
        <v>1918</v>
      </c>
      <c r="AB82" s="1" t="s">
        <v>1919</v>
      </c>
      <c r="AC82" s="1" t="s">
        <v>1920</v>
      </c>
      <c r="AD82" s="1" t="s">
        <v>1921</v>
      </c>
      <c r="AE82" s="1" t="s">
        <v>1922</v>
      </c>
      <c r="AF82" s="1" t="s">
        <v>74</v>
      </c>
      <c r="AG82" s="1">
        <v>66.0</v>
      </c>
      <c r="AH82" s="1">
        <v>0.0</v>
      </c>
      <c r="AI82" s="1">
        <v>0.0</v>
      </c>
      <c r="AJ82" s="1">
        <v>15.0</v>
      </c>
      <c r="AK82" s="1">
        <v>15.0</v>
      </c>
      <c r="AL82" s="1" t="s">
        <v>192</v>
      </c>
      <c r="AM82" s="1" t="s">
        <v>193</v>
      </c>
      <c r="AN82" s="1" t="s">
        <v>194</v>
      </c>
      <c r="AO82" s="1" t="s">
        <v>1923</v>
      </c>
      <c r="AP82" s="1" t="s">
        <v>1924</v>
      </c>
      <c r="AQ82" s="1" t="s">
        <v>74</v>
      </c>
      <c r="AR82" s="1" t="s">
        <v>1925</v>
      </c>
      <c r="AS82" s="1" t="s">
        <v>1926</v>
      </c>
      <c r="AT82" s="1" t="s">
        <v>1927</v>
      </c>
      <c r="AU82" s="1">
        <v>2024.0</v>
      </c>
      <c r="AV82" s="1" t="s">
        <v>74</v>
      </c>
      <c r="AW82" s="1" t="s">
        <v>74</v>
      </c>
      <c r="AX82" s="1" t="s">
        <v>74</v>
      </c>
      <c r="AY82" s="1" t="s">
        <v>74</v>
      </c>
      <c r="AZ82" s="1" t="s">
        <v>74</v>
      </c>
      <c r="BA82" s="1" t="s">
        <v>74</v>
      </c>
      <c r="BB82" s="1" t="s">
        <v>74</v>
      </c>
      <c r="BC82" s="1" t="s">
        <v>74</v>
      </c>
      <c r="BD82" s="1" t="s">
        <v>74</v>
      </c>
      <c r="BE82" s="1" t="s">
        <v>1928</v>
      </c>
      <c r="BF82" s="2" t="str">
        <f>HYPERLINK("http://dx.doi.org/10.1007/s11036-024-02368-y","http://dx.doi.org/10.1007/s11036-024-02368-y")</f>
        <v>http://dx.doi.org/10.1007/s11036-024-02368-y</v>
      </c>
      <c r="BG82" s="1" t="s">
        <v>74</v>
      </c>
      <c r="BH82" s="1" t="s">
        <v>1929</v>
      </c>
      <c r="BI82" s="1">
        <v>15.0</v>
      </c>
      <c r="BJ82" s="1" t="s">
        <v>1930</v>
      </c>
      <c r="BK82" s="1" t="s">
        <v>149</v>
      </c>
      <c r="BL82" s="1" t="s">
        <v>846</v>
      </c>
      <c r="BM82" s="1" t="s">
        <v>1931</v>
      </c>
      <c r="BN82" s="1" t="s">
        <v>74</v>
      </c>
      <c r="BO82" s="1" t="s">
        <v>306</v>
      </c>
      <c r="BP82" s="1" t="s">
        <v>74</v>
      </c>
      <c r="BQ82" s="1" t="s">
        <v>74</v>
      </c>
      <c r="BR82" s="1" t="s">
        <v>102</v>
      </c>
      <c r="BS82" s="1" t="s">
        <v>1932</v>
      </c>
      <c r="BT82" s="1" t="str">
        <f>HYPERLINK("https%3A%2F%2Fwww.webofscience.com%2Fwos%2Fwoscc%2Ffull-record%2FWOS:001275423600001","View Full Record in Web of Science")</f>
        <v>View Full Record in Web of Science</v>
      </c>
    </row>
    <row r="83" ht="12.75" customHeight="1">
      <c r="A83" s="1" t="s">
        <v>132</v>
      </c>
      <c r="B83" s="1" t="s">
        <v>1933</v>
      </c>
      <c r="C83" s="1" t="s">
        <v>74</v>
      </c>
      <c r="D83" s="1" t="s">
        <v>74</v>
      </c>
      <c r="E83" s="1" t="s">
        <v>74</v>
      </c>
      <c r="F83" s="1" t="s">
        <v>1934</v>
      </c>
      <c r="G83" s="1" t="s">
        <v>74</v>
      </c>
      <c r="H83" s="1" t="s">
        <v>74</v>
      </c>
      <c r="I83" s="1" t="s">
        <v>1935</v>
      </c>
      <c r="J83" s="1" t="s">
        <v>1936</v>
      </c>
      <c r="K83" s="1" t="s">
        <v>74</v>
      </c>
      <c r="L83" s="1" t="s">
        <v>74</v>
      </c>
      <c r="M83" s="1" t="s">
        <v>80</v>
      </c>
      <c r="N83" s="1" t="s">
        <v>1010</v>
      </c>
      <c r="O83" s="1" t="s">
        <v>74</v>
      </c>
      <c r="P83" s="1" t="s">
        <v>74</v>
      </c>
      <c r="Q83" s="1" t="s">
        <v>74</v>
      </c>
      <c r="R83" s="1" t="s">
        <v>74</v>
      </c>
      <c r="S83" s="1" t="s">
        <v>74</v>
      </c>
      <c r="T83" s="1" t="s">
        <v>1937</v>
      </c>
      <c r="U83" s="1" t="s">
        <v>1938</v>
      </c>
      <c r="V83" s="1" t="s">
        <v>1939</v>
      </c>
      <c r="W83" s="1" t="s">
        <v>1940</v>
      </c>
      <c r="X83" s="1" t="s">
        <v>1941</v>
      </c>
      <c r="Y83" s="1" t="s">
        <v>1942</v>
      </c>
      <c r="Z83" s="1" t="s">
        <v>1943</v>
      </c>
      <c r="AA83" s="1" t="s">
        <v>74</v>
      </c>
      <c r="AB83" s="1" t="s">
        <v>74</v>
      </c>
      <c r="AC83" s="1" t="s">
        <v>74</v>
      </c>
      <c r="AD83" s="1" t="s">
        <v>74</v>
      </c>
      <c r="AE83" s="1" t="s">
        <v>74</v>
      </c>
      <c r="AF83" s="1" t="s">
        <v>74</v>
      </c>
      <c r="AG83" s="1">
        <v>14.0</v>
      </c>
      <c r="AH83" s="1">
        <v>1.0</v>
      </c>
      <c r="AI83" s="1">
        <v>1.0</v>
      </c>
      <c r="AJ83" s="1">
        <v>0.0</v>
      </c>
      <c r="AK83" s="1">
        <v>8.0</v>
      </c>
      <c r="AL83" s="1" t="s">
        <v>1944</v>
      </c>
      <c r="AM83" s="1" t="s">
        <v>1945</v>
      </c>
      <c r="AN83" s="1" t="s">
        <v>1946</v>
      </c>
      <c r="AO83" s="1" t="s">
        <v>1947</v>
      </c>
      <c r="AP83" s="1" t="s">
        <v>1948</v>
      </c>
      <c r="AQ83" s="1" t="s">
        <v>74</v>
      </c>
      <c r="AR83" s="1" t="s">
        <v>1949</v>
      </c>
      <c r="AS83" s="1" t="s">
        <v>1950</v>
      </c>
      <c r="AT83" s="1" t="s">
        <v>1253</v>
      </c>
      <c r="AU83" s="1">
        <v>2019.0</v>
      </c>
      <c r="AV83" s="1">
        <v>29.0</v>
      </c>
      <c r="AW83" s="1" t="s">
        <v>74</v>
      </c>
      <c r="AX83" s="1" t="s">
        <v>74</v>
      </c>
      <c r="AY83" s="1">
        <v>1.0</v>
      </c>
      <c r="AZ83" s="1" t="s">
        <v>74</v>
      </c>
      <c r="BA83" s="1" t="s">
        <v>74</v>
      </c>
      <c r="BB83" s="1">
        <v>8.0</v>
      </c>
      <c r="BC83" s="1">
        <v>10.0</v>
      </c>
      <c r="BD83" s="1" t="s">
        <v>74</v>
      </c>
      <c r="BE83" s="1" t="s">
        <v>1951</v>
      </c>
      <c r="BF83" s="2" t="str">
        <f>HYPERLINK("http://dx.doi.org/10.1684/ejd.2019.3536","http://dx.doi.org/10.1684/ejd.2019.3536")</f>
        <v>http://dx.doi.org/10.1684/ejd.2019.3536</v>
      </c>
      <c r="BG83" s="1" t="s">
        <v>74</v>
      </c>
      <c r="BH83" s="1" t="s">
        <v>74</v>
      </c>
      <c r="BI83" s="1">
        <v>3.0</v>
      </c>
      <c r="BJ83" s="1" t="s">
        <v>1952</v>
      </c>
      <c r="BK83" s="1" t="s">
        <v>149</v>
      </c>
      <c r="BL83" s="1" t="s">
        <v>1952</v>
      </c>
      <c r="BM83" s="1" t="s">
        <v>1953</v>
      </c>
      <c r="BN83" s="1">
        <v>3.1017581E7</v>
      </c>
      <c r="BO83" s="1" t="s">
        <v>74</v>
      </c>
      <c r="BP83" s="1" t="s">
        <v>74</v>
      </c>
      <c r="BQ83" s="1" t="s">
        <v>74</v>
      </c>
      <c r="BR83" s="1" t="s">
        <v>102</v>
      </c>
      <c r="BS83" s="1" t="s">
        <v>1954</v>
      </c>
      <c r="BT83" s="1" t="str">
        <f>HYPERLINK("https%3A%2F%2Fwww.webofscience.com%2Fwos%2Fwoscc%2Ffull-record%2FWOS:000467645100004","View Full Record in Web of Science")</f>
        <v>View Full Record in Web of Science</v>
      </c>
    </row>
    <row r="84" ht="12.75" customHeight="1">
      <c r="A84" s="1" t="s">
        <v>132</v>
      </c>
      <c r="B84" s="1" t="s">
        <v>1955</v>
      </c>
      <c r="C84" s="1" t="s">
        <v>74</v>
      </c>
      <c r="D84" s="1" t="s">
        <v>74</v>
      </c>
      <c r="E84" s="1" t="s">
        <v>74</v>
      </c>
      <c r="F84" s="1" t="s">
        <v>1956</v>
      </c>
      <c r="G84" s="1" t="s">
        <v>74</v>
      </c>
      <c r="H84" s="1" t="s">
        <v>74</v>
      </c>
      <c r="I84" s="1" t="s">
        <v>1957</v>
      </c>
      <c r="J84" s="1" t="s">
        <v>1958</v>
      </c>
      <c r="K84" s="1" t="s">
        <v>74</v>
      </c>
      <c r="L84" s="1" t="s">
        <v>74</v>
      </c>
      <c r="M84" s="1" t="s">
        <v>80</v>
      </c>
      <c r="N84" s="1" t="s">
        <v>1010</v>
      </c>
      <c r="O84" s="1" t="s">
        <v>74</v>
      </c>
      <c r="P84" s="1" t="s">
        <v>74</v>
      </c>
      <c r="Q84" s="1" t="s">
        <v>74</v>
      </c>
      <c r="R84" s="1" t="s">
        <v>74</v>
      </c>
      <c r="S84" s="1" t="s">
        <v>74</v>
      </c>
      <c r="T84" s="1" t="s">
        <v>1959</v>
      </c>
      <c r="U84" s="1" t="s">
        <v>74</v>
      </c>
      <c r="V84" s="1" t="s">
        <v>1960</v>
      </c>
      <c r="W84" s="1" t="s">
        <v>1961</v>
      </c>
      <c r="X84" s="1" t="s">
        <v>1962</v>
      </c>
      <c r="Y84" s="1" t="s">
        <v>1963</v>
      </c>
      <c r="Z84" s="1" t="s">
        <v>1964</v>
      </c>
      <c r="AA84" s="1" t="s">
        <v>1965</v>
      </c>
      <c r="AB84" s="1" t="s">
        <v>1966</v>
      </c>
      <c r="AC84" s="1" t="s">
        <v>1967</v>
      </c>
      <c r="AD84" s="1" t="s">
        <v>1968</v>
      </c>
      <c r="AE84" s="1" t="s">
        <v>1969</v>
      </c>
      <c r="AF84" s="1" t="s">
        <v>74</v>
      </c>
      <c r="AG84" s="1">
        <v>73.0</v>
      </c>
      <c r="AH84" s="1">
        <v>0.0</v>
      </c>
      <c r="AI84" s="1">
        <v>0.0</v>
      </c>
      <c r="AJ84" s="1">
        <v>2.0</v>
      </c>
      <c r="AK84" s="1">
        <v>2.0</v>
      </c>
      <c r="AL84" s="1" t="s">
        <v>1970</v>
      </c>
      <c r="AM84" s="1" t="s">
        <v>1658</v>
      </c>
      <c r="AN84" s="1" t="s">
        <v>1971</v>
      </c>
      <c r="AO84" s="1" t="s">
        <v>74</v>
      </c>
      <c r="AP84" s="1" t="s">
        <v>1972</v>
      </c>
      <c r="AQ84" s="1" t="s">
        <v>74</v>
      </c>
      <c r="AR84" s="1" t="s">
        <v>1973</v>
      </c>
      <c r="AS84" s="1" t="s">
        <v>1974</v>
      </c>
      <c r="AT84" s="1" t="s">
        <v>1051</v>
      </c>
      <c r="AU84" s="1">
        <v>2024.0</v>
      </c>
      <c r="AV84" s="1">
        <v>14.0</v>
      </c>
      <c r="AW84" s="1">
        <v>24.0</v>
      </c>
      <c r="AX84" s="1" t="s">
        <v>74</v>
      </c>
      <c r="AY84" s="1" t="s">
        <v>74</v>
      </c>
      <c r="AZ84" s="1" t="s">
        <v>74</v>
      </c>
      <c r="BA84" s="1" t="s">
        <v>74</v>
      </c>
      <c r="BB84" s="1" t="s">
        <v>74</v>
      </c>
      <c r="BC84" s="1" t="s">
        <v>74</v>
      </c>
      <c r="BD84" s="1">
        <v>11801.0</v>
      </c>
      <c r="BE84" s="1" t="s">
        <v>1975</v>
      </c>
      <c r="BF84" s="2" t="str">
        <f>HYPERLINK("http://dx.doi.org/10.3390/app142411801","http://dx.doi.org/10.3390/app142411801")</f>
        <v>http://dx.doi.org/10.3390/app142411801</v>
      </c>
      <c r="BG84" s="1" t="s">
        <v>74</v>
      </c>
      <c r="BH84" s="1" t="s">
        <v>74</v>
      </c>
      <c r="BI84" s="1">
        <v>17.0</v>
      </c>
      <c r="BJ84" s="1" t="s">
        <v>1976</v>
      </c>
      <c r="BK84" s="1" t="s">
        <v>149</v>
      </c>
      <c r="BL84" s="1" t="s">
        <v>1977</v>
      </c>
      <c r="BM84" s="1" t="s">
        <v>1978</v>
      </c>
      <c r="BN84" s="1" t="s">
        <v>74</v>
      </c>
      <c r="BO84" s="1" t="s">
        <v>174</v>
      </c>
      <c r="BP84" s="1" t="s">
        <v>74</v>
      </c>
      <c r="BQ84" s="1" t="s">
        <v>74</v>
      </c>
      <c r="BR84" s="1" t="s">
        <v>102</v>
      </c>
      <c r="BS84" s="1" t="s">
        <v>1979</v>
      </c>
      <c r="BT84" s="1" t="str">
        <f>HYPERLINK("https%3A%2F%2Fwww.webofscience.com%2Fwos%2Fwoscc%2Ffull-record%2FWOS:001384080500001","View Full Record in Web of Science")</f>
        <v>View Full Record in Web of Science</v>
      </c>
    </row>
    <row r="85" ht="12.75" customHeight="1">
      <c r="A85" s="1" t="s">
        <v>132</v>
      </c>
      <c r="B85" s="1" t="s">
        <v>1980</v>
      </c>
      <c r="C85" s="1" t="s">
        <v>74</v>
      </c>
      <c r="D85" s="1" t="s">
        <v>74</v>
      </c>
      <c r="E85" s="1" t="s">
        <v>74</v>
      </c>
      <c r="F85" s="1" t="s">
        <v>1981</v>
      </c>
      <c r="G85" s="1" t="s">
        <v>74</v>
      </c>
      <c r="H85" s="1" t="s">
        <v>74</v>
      </c>
      <c r="I85" s="1" t="s">
        <v>1982</v>
      </c>
      <c r="J85" s="1" t="s">
        <v>1983</v>
      </c>
      <c r="K85" s="1" t="s">
        <v>74</v>
      </c>
      <c r="L85" s="1" t="s">
        <v>74</v>
      </c>
      <c r="M85" s="1" t="s">
        <v>80</v>
      </c>
      <c r="N85" s="1" t="s">
        <v>136</v>
      </c>
      <c r="O85" s="1" t="s">
        <v>74</v>
      </c>
      <c r="P85" s="1" t="s">
        <v>74</v>
      </c>
      <c r="Q85" s="1" t="s">
        <v>74</v>
      </c>
      <c r="R85" s="1" t="s">
        <v>74</v>
      </c>
      <c r="S85" s="1" t="s">
        <v>74</v>
      </c>
      <c r="T85" s="1" t="s">
        <v>1984</v>
      </c>
      <c r="U85" s="1" t="s">
        <v>1985</v>
      </c>
      <c r="V85" s="1" t="s">
        <v>1986</v>
      </c>
      <c r="W85" s="1" t="s">
        <v>1987</v>
      </c>
      <c r="X85" s="1" t="s">
        <v>1988</v>
      </c>
      <c r="Y85" s="1" t="s">
        <v>1989</v>
      </c>
      <c r="Z85" s="1" t="s">
        <v>1990</v>
      </c>
      <c r="AA85" s="1" t="s">
        <v>1991</v>
      </c>
      <c r="AB85" s="1" t="s">
        <v>74</v>
      </c>
      <c r="AC85" s="1" t="s">
        <v>74</v>
      </c>
      <c r="AD85" s="1" t="s">
        <v>74</v>
      </c>
      <c r="AE85" s="1" t="s">
        <v>74</v>
      </c>
      <c r="AF85" s="1" t="s">
        <v>74</v>
      </c>
      <c r="AG85" s="1">
        <v>64.0</v>
      </c>
      <c r="AH85" s="1">
        <v>25.0</v>
      </c>
      <c r="AI85" s="1">
        <v>25.0</v>
      </c>
      <c r="AJ85" s="1">
        <v>39.0</v>
      </c>
      <c r="AK85" s="1">
        <v>213.0</v>
      </c>
      <c r="AL85" s="1" t="s">
        <v>321</v>
      </c>
      <c r="AM85" s="1" t="s">
        <v>322</v>
      </c>
      <c r="AN85" s="1" t="s">
        <v>323</v>
      </c>
      <c r="AO85" s="1" t="s">
        <v>1992</v>
      </c>
      <c r="AP85" s="1" t="s">
        <v>74</v>
      </c>
      <c r="AQ85" s="1" t="s">
        <v>74</v>
      </c>
      <c r="AR85" s="1" t="s">
        <v>1993</v>
      </c>
      <c r="AS85" s="1" t="s">
        <v>1994</v>
      </c>
      <c r="AT85" s="1" t="s">
        <v>1027</v>
      </c>
      <c r="AU85" s="1">
        <v>2021.0</v>
      </c>
      <c r="AV85" s="1">
        <v>69.0</v>
      </c>
      <c r="AW85" s="1" t="s">
        <v>74</v>
      </c>
      <c r="AX85" s="1" t="s">
        <v>74</v>
      </c>
      <c r="AY85" s="1" t="s">
        <v>74</v>
      </c>
      <c r="AZ85" s="1" t="s">
        <v>74</v>
      </c>
      <c r="BA85" s="1" t="s">
        <v>74</v>
      </c>
      <c r="BB85" s="1">
        <v>653.0</v>
      </c>
      <c r="BC85" s="1">
        <v>667.0</v>
      </c>
      <c r="BD85" s="1" t="s">
        <v>74</v>
      </c>
      <c r="BE85" s="1" t="s">
        <v>1995</v>
      </c>
      <c r="BF85" s="2" t="str">
        <f>HYPERLINK("http://dx.doi.org/10.1016/j.eap.2021.01.012","http://dx.doi.org/10.1016/j.eap.2021.01.012")</f>
        <v>http://dx.doi.org/10.1016/j.eap.2021.01.012</v>
      </c>
      <c r="BG85" s="1" t="s">
        <v>74</v>
      </c>
      <c r="BH85" s="1" t="s">
        <v>1536</v>
      </c>
      <c r="BI85" s="1">
        <v>15.0</v>
      </c>
      <c r="BJ85" s="1" t="s">
        <v>202</v>
      </c>
      <c r="BK85" s="1" t="s">
        <v>203</v>
      </c>
      <c r="BL85" s="1" t="s">
        <v>204</v>
      </c>
      <c r="BM85" s="1" t="s">
        <v>1996</v>
      </c>
      <c r="BN85" s="1" t="s">
        <v>74</v>
      </c>
      <c r="BO85" s="1" t="s">
        <v>1997</v>
      </c>
      <c r="BP85" s="1" t="s">
        <v>74</v>
      </c>
      <c r="BQ85" s="1" t="s">
        <v>74</v>
      </c>
      <c r="BR85" s="1" t="s">
        <v>102</v>
      </c>
      <c r="BS85" s="1" t="s">
        <v>1998</v>
      </c>
      <c r="BT85" s="1" t="str">
        <f>HYPERLINK("https%3A%2F%2Fwww.webofscience.com%2Fwos%2Fwoscc%2Ffull-record%2FWOS:000645500400021","View Full Record in Web of Science")</f>
        <v>View Full Record in Web of Science</v>
      </c>
    </row>
    <row r="86" ht="12.75" customHeight="1">
      <c r="A86" s="1" t="s">
        <v>132</v>
      </c>
      <c r="B86" s="1" t="s">
        <v>1999</v>
      </c>
      <c r="C86" s="1" t="s">
        <v>74</v>
      </c>
      <c r="D86" s="1" t="s">
        <v>74</v>
      </c>
      <c r="E86" s="1" t="s">
        <v>74</v>
      </c>
      <c r="F86" s="1" t="s">
        <v>2000</v>
      </c>
      <c r="G86" s="1" t="s">
        <v>74</v>
      </c>
      <c r="H86" s="1" t="s">
        <v>74</v>
      </c>
      <c r="I86" s="1" t="s">
        <v>2001</v>
      </c>
      <c r="J86" s="1" t="s">
        <v>2002</v>
      </c>
      <c r="K86" s="1" t="s">
        <v>74</v>
      </c>
      <c r="L86" s="1" t="s">
        <v>74</v>
      </c>
      <c r="M86" s="1" t="s">
        <v>80</v>
      </c>
      <c r="N86" s="1" t="s">
        <v>136</v>
      </c>
      <c r="O86" s="1" t="s">
        <v>74</v>
      </c>
      <c r="P86" s="1" t="s">
        <v>74</v>
      </c>
      <c r="Q86" s="1" t="s">
        <v>74</v>
      </c>
      <c r="R86" s="1" t="s">
        <v>74</v>
      </c>
      <c r="S86" s="1" t="s">
        <v>74</v>
      </c>
      <c r="T86" s="1" t="s">
        <v>2003</v>
      </c>
      <c r="U86" s="1" t="s">
        <v>2004</v>
      </c>
      <c r="V86" s="1" t="s">
        <v>2005</v>
      </c>
      <c r="W86" s="1" t="s">
        <v>2006</v>
      </c>
      <c r="X86" s="1" t="s">
        <v>2007</v>
      </c>
      <c r="Y86" s="1" t="s">
        <v>2008</v>
      </c>
      <c r="Z86" s="1" t="s">
        <v>2009</v>
      </c>
      <c r="AA86" s="1" t="s">
        <v>2010</v>
      </c>
      <c r="AB86" s="1" t="s">
        <v>2011</v>
      </c>
      <c r="AC86" s="1" t="s">
        <v>74</v>
      </c>
      <c r="AD86" s="1" t="s">
        <v>74</v>
      </c>
      <c r="AE86" s="1" t="s">
        <v>74</v>
      </c>
      <c r="AF86" s="1" t="s">
        <v>74</v>
      </c>
      <c r="AG86" s="1">
        <v>54.0</v>
      </c>
      <c r="AH86" s="1">
        <v>11.0</v>
      </c>
      <c r="AI86" s="1">
        <v>11.0</v>
      </c>
      <c r="AJ86" s="1">
        <v>6.0</v>
      </c>
      <c r="AK86" s="1">
        <v>26.0</v>
      </c>
      <c r="AL86" s="1" t="s">
        <v>192</v>
      </c>
      <c r="AM86" s="1" t="s">
        <v>864</v>
      </c>
      <c r="AN86" s="1" t="s">
        <v>865</v>
      </c>
      <c r="AO86" s="1" t="s">
        <v>2012</v>
      </c>
      <c r="AP86" s="1" t="s">
        <v>2013</v>
      </c>
      <c r="AQ86" s="1" t="s">
        <v>74</v>
      </c>
      <c r="AR86" s="1" t="s">
        <v>2014</v>
      </c>
      <c r="AS86" s="1" t="s">
        <v>2015</v>
      </c>
      <c r="AT86" s="1" t="s">
        <v>1253</v>
      </c>
      <c r="AU86" s="1">
        <v>2023.0</v>
      </c>
      <c r="AV86" s="1">
        <v>36.0</v>
      </c>
      <c r="AW86" s="1">
        <v>2.0</v>
      </c>
      <c r="AX86" s="1" t="s">
        <v>74</v>
      </c>
      <c r="AY86" s="1" t="s">
        <v>74</v>
      </c>
      <c r="AZ86" s="1" t="s">
        <v>74</v>
      </c>
      <c r="BA86" s="1" t="s">
        <v>74</v>
      </c>
      <c r="BB86" s="1">
        <v>969.0</v>
      </c>
      <c r="BC86" s="1">
        <v>989.0</v>
      </c>
      <c r="BD86" s="1" t="s">
        <v>74</v>
      </c>
      <c r="BE86" s="1" t="s">
        <v>2016</v>
      </c>
      <c r="BF86" s="2" t="str">
        <f>HYPERLINK("http://dx.doi.org/10.1007/s11196-022-09927-0","http://dx.doi.org/10.1007/s11196-022-09927-0")</f>
        <v>http://dx.doi.org/10.1007/s11196-022-09927-0</v>
      </c>
      <c r="BG86" s="1" t="s">
        <v>74</v>
      </c>
      <c r="BH86" s="1" t="s">
        <v>2017</v>
      </c>
      <c r="BI86" s="1">
        <v>21.0</v>
      </c>
      <c r="BJ86" s="1" t="s">
        <v>2018</v>
      </c>
      <c r="BK86" s="1" t="s">
        <v>172</v>
      </c>
      <c r="BL86" s="1" t="s">
        <v>2019</v>
      </c>
      <c r="BM86" s="1" t="s">
        <v>2020</v>
      </c>
      <c r="BN86" s="1">
        <v>3.6189171E7</v>
      </c>
      <c r="BO86" s="1" t="s">
        <v>2021</v>
      </c>
      <c r="BP86" s="1" t="s">
        <v>74</v>
      </c>
      <c r="BQ86" s="1" t="s">
        <v>74</v>
      </c>
      <c r="BR86" s="1" t="s">
        <v>102</v>
      </c>
      <c r="BS86" s="1" t="s">
        <v>2022</v>
      </c>
      <c r="BT86" s="1" t="str">
        <f>HYPERLINK("https%3A%2F%2Fwww.webofscience.com%2Fwos%2Fwoscc%2Ffull-record%2FWOS:000859693000001","View Full Record in Web of Science")</f>
        <v>View Full Record in Web of Science</v>
      </c>
    </row>
    <row r="87" ht="12.75" customHeight="1">
      <c r="A87" s="1" t="s">
        <v>72</v>
      </c>
      <c r="B87" s="1" t="s">
        <v>2023</v>
      </c>
      <c r="C87" s="1" t="s">
        <v>74</v>
      </c>
      <c r="D87" s="1" t="s">
        <v>2024</v>
      </c>
      <c r="E87" s="1" t="s">
        <v>74</v>
      </c>
      <c r="F87" s="1" t="s">
        <v>2025</v>
      </c>
      <c r="G87" s="1" t="s">
        <v>74</v>
      </c>
      <c r="H87" s="1" t="s">
        <v>74</v>
      </c>
      <c r="I87" s="1" t="s">
        <v>2026</v>
      </c>
      <c r="J87" s="1" t="s">
        <v>2027</v>
      </c>
      <c r="K87" s="1" t="s">
        <v>74</v>
      </c>
      <c r="L87" s="1" t="s">
        <v>74</v>
      </c>
      <c r="M87" s="1" t="s">
        <v>80</v>
      </c>
      <c r="N87" s="1" t="s">
        <v>81</v>
      </c>
      <c r="O87" s="1" t="s">
        <v>2028</v>
      </c>
      <c r="P87" s="1" t="s">
        <v>2029</v>
      </c>
      <c r="Q87" s="1" t="s">
        <v>2030</v>
      </c>
      <c r="R87" s="1" t="s">
        <v>74</v>
      </c>
      <c r="S87" s="1" t="s">
        <v>74</v>
      </c>
      <c r="T87" s="1" t="s">
        <v>2031</v>
      </c>
      <c r="U87" s="1" t="s">
        <v>74</v>
      </c>
      <c r="V87" s="1" t="s">
        <v>2032</v>
      </c>
      <c r="W87" s="1" t="s">
        <v>2033</v>
      </c>
      <c r="X87" s="1" t="s">
        <v>2034</v>
      </c>
      <c r="Y87" s="1" t="s">
        <v>2035</v>
      </c>
      <c r="Z87" s="1" t="s">
        <v>2036</v>
      </c>
      <c r="AA87" s="1" t="s">
        <v>2037</v>
      </c>
      <c r="AB87" s="1" t="s">
        <v>2038</v>
      </c>
      <c r="AC87" s="1" t="s">
        <v>74</v>
      </c>
      <c r="AD87" s="1" t="s">
        <v>74</v>
      </c>
      <c r="AE87" s="1" t="s">
        <v>74</v>
      </c>
      <c r="AF87" s="1" t="s">
        <v>74</v>
      </c>
      <c r="AG87" s="1">
        <v>59.0</v>
      </c>
      <c r="AH87" s="1">
        <v>127.0</v>
      </c>
      <c r="AI87" s="1">
        <v>153.0</v>
      </c>
      <c r="AJ87" s="1">
        <v>12.0</v>
      </c>
      <c r="AK87" s="1">
        <v>196.0</v>
      </c>
      <c r="AL87" s="1" t="s">
        <v>1477</v>
      </c>
      <c r="AM87" s="1" t="s">
        <v>322</v>
      </c>
      <c r="AN87" s="1" t="s">
        <v>1478</v>
      </c>
      <c r="AO87" s="1" t="s">
        <v>74</v>
      </c>
      <c r="AP87" s="1" t="s">
        <v>74</v>
      </c>
      <c r="AQ87" s="1" t="s">
        <v>74</v>
      </c>
      <c r="AR87" s="1" t="s">
        <v>74</v>
      </c>
      <c r="AS87" s="1" t="s">
        <v>74</v>
      </c>
      <c r="AT87" s="1" t="s">
        <v>74</v>
      </c>
      <c r="AU87" s="1">
        <v>2015.0</v>
      </c>
      <c r="AV87" s="1" t="s">
        <v>74</v>
      </c>
      <c r="AW87" s="1" t="s">
        <v>74</v>
      </c>
      <c r="AX87" s="1" t="s">
        <v>74</v>
      </c>
      <c r="AY87" s="1" t="s">
        <v>74</v>
      </c>
      <c r="AZ87" s="1" t="s">
        <v>74</v>
      </c>
      <c r="BA87" s="1" t="s">
        <v>74</v>
      </c>
      <c r="BB87" s="1">
        <v>564.0</v>
      </c>
      <c r="BC87" s="1">
        <v>573.0</v>
      </c>
      <c r="BD87" s="1" t="s">
        <v>74</v>
      </c>
      <c r="BE87" s="1" t="s">
        <v>2039</v>
      </c>
      <c r="BF87" s="2" t="str">
        <f>HYPERLINK("http://dx.doi.org/10.1016/j.sbspro.2015.06.134","http://dx.doi.org/10.1016/j.sbspro.2015.06.134")</f>
        <v>http://dx.doi.org/10.1016/j.sbspro.2015.06.134</v>
      </c>
      <c r="BG87" s="1" t="s">
        <v>74</v>
      </c>
      <c r="BH87" s="1" t="s">
        <v>74</v>
      </c>
      <c r="BI87" s="1">
        <v>10.0</v>
      </c>
      <c r="BJ87" s="1" t="s">
        <v>2040</v>
      </c>
      <c r="BK87" s="1" t="s">
        <v>99</v>
      </c>
      <c r="BL87" s="1" t="s">
        <v>204</v>
      </c>
      <c r="BM87" s="1" t="s">
        <v>2041</v>
      </c>
      <c r="BN87" s="1" t="s">
        <v>74</v>
      </c>
      <c r="BO87" s="1" t="s">
        <v>174</v>
      </c>
      <c r="BP87" s="1" t="s">
        <v>74</v>
      </c>
      <c r="BQ87" s="1" t="s">
        <v>74</v>
      </c>
      <c r="BR87" s="1" t="s">
        <v>102</v>
      </c>
      <c r="BS87" s="1" t="s">
        <v>2042</v>
      </c>
      <c r="BT87" s="1" t="str">
        <f>HYPERLINK("https%3A%2F%2Fwww.webofscience.com%2Fwos%2Fwoscc%2Ffull-record%2FWOS:000380509900067","View Full Record in Web of Science")</f>
        <v>View Full Record in Web of Science</v>
      </c>
    </row>
    <row r="88" ht="12.75" customHeight="1">
      <c r="A88" s="1" t="s">
        <v>132</v>
      </c>
      <c r="B88" s="1" t="s">
        <v>2043</v>
      </c>
      <c r="C88" s="1" t="s">
        <v>74</v>
      </c>
      <c r="D88" s="1" t="s">
        <v>74</v>
      </c>
      <c r="E88" s="1" t="s">
        <v>74</v>
      </c>
      <c r="F88" s="1" t="s">
        <v>2044</v>
      </c>
      <c r="G88" s="1" t="s">
        <v>74</v>
      </c>
      <c r="H88" s="1" t="s">
        <v>74</v>
      </c>
      <c r="I88" s="1" t="s">
        <v>2045</v>
      </c>
      <c r="J88" s="1" t="s">
        <v>2046</v>
      </c>
      <c r="K88" s="1" t="s">
        <v>74</v>
      </c>
      <c r="L88" s="1" t="s">
        <v>74</v>
      </c>
      <c r="M88" s="1" t="s">
        <v>80</v>
      </c>
      <c r="N88" s="1" t="s">
        <v>136</v>
      </c>
      <c r="O88" s="1" t="s">
        <v>74</v>
      </c>
      <c r="P88" s="1" t="s">
        <v>74</v>
      </c>
      <c r="Q88" s="1" t="s">
        <v>74</v>
      </c>
      <c r="R88" s="1" t="s">
        <v>74</v>
      </c>
      <c r="S88" s="1" t="s">
        <v>74</v>
      </c>
      <c r="T88" s="1" t="s">
        <v>2047</v>
      </c>
      <c r="U88" s="1" t="s">
        <v>74</v>
      </c>
      <c r="V88" s="1" t="s">
        <v>2048</v>
      </c>
      <c r="W88" s="1" t="s">
        <v>2049</v>
      </c>
      <c r="X88" s="1" t="s">
        <v>2050</v>
      </c>
      <c r="Y88" s="1" t="s">
        <v>2051</v>
      </c>
      <c r="Z88" s="1" t="s">
        <v>2052</v>
      </c>
      <c r="AA88" s="1" t="s">
        <v>74</v>
      </c>
      <c r="AB88" s="1" t="s">
        <v>74</v>
      </c>
      <c r="AC88" s="1" t="s">
        <v>74</v>
      </c>
      <c r="AD88" s="1" t="s">
        <v>74</v>
      </c>
      <c r="AE88" s="1" t="s">
        <v>74</v>
      </c>
      <c r="AF88" s="1" t="s">
        <v>74</v>
      </c>
      <c r="AG88" s="1">
        <v>40.0</v>
      </c>
      <c r="AH88" s="1">
        <v>0.0</v>
      </c>
      <c r="AI88" s="1">
        <v>0.0</v>
      </c>
      <c r="AJ88" s="1">
        <v>25.0</v>
      </c>
      <c r="AK88" s="1">
        <v>28.0</v>
      </c>
      <c r="AL88" s="1" t="s">
        <v>2053</v>
      </c>
      <c r="AM88" s="1" t="s">
        <v>2054</v>
      </c>
      <c r="AN88" s="1" t="s">
        <v>2055</v>
      </c>
      <c r="AO88" s="1" t="s">
        <v>2056</v>
      </c>
      <c r="AP88" s="1" t="s">
        <v>74</v>
      </c>
      <c r="AQ88" s="1" t="s">
        <v>74</v>
      </c>
      <c r="AR88" s="1" t="s">
        <v>2057</v>
      </c>
      <c r="AS88" s="1" t="s">
        <v>2058</v>
      </c>
      <c r="AT88" s="1" t="s">
        <v>328</v>
      </c>
      <c r="AU88" s="1">
        <v>2024.0</v>
      </c>
      <c r="AV88" s="1">
        <v>14.0</v>
      </c>
      <c r="AW88" s="1">
        <v>1.0</v>
      </c>
      <c r="AX88" s="1" t="s">
        <v>74</v>
      </c>
      <c r="AY88" s="1" t="s">
        <v>74</v>
      </c>
      <c r="AZ88" s="1" t="s">
        <v>74</v>
      </c>
      <c r="BA88" s="1" t="s">
        <v>74</v>
      </c>
      <c r="BB88" s="1">
        <v>374.0</v>
      </c>
      <c r="BC88" s="1">
        <v>397.0</v>
      </c>
      <c r="BD88" s="1" t="s">
        <v>74</v>
      </c>
      <c r="BE88" s="1" t="s">
        <v>2059</v>
      </c>
      <c r="BF88" s="2" t="str">
        <f>HYPERLINK("http://dx.doi.org/10.20488/sanattasarim.1506116","http://dx.doi.org/10.20488/sanattasarim.1506116")</f>
        <v>http://dx.doi.org/10.20488/sanattasarim.1506116</v>
      </c>
      <c r="BG88" s="1" t="s">
        <v>74</v>
      </c>
      <c r="BH88" s="1" t="s">
        <v>74</v>
      </c>
      <c r="BI88" s="1">
        <v>24.0</v>
      </c>
      <c r="BJ88" s="1" t="s">
        <v>2060</v>
      </c>
      <c r="BK88" s="1" t="s">
        <v>172</v>
      </c>
      <c r="BL88" s="1" t="s">
        <v>2060</v>
      </c>
      <c r="BM88" s="1" t="s">
        <v>2061</v>
      </c>
      <c r="BN88" s="1" t="s">
        <v>74</v>
      </c>
      <c r="BO88" s="1" t="s">
        <v>556</v>
      </c>
      <c r="BP88" s="1" t="s">
        <v>74</v>
      </c>
      <c r="BQ88" s="1" t="s">
        <v>74</v>
      </c>
      <c r="BR88" s="1" t="s">
        <v>102</v>
      </c>
      <c r="BS88" s="1" t="s">
        <v>2062</v>
      </c>
      <c r="BT88" s="1" t="str">
        <f>HYPERLINK("https%3A%2F%2Fwww.webofscience.com%2Fwos%2Fwoscc%2Ffull-record%2FWOS:001263116800006","View Full Record in Web of Science")</f>
        <v>View Full Record in Web of Science</v>
      </c>
    </row>
    <row r="89" ht="12.75" customHeight="1">
      <c r="A89" s="1" t="s">
        <v>72</v>
      </c>
      <c r="B89" s="1" t="s">
        <v>2063</v>
      </c>
      <c r="C89" s="1" t="s">
        <v>74</v>
      </c>
      <c r="D89" s="1" t="s">
        <v>74</v>
      </c>
      <c r="E89" s="1" t="s">
        <v>1411</v>
      </c>
      <c r="F89" s="1" t="s">
        <v>2064</v>
      </c>
      <c r="G89" s="1" t="s">
        <v>74</v>
      </c>
      <c r="H89" s="1" t="s">
        <v>74</v>
      </c>
      <c r="I89" s="1" t="s">
        <v>2065</v>
      </c>
      <c r="J89" s="1" t="s">
        <v>2066</v>
      </c>
      <c r="K89" s="1" t="s">
        <v>74</v>
      </c>
      <c r="L89" s="1" t="s">
        <v>74</v>
      </c>
      <c r="M89" s="1" t="s">
        <v>80</v>
      </c>
      <c r="N89" s="1" t="s">
        <v>81</v>
      </c>
      <c r="O89" s="1" t="s">
        <v>2067</v>
      </c>
      <c r="P89" s="1" t="s">
        <v>2068</v>
      </c>
      <c r="Q89" s="1" t="s">
        <v>667</v>
      </c>
      <c r="R89" s="1" t="s">
        <v>74</v>
      </c>
      <c r="S89" s="1" t="s">
        <v>74</v>
      </c>
      <c r="T89" s="1" t="s">
        <v>2069</v>
      </c>
      <c r="U89" s="1" t="s">
        <v>74</v>
      </c>
      <c r="V89" s="1" t="s">
        <v>2070</v>
      </c>
      <c r="W89" s="1" t="s">
        <v>2071</v>
      </c>
      <c r="X89" s="1" t="s">
        <v>2072</v>
      </c>
      <c r="Y89" s="1" t="s">
        <v>2073</v>
      </c>
      <c r="Z89" s="1" t="s">
        <v>74</v>
      </c>
      <c r="AA89" s="1" t="s">
        <v>74</v>
      </c>
      <c r="AB89" s="1" t="s">
        <v>74</v>
      </c>
      <c r="AC89" s="1" t="s">
        <v>74</v>
      </c>
      <c r="AD89" s="1" t="s">
        <v>74</v>
      </c>
      <c r="AE89" s="1" t="s">
        <v>74</v>
      </c>
      <c r="AF89" s="1" t="s">
        <v>74</v>
      </c>
      <c r="AG89" s="1">
        <v>15.0</v>
      </c>
      <c r="AH89" s="1">
        <v>1.0</v>
      </c>
      <c r="AI89" s="1">
        <v>1.0</v>
      </c>
      <c r="AJ89" s="1">
        <v>17.0</v>
      </c>
      <c r="AK89" s="1">
        <v>82.0</v>
      </c>
      <c r="AL89" s="1" t="s">
        <v>1426</v>
      </c>
      <c r="AM89" s="1" t="s">
        <v>193</v>
      </c>
      <c r="AN89" s="1" t="s">
        <v>1427</v>
      </c>
      <c r="AO89" s="1" t="s">
        <v>74</v>
      </c>
      <c r="AP89" s="1" t="s">
        <v>74</v>
      </c>
      <c r="AQ89" s="1" t="s">
        <v>2074</v>
      </c>
      <c r="AR89" s="1" t="s">
        <v>74</v>
      </c>
      <c r="AS89" s="1" t="s">
        <v>74</v>
      </c>
      <c r="AT89" s="1" t="s">
        <v>74</v>
      </c>
      <c r="AU89" s="1">
        <v>2021.0</v>
      </c>
      <c r="AV89" s="1" t="s">
        <v>74</v>
      </c>
      <c r="AW89" s="1" t="s">
        <v>74</v>
      </c>
      <c r="AX89" s="1" t="s">
        <v>74</v>
      </c>
      <c r="AY89" s="1" t="s">
        <v>74</v>
      </c>
      <c r="AZ89" s="1" t="s">
        <v>74</v>
      </c>
      <c r="BA89" s="1" t="s">
        <v>74</v>
      </c>
      <c r="BB89" s="1">
        <v>140.0</v>
      </c>
      <c r="BC89" s="1">
        <v>144.0</v>
      </c>
      <c r="BD89" s="1" t="s">
        <v>74</v>
      </c>
      <c r="BE89" s="1" t="s">
        <v>2075</v>
      </c>
      <c r="BF89" s="2" t="str">
        <f>HYPERLINK("http://dx.doi.org/10.1145/3461353.3461355","http://dx.doi.org/10.1145/3461353.3461355")</f>
        <v>http://dx.doi.org/10.1145/3461353.3461355</v>
      </c>
      <c r="BG89" s="1" t="s">
        <v>74</v>
      </c>
      <c r="BH89" s="1" t="s">
        <v>74</v>
      </c>
      <c r="BI89" s="1">
        <v>5.0</v>
      </c>
      <c r="BJ89" s="1" t="s">
        <v>2076</v>
      </c>
      <c r="BK89" s="1" t="s">
        <v>128</v>
      </c>
      <c r="BL89" s="1" t="s">
        <v>232</v>
      </c>
      <c r="BM89" s="1" t="s">
        <v>2077</v>
      </c>
      <c r="BN89" s="1" t="s">
        <v>74</v>
      </c>
      <c r="BO89" s="1" t="s">
        <v>74</v>
      </c>
      <c r="BP89" s="1" t="s">
        <v>74</v>
      </c>
      <c r="BQ89" s="1" t="s">
        <v>74</v>
      </c>
      <c r="BR89" s="1" t="s">
        <v>102</v>
      </c>
      <c r="BS89" s="1" t="s">
        <v>2078</v>
      </c>
      <c r="BT89" s="1" t="str">
        <f>HYPERLINK("https%3A%2F%2Fwww.webofscience.com%2Fwos%2Fwoscc%2Ffull-record%2FWOS:000777584200023","View Full Record in Web of Science")</f>
        <v>View Full Record in Web of Science</v>
      </c>
    </row>
    <row r="90" ht="12.75" customHeight="1">
      <c r="A90" s="1" t="s">
        <v>132</v>
      </c>
      <c r="B90" s="1" t="s">
        <v>2079</v>
      </c>
      <c r="C90" s="1" t="s">
        <v>74</v>
      </c>
      <c r="D90" s="1" t="s">
        <v>74</v>
      </c>
      <c r="E90" s="1" t="s">
        <v>74</v>
      </c>
      <c r="F90" s="1" t="s">
        <v>2080</v>
      </c>
      <c r="G90" s="1" t="s">
        <v>74</v>
      </c>
      <c r="H90" s="1" t="s">
        <v>74</v>
      </c>
      <c r="I90" s="1" t="s">
        <v>2081</v>
      </c>
      <c r="J90" s="1" t="s">
        <v>2082</v>
      </c>
      <c r="K90" s="1" t="s">
        <v>74</v>
      </c>
      <c r="L90" s="1" t="s">
        <v>74</v>
      </c>
      <c r="M90" s="1" t="s">
        <v>80</v>
      </c>
      <c r="N90" s="1" t="s">
        <v>136</v>
      </c>
      <c r="O90" s="1" t="s">
        <v>74</v>
      </c>
      <c r="P90" s="1" t="s">
        <v>74</v>
      </c>
      <c r="Q90" s="1" t="s">
        <v>74</v>
      </c>
      <c r="R90" s="1" t="s">
        <v>74</v>
      </c>
      <c r="S90" s="1" t="s">
        <v>74</v>
      </c>
      <c r="T90" s="1" t="s">
        <v>2083</v>
      </c>
      <c r="U90" s="1" t="s">
        <v>2084</v>
      </c>
      <c r="V90" s="1" t="s">
        <v>2085</v>
      </c>
      <c r="W90" s="1" t="s">
        <v>2086</v>
      </c>
      <c r="X90" s="1" t="s">
        <v>2087</v>
      </c>
      <c r="Y90" s="1" t="s">
        <v>2088</v>
      </c>
      <c r="Z90" s="1" t="s">
        <v>2089</v>
      </c>
      <c r="AA90" s="1" t="s">
        <v>2090</v>
      </c>
      <c r="AB90" s="1" t="s">
        <v>2091</v>
      </c>
      <c r="AC90" s="1" t="s">
        <v>2092</v>
      </c>
      <c r="AD90" s="1" t="s">
        <v>2092</v>
      </c>
      <c r="AE90" s="1" t="s">
        <v>2093</v>
      </c>
      <c r="AF90" s="1" t="s">
        <v>74</v>
      </c>
      <c r="AG90" s="1">
        <v>47.0</v>
      </c>
      <c r="AH90" s="1">
        <v>0.0</v>
      </c>
      <c r="AI90" s="1">
        <v>0.0</v>
      </c>
      <c r="AJ90" s="1">
        <v>36.0</v>
      </c>
      <c r="AK90" s="1">
        <v>38.0</v>
      </c>
      <c r="AL90" s="1" t="s">
        <v>727</v>
      </c>
      <c r="AM90" s="1" t="s">
        <v>728</v>
      </c>
      <c r="AN90" s="1" t="s">
        <v>729</v>
      </c>
      <c r="AO90" s="1" t="s">
        <v>2094</v>
      </c>
      <c r="AP90" s="1" t="s">
        <v>2095</v>
      </c>
      <c r="AQ90" s="1" t="s">
        <v>74</v>
      </c>
      <c r="AR90" s="1" t="s">
        <v>2096</v>
      </c>
      <c r="AS90" s="1" t="s">
        <v>2097</v>
      </c>
      <c r="AT90" s="1" t="s">
        <v>2098</v>
      </c>
      <c r="AU90" s="1">
        <v>2024.0</v>
      </c>
      <c r="AV90" s="1" t="s">
        <v>74</v>
      </c>
      <c r="AW90" s="1">
        <v>53.0</v>
      </c>
      <c r="AX90" s="1" t="s">
        <v>74</v>
      </c>
      <c r="AY90" s="1" t="s">
        <v>74</v>
      </c>
      <c r="AZ90" s="1" t="s">
        <v>74</v>
      </c>
      <c r="BA90" s="1" t="s">
        <v>74</v>
      </c>
      <c r="BB90" s="1" t="s">
        <v>74</v>
      </c>
      <c r="BC90" s="1" t="s">
        <v>74</v>
      </c>
      <c r="BD90" s="1" t="s">
        <v>74</v>
      </c>
      <c r="BE90" s="1" t="s">
        <v>2099</v>
      </c>
      <c r="BF90" s="2" t="str">
        <f>HYPERLINK("http://dx.doi.org/10.6018/turismo.616431","http://dx.doi.org/10.6018/turismo.616431")</f>
        <v>http://dx.doi.org/10.6018/turismo.616431</v>
      </c>
      <c r="BG90" s="1" t="s">
        <v>74</v>
      </c>
      <c r="BH90" s="1" t="s">
        <v>74</v>
      </c>
      <c r="BI90" s="1">
        <v>30.0</v>
      </c>
      <c r="BJ90" s="1" t="s">
        <v>2100</v>
      </c>
      <c r="BK90" s="1" t="s">
        <v>172</v>
      </c>
      <c r="BL90" s="1" t="s">
        <v>100</v>
      </c>
      <c r="BM90" s="1" t="s">
        <v>2101</v>
      </c>
      <c r="BN90" s="1" t="s">
        <v>74</v>
      </c>
      <c r="BO90" s="1" t="s">
        <v>174</v>
      </c>
      <c r="BP90" s="1" t="s">
        <v>74</v>
      </c>
      <c r="BQ90" s="1" t="s">
        <v>74</v>
      </c>
      <c r="BR90" s="1" t="s">
        <v>102</v>
      </c>
      <c r="BS90" s="1" t="s">
        <v>2102</v>
      </c>
      <c r="BT90" s="1" t="str">
        <f>HYPERLINK("https%3A%2F%2Fwww.webofscience.com%2Fwos%2Fwoscc%2Ffull-record%2FWOS:001267515600008","View Full Record in Web of Science")</f>
        <v>View Full Record in Web of Science</v>
      </c>
    </row>
    <row r="91" ht="12.75" customHeight="1">
      <c r="A91" s="1" t="s">
        <v>132</v>
      </c>
      <c r="B91" s="1" t="s">
        <v>2103</v>
      </c>
      <c r="C91" s="1" t="s">
        <v>74</v>
      </c>
      <c r="D91" s="1" t="s">
        <v>74</v>
      </c>
      <c r="E91" s="1" t="s">
        <v>74</v>
      </c>
      <c r="F91" s="1" t="s">
        <v>2103</v>
      </c>
      <c r="G91" s="1" t="s">
        <v>74</v>
      </c>
      <c r="H91" s="1" t="s">
        <v>74</v>
      </c>
      <c r="I91" s="1" t="s">
        <v>2104</v>
      </c>
      <c r="J91" s="1" t="s">
        <v>2105</v>
      </c>
      <c r="K91" s="1" t="s">
        <v>74</v>
      </c>
      <c r="L91" s="1" t="s">
        <v>74</v>
      </c>
      <c r="M91" s="1" t="s">
        <v>80</v>
      </c>
      <c r="N91" s="1" t="s">
        <v>136</v>
      </c>
      <c r="O91" s="1" t="s">
        <v>74</v>
      </c>
      <c r="P91" s="1" t="s">
        <v>74</v>
      </c>
      <c r="Q91" s="1" t="s">
        <v>74</v>
      </c>
      <c r="R91" s="1" t="s">
        <v>74</v>
      </c>
      <c r="S91" s="1" t="s">
        <v>74</v>
      </c>
      <c r="T91" s="1" t="s">
        <v>2106</v>
      </c>
      <c r="U91" s="1" t="s">
        <v>2107</v>
      </c>
      <c r="V91" s="1" t="s">
        <v>2108</v>
      </c>
      <c r="W91" s="1" t="s">
        <v>74</v>
      </c>
      <c r="X91" s="1" t="s">
        <v>74</v>
      </c>
      <c r="Y91" s="1" t="s">
        <v>2109</v>
      </c>
      <c r="Z91" s="1" t="s">
        <v>74</v>
      </c>
      <c r="AA91" s="1" t="s">
        <v>2110</v>
      </c>
      <c r="AB91" s="1" t="s">
        <v>74</v>
      </c>
      <c r="AC91" s="1" t="s">
        <v>74</v>
      </c>
      <c r="AD91" s="1" t="s">
        <v>74</v>
      </c>
      <c r="AE91" s="1" t="s">
        <v>74</v>
      </c>
      <c r="AF91" s="1" t="s">
        <v>74</v>
      </c>
      <c r="AG91" s="1">
        <v>52.0</v>
      </c>
      <c r="AH91" s="1">
        <v>1.0</v>
      </c>
      <c r="AI91" s="1">
        <v>2.0</v>
      </c>
      <c r="AJ91" s="1">
        <v>2.0</v>
      </c>
      <c r="AK91" s="1">
        <v>10.0</v>
      </c>
      <c r="AL91" s="1" t="s">
        <v>1477</v>
      </c>
      <c r="AM91" s="1" t="s">
        <v>322</v>
      </c>
      <c r="AN91" s="1" t="s">
        <v>2111</v>
      </c>
      <c r="AO91" s="1" t="s">
        <v>2112</v>
      </c>
      <c r="AP91" s="1" t="s">
        <v>2113</v>
      </c>
      <c r="AQ91" s="1" t="s">
        <v>74</v>
      </c>
      <c r="AR91" s="1" t="s">
        <v>2114</v>
      </c>
      <c r="AS91" s="1" t="s">
        <v>2115</v>
      </c>
      <c r="AT91" s="1" t="s">
        <v>1709</v>
      </c>
      <c r="AU91" s="1">
        <v>1991.0</v>
      </c>
      <c r="AV91" s="1">
        <v>33.0</v>
      </c>
      <c r="AW91" s="1">
        <v>7.0</v>
      </c>
      <c r="AX91" s="1" t="s">
        <v>74</v>
      </c>
      <c r="AY91" s="1" t="s">
        <v>74</v>
      </c>
      <c r="AZ91" s="1" t="s">
        <v>74</v>
      </c>
      <c r="BA91" s="1" t="s">
        <v>74</v>
      </c>
      <c r="BB91" s="1">
        <v>499.0</v>
      </c>
      <c r="BC91" s="1">
        <v>508.0</v>
      </c>
      <c r="BD91" s="1" t="s">
        <v>74</v>
      </c>
      <c r="BE91" s="1" t="s">
        <v>74</v>
      </c>
      <c r="BF91" s="1" t="s">
        <v>74</v>
      </c>
      <c r="BG91" s="1" t="s">
        <v>74</v>
      </c>
      <c r="BH91" s="1" t="s">
        <v>74</v>
      </c>
      <c r="BI91" s="1">
        <v>10.0</v>
      </c>
      <c r="BJ91" s="1" t="s">
        <v>2116</v>
      </c>
      <c r="BK91" s="1" t="s">
        <v>149</v>
      </c>
      <c r="BL91" s="1" t="s">
        <v>232</v>
      </c>
      <c r="BM91" s="1" t="s">
        <v>2117</v>
      </c>
      <c r="BN91" s="1" t="s">
        <v>74</v>
      </c>
      <c r="BO91" s="1" t="s">
        <v>74</v>
      </c>
      <c r="BP91" s="1" t="s">
        <v>74</v>
      </c>
      <c r="BQ91" s="1" t="s">
        <v>74</v>
      </c>
      <c r="BR91" s="1" t="s">
        <v>102</v>
      </c>
      <c r="BS91" s="1" t="s">
        <v>2118</v>
      </c>
      <c r="BT91" s="1" t="str">
        <f>HYPERLINK("https%3A%2F%2Fwww.webofscience.com%2Fwos%2Fwoscc%2Ffull-record%2FWOS:A1991GJ00800005","View Full Record in Web of Science")</f>
        <v>View Full Record in Web of Science</v>
      </c>
    </row>
    <row r="92" ht="12.75" customHeight="1">
      <c r="A92" s="1" t="s">
        <v>132</v>
      </c>
      <c r="B92" s="1" t="s">
        <v>2119</v>
      </c>
      <c r="C92" s="1" t="s">
        <v>74</v>
      </c>
      <c r="D92" s="1" t="s">
        <v>74</v>
      </c>
      <c r="E92" s="1" t="s">
        <v>74</v>
      </c>
      <c r="F92" s="1" t="s">
        <v>2120</v>
      </c>
      <c r="G92" s="1" t="s">
        <v>74</v>
      </c>
      <c r="H92" s="1" t="s">
        <v>74</v>
      </c>
      <c r="I92" s="1" t="s">
        <v>2121</v>
      </c>
      <c r="J92" s="1" t="s">
        <v>2122</v>
      </c>
      <c r="K92" s="1" t="s">
        <v>74</v>
      </c>
      <c r="L92" s="1" t="s">
        <v>74</v>
      </c>
      <c r="M92" s="1" t="s">
        <v>80</v>
      </c>
      <c r="N92" s="1" t="s">
        <v>338</v>
      </c>
      <c r="O92" s="1" t="s">
        <v>74</v>
      </c>
      <c r="P92" s="1" t="s">
        <v>74</v>
      </c>
      <c r="Q92" s="1" t="s">
        <v>74</v>
      </c>
      <c r="R92" s="1" t="s">
        <v>74</v>
      </c>
      <c r="S92" s="1" t="s">
        <v>74</v>
      </c>
      <c r="T92" s="1" t="s">
        <v>2123</v>
      </c>
      <c r="U92" s="1" t="s">
        <v>2124</v>
      </c>
      <c r="V92" s="1" t="s">
        <v>2125</v>
      </c>
      <c r="W92" s="1" t="s">
        <v>2126</v>
      </c>
      <c r="X92" s="1" t="s">
        <v>2127</v>
      </c>
      <c r="Y92" s="1" t="s">
        <v>2128</v>
      </c>
      <c r="Z92" s="1" t="s">
        <v>2129</v>
      </c>
      <c r="AA92" s="1" t="s">
        <v>74</v>
      </c>
      <c r="AB92" s="1" t="s">
        <v>2130</v>
      </c>
      <c r="AC92" s="1" t="s">
        <v>2131</v>
      </c>
      <c r="AD92" s="1" t="s">
        <v>2132</v>
      </c>
      <c r="AE92" s="1" t="s">
        <v>2133</v>
      </c>
      <c r="AF92" s="1" t="s">
        <v>74</v>
      </c>
      <c r="AG92" s="1">
        <v>33.0</v>
      </c>
      <c r="AH92" s="1">
        <v>0.0</v>
      </c>
      <c r="AI92" s="1">
        <v>0.0</v>
      </c>
      <c r="AJ92" s="1">
        <v>7.0</v>
      </c>
      <c r="AK92" s="1">
        <v>7.0</v>
      </c>
      <c r="AL92" s="1" t="s">
        <v>192</v>
      </c>
      <c r="AM92" s="1" t="s">
        <v>864</v>
      </c>
      <c r="AN92" s="1" t="s">
        <v>865</v>
      </c>
      <c r="AO92" s="1" t="s">
        <v>2134</v>
      </c>
      <c r="AP92" s="1" t="s">
        <v>2135</v>
      </c>
      <c r="AQ92" s="1" t="s">
        <v>74</v>
      </c>
      <c r="AR92" s="1" t="s">
        <v>2136</v>
      </c>
      <c r="AS92" s="1" t="s">
        <v>2137</v>
      </c>
      <c r="AT92" s="1" t="s">
        <v>2138</v>
      </c>
      <c r="AU92" s="1">
        <v>2024.0</v>
      </c>
      <c r="AV92" s="1" t="s">
        <v>74</v>
      </c>
      <c r="AW92" s="1" t="s">
        <v>74</v>
      </c>
      <c r="AX92" s="1" t="s">
        <v>74</v>
      </c>
      <c r="AY92" s="1" t="s">
        <v>74</v>
      </c>
      <c r="AZ92" s="1" t="s">
        <v>74</v>
      </c>
      <c r="BA92" s="1" t="s">
        <v>74</v>
      </c>
      <c r="BB92" s="1" t="s">
        <v>74</v>
      </c>
      <c r="BC92" s="1" t="s">
        <v>74</v>
      </c>
      <c r="BD92" s="1" t="s">
        <v>74</v>
      </c>
      <c r="BE92" s="1" t="s">
        <v>2139</v>
      </c>
      <c r="BF92" s="2" t="str">
        <f>HYPERLINK("http://dx.doi.org/10.1007/s10734-024-01356-1","http://dx.doi.org/10.1007/s10734-024-01356-1")</f>
        <v>http://dx.doi.org/10.1007/s10734-024-01356-1</v>
      </c>
      <c r="BG92" s="1" t="s">
        <v>74</v>
      </c>
      <c r="BH92" s="1" t="s">
        <v>499</v>
      </c>
      <c r="BI92" s="1">
        <v>17.0</v>
      </c>
      <c r="BJ92" s="1" t="s">
        <v>171</v>
      </c>
      <c r="BK92" s="1" t="s">
        <v>203</v>
      </c>
      <c r="BL92" s="1" t="s">
        <v>171</v>
      </c>
      <c r="BM92" s="1" t="s">
        <v>2140</v>
      </c>
      <c r="BN92" s="1" t="s">
        <v>74</v>
      </c>
      <c r="BO92" s="1" t="s">
        <v>306</v>
      </c>
      <c r="BP92" s="1" t="s">
        <v>74</v>
      </c>
      <c r="BQ92" s="1" t="s">
        <v>74</v>
      </c>
      <c r="BR92" s="1" t="s">
        <v>102</v>
      </c>
      <c r="BS92" s="1" t="s">
        <v>2141</v>
      </c>
      <c r="BT92" s="1" t="str">
        <f>HYPERLINK("https%3A%2F%2Fwww.webofscience.com%2Fwos%2Fwoscc%2Ffull-record%2FWOS:001353030200001","View Full Record in Web of Science")</f>
        <v>View Full Record in Web of Science</v>
      </c>
    </row>
    <row r="93" ht="12.75" customHeight="1">
      <c r="A93" s="1" t="s">
        <v>132</v>
      </c>
      <c r="B93" s="1" t="s">
        <v>2142</v>
      </c>
      <c r="C93" s="1" t="s">
        <v>74</v>
      </c>
      <c r="D93" s="1" t="s">
        <v>74</v>
      </c>
      <c r="E93" s="1" t="s">
        <v>74</v>
      </c>
      <c r="F93" s="1" t="s">
        <v>2143</v>
      </c>
      <c r="G93" s="1" t="s">
        <v>74</v>
      </c>
      <c r="H93" s="1" t="s">
        <v>74</v>
      </c>
      <c r="I93" s="1" t="s">
        <v>2144</v>
      </c>
      <c r="J93" s="1" t="s">
        <v>2145</v>
      </c>
      <c r="K93" s="1" t="s">
        <v>74</v>
      </c>
      <c r="L93" s="1" t="s">
        <v>74</v>
      </c>
      <c r="M93" s="1" t="s">
        <v>80</v>
      </c>
      <c r="N93" s="1" t="s">
        <v>338</v>
      </c>
      <c r="O93" s="1" t="s">
        <v>74</v>
      </c>
      <c r="P93" s="1" t="s">
        <v>74</v>
      </c>
      <c r="Q93" s="1" t="s">
        <v>74</v>
      </c>
      <c r="R93" s="1" t="s">
        <v>74</v>
      </c>
      <c r="S93" s="1" t="s">
        <v>74</v>
      </c>
      <c r="T93" s="1" t="s">
        <v>2146</v>
      </c>
      <c r="U93" s="1" t="s">
        <v>2147</v>
      </c>
      <c r="V93" s="1" t="s">
        <v>2148</v>
      </c>
      <c r="W93" s="1" t="s">
        <v>2149</v>
      </c>
      <c r="X93" s="1" t="s">
        <v>2150</v>
      </c>
      <c r="Y93" s="1" t="s">
        <v>2151</v>
      </c>
      <c r="Z93" s="1" t="s">
        <v>2152</v>
      </c>
      <c r="AA93" s="1" t="s">
        <v>2153</v>
      </c>
      <c r="AB93" s="1" t="s">
        <v>2154</v>
      </c>
      <c r="AC93" s="1" t="s">
        <v>74</v>
      </c>
      <c r="AD93" s="1" t="s">
        <v>74</v>
      </c>
      <c r="AE93" s="1" t="s">
        <v>74</v>
      </c>
      <c r="AF93" s="1" t="s">
        <v>74</v>
      </c>
      <c r="AG93" s="1">
        <v>44.0</v>
      </c>
      <c r="AH93" s="1">
        <v>0.0</v>
      </c>
      <c r="AI93" s="1">
        <v>0.0</v>
      </c>
      <c r="AJ93" s="1">
        <v>15.0</v>
      </c>
      <c r="AK93" s="1">
        <v>16.0</v>
      </c>
      <c r="AL93" s="1" t="s">
        <v>192</v>
      </c>
      <c r="AM93" s="1" t="s">
        <v>864</v>
      </c>
      <c r="AN93" s="1" t="s">
        <v>865</v>
      </c>
      <c r="AO93" s="1" t="s">
        <v>2155</v>
      </c>
      <c r="AP93" s="1" t="s">
        <v>2156</v>
      </c>
      <c r="AQ93" s="1" t="s">
        <v>74</v>
      </c>
      <c r="AR93" s="1" t="s">
        <v>2157</v>
      </c>
      <c r="AS93" s="1" t="s">
        <v>2158</v>
      </c>
      <c r="AT93" s="1" t="s">
        <v>2159</v>
      </c>
      <c r="AU93" s="1">
        <v>2024.0</v>
      </c>
      <c r="AV93" s="1" t="s">
        <v>74</v>
      </c>
      <c r="AW93" s="1" t="s">
        <v>74</v>
      </c>
      <c r="AX93" s="1" t="s">
        <v>74</v>
      </c>
      <c r="AY93" s="1" t="s">
        <v>74</v>
      </c>
      <c r="AZ93" s="1" t="s">
        <v>74</v>
      </c>
      <c r="BA93" s="1" t="s">
        <v>74</v>
      </c>
      <c r="BB93" s="1" t="s">
        <v>74</v>
      </c>
      <c r="BC93" s="1" t="s">
        <v>74</v>
      </c>
      <c r="BD93" s="1" t="s">
        <v>74</v>
      </c>
      <c r="BE93" s="1" t="s">
        <v>2160</v>
      </c>
      <c r="BF93" s="2" t="str">
        <f>HYPERLINK("http://dx.doi.org/10.1007/s11205-024-03380-1","http://dx.doi.org/10.1007/s11205-024-03380-1")</f>
        <v>http://dx.doi.org/10.1007/s11205-024-03380-1</v>
      </c>
      <c r="BG93" s="1" t="s">
        <v>74</v>
      </c>
      <c r="BH93" s="1" t="s">
        <v>1929</v>
      </c>
      <c r="BI93" s="1">
        <v>18.0</v>
      </c>
      <c r="BJ93" s="1" t="s">
        <v>2161</v>
      </c>
      <c r="BK93" s="1" t="s">
        <v>203</v>
      </c>
      <c r="BL93" s="1" t="s">
        <v>2162</v>
      </c>
      <c r="BM93" s="1" t="s">
        <v>2163</v>
      </c>
      <c r="BN93" s="1" t="s">
        <v>74</v>
      </c>
      <c r="BO93" s="1" t="s">
        <v>74</v>
      </c>
      <c r="BP93" s="1" t="s">
        <v>74</v>
      </c>
      <c r="BQ93" s="1" t="s">
        <v>74</v>
      </c>
      <c r="BR93" s="1" t="s">
        <v>102</v>
      </c>
      <c r="BS93" s="1" t="s">
        <v>2164</v>
      </c>
      <c r="BT93" s="1" t="str">
        <f>HYPERLINK("https%3A%2F%2Fwww.webofscience.com%2Fwos%2Fwoscc%2Ffull-record%2FWOS:001263432600003","View Full Record in Web of Science")</f>
        <v>View Full Record in Web of Science</v>
      </c>
    </row>
    <row r="94" ht="12.75" customHeight="1">
      <c r="A94" s="1" t="s">
        <v>132</v>
      </c>
      <c r="B94" s="1" t="s">
        <v>2165</v>
      </c>
      <c r="C94" s="1" t="s">
        <v>74</v>
      </c>
      <c r="D94" s="1" t="s">
        <v>74</v>
      </c>
      <c r="E94" s="1" t="s">
        <v>74</v>
      </c>
      <c r="F94" s="1" t="s">
        <v>2166</v>
      </c>
      <c r="G94" s="1" t="s">
        <v>74</v>
      </c>
      <c r="H94" s="1" t="s">
        <v>74</v>
      </c>
      <c r="I94" s="1" t="s">
        <v>2167</v>
      </c>
      <c r="J94" s="1" t="s">
        <v>2168</v>
      </c>
      <c r="K94" s="1" t="s">
        <v>74</v>
      </c>
      <c r="L94" s="1" t="s">
        <v>74</v>
      </c>
      <c r="M94" s="1" t="s">
        <v>80</v>
      </c>
      <c r="N94" s="1" t="s">
        <v>338</v>
      </c>
      <c r="O94" s="1" t="s">
        <v>74</v>
      </c>
      <c r="P94" s="1" t="s">
        <v>74</v>
      </c>
      <c r="Q94" s="1" t="s">
        <v>74</v>
      </c>
      <c r="R94" s="1" t="s">
        <v>74</v>
      </c>
      <c r="S94" s="1" t="s">
        <v>74</v>
      </c>
      <c r="T94" s="1" t="s">
        <v>2169</v>
      </c>
      <c r="U94" s="1" t="s">
        <v>2170</v>
      </c>
      <c r="V94" s="1" t="s">
        <v>2171</v>
      </c>
      <c r="W94" s="1" t="s">
        <v>2172</v>
      </c>
      <c r="X94" s="1" t="s">
        <v>2173</v>
      </c>
      <c r="Y94" s="1" t="s">
        <v>2174</v>
      </c>
      <c r="Z94" s="1" t="s">
        <v>2175</v>
      </c>
      <c r="AA94" s="1" t="s">
        <v>2176</v>
      </c>
      <c r="AB94" s="1" t="s">
        <v>2177</v>
      </c>
      <c r="AC94" s="1" t="s">
        <v>74</v>
      </c>
      <c r="AD94" s="1" t="s">
        <v>74</v>
      </c>
      <c r="AE94" s="1" t="s">
        <v>74</v>
      </c>
      <c r="AF94" s="1" t="s">
        <v>74</v>
      </c>
      <c r="AG94" s="1">
        <v>64.0</v>
      </c>
      <c r="AH94" s="1">
        <v>0.0</v>
      </c>
      <c r="AI94" s="1">
        <v>0.0</v>
      </c>
      <c r="AJ94" s="1">
        <v>31.0</v>
      </c>
      <c r="AK94" s="1">
        <v>31.0</v>
      </c>
      <c r="AL94" s="1" t="s">
        <v>1571</v>
      </c>
      <c r="AM94" s="1" t="s">
        <v>1572</v>
      </c>
      <c r="AN94" s="1" t="s">
        <v>1573</v>
      </c>
      <c r="AO94" s="1" t="s">
        <v>2178</v>
      </c>
      <c r="AP94" s="1" t="s">
        <v>2179</v>
      </c>
      <c r="AQ94" s="1" t="s">
        <v>74</v>
      </c>
      <c r="AR94" s="1" t="s">
        <v>2168</v>
      </c>
      <c r="AS94" s="1" t="s">
        <v>2180</v>
      </c>
      <c r="AT94" s="1" t="s">
        <v>2181</v>
      </c>
      <c r="AU94" s="1">
        <v>2024.0</v>
      </c>
      <c r="AV94" s="1" t="s">
        <v>74</v>
      </c>
      <c r="AW94" s="1" t="s">
        <v>74</v>
      </c>
      <c r="AX94" s="1" t="s">
        <v>74</v>
      </c>
      <c r="AY94" s="1" t="s">
        <v>74</v>
      </c>
      <c r="AZ94" s="1" t="s">
        <v>74</v>
      </c>
      <c r="BA94" s="1" t="s">
        <v>74</v>
      </c>
      <c r="BB94" s="1" t="s">
        <v>74</v>
      </c>
      <c r="BC94" s="1" t="s">
        <v>74</v>
      </c>
      <c r="BD94" s="1" t="s">
        <v>74</v>
      </c>
      <c r="BE94" s="1" t="s">
        <v>2182</v>
      </c>
      <c r="BF94" s="2" t="str">
        <f>HYPERLINK("http://dx.doi.org/10.1177/14648849241269300","http://dx.doi.org/10.1177/14648849241269300")</f>
        <v>http://dx.doi.org/10.1177/14648849241269300</v>
      </c>
      <c r="BG94" s="1" t="s">
        <v>74</v>
      </c>
      <c r="BH94" s="1" t="s">
        <v>1929</v>
      </c>
      <c r="BI94" s="1">
        <v>18.0</v>
      </c>
      <c r="BJ94" s="1" t="s">
        <v>2183</v>
      </c>
      <c r="BK94" s="1" t="s">
        <v>203</v>
      </c>
      <c r="BL94" s="1" t="s">
        <v>2183</v>
      </c>
      <c r="BM94" s="1" t="s">
        <v>2184</v>
      </c>
      <c r="BN94" s="1" t="s">
        <v>74</v>
      </c>
      <c r="BO94" s="1" t="s">
        <v>74</v>
      </c>
      <c r="BP94" s="1" t="s">
        <v>74</v>
      </c>
      <c r="BQ94" s="1" t="s">
        <v>74</v>
      </c>
      <c r="BR94" s="1" t="s">
        <v>102</v>
      </c>
      <c r="BS94" s="1" t="s">
        <v>2185</v>
      </c>
      <c r="BT94" s="1" t="str">
        <f>HYPERLINK("https%3A%2F%2Fwww.webofscience.com%2Fwos%2Fwoscc%2Ffull-record%2FWOS:001282577500001","View Full Record in Web of Science")</f>
        <v>View Full Record in Web of Science</v>
      </c>
    </row>
    <row r="95" ht="12.75" customHeight="1">
      <c r="A95" s="1" t="s">
        <v>132</v>
      </c>
      <c r="B95" s="1" t="s">
        <v>2186</v>
      </c>
      <c r="C95" s="1" t="s">
        <v>74</v>
      </c>
      <c r="D95" s="1" t="s">
        <v>74</v>
      </c>
      <c r="E95" s="1" t="s">
        <v>74</v>
      </c>
      <c r="F95" s="1" t="s">
        <v>2187</v>
      </c>
      <c r="G95" s="1" t="s">
        <v>74</v>
      </c>
      <c r="H95" s="1" t="s">
        <v>74</v>
      </c>
      <c r="I95" s="1" t="s">
        <v>2188</v>
      </c>
      <c r="J95" s="1" t="s">
        <v>2189</v>
      </c>
      <c r="K95" s="1" t="s">
        <v>74</v>
      </c>
      <c r="L95" s="1" t="s">
        <v>74</v>
      </c>
      <c r="M95" s="1" t="s">
        <v>638</v>
      </c>
      <c r="N95" s="1" t="s">
        <v>136</v>
      </c>
      <c r="O95" s="1" t="s">
        <v>74</v>
      </c>
      <c r="P95" s="1" t="s">
        <v>74</v>
      </c>
      <c r="Q95" s="1" t="s">
        <v>74</v>
      </c>
      <c r="R95" s="1" t="s">
        <v>74</v>
      </c>
      <c r="S95" s="1" t="s">
        <v>74</v>
      </c>
      <c r="T95" s="1" t="s">
        <v>2190</v>
      </c>
      <c r="U95" s="1" t="s">
        <v>74</v>
      </c>
      <c r="V95" s="1" t="s">
        <v>2191</v>
      </c>
      <c r="W95" s="1" t="s">
        <v>2192</v>
      </c>
      <c r="X95" s="1" t="s">
        <v>74</v>
      </c>
      <c r="Y95" s="1" t="s">
        <v>2193</v>
      </c>
      <c r="Z95" s="1" t="s">
        <v>2194</v>
      </c>
      <c r="AA95" s="1" t="s">
        <v>2195</v>
      </c>
      <c r="AB95" s="1" t="s">
        <v>74</v>
      </c>
      <c r="AC95" s="1" t="s">
        <v>74</v>
      </c>
      <c r="AD95" s="1" t="s">
        <v>74</v>
      </c>
      <c r="AE95" s="1" t="s">
        <v>74</v>
      </c>
      <c r="AF95" s="1" t="s">
        <v>74</v>
      </c>
      <c r="AG95" s="1">
        <v>23.0</v>
      </c>
      <c r="AH95" s="1">
        <v>0.0</v>
      </c>
      <c r="AI95" s="1">
        <v>0.0</v>
      </c>
      <c r="AJ95" s="1">
        <v>2.0</v>
      </c>
      <c r="AK95" s="1">
        <v>4.0</v>
      </c>
      <c r="AL95" s="1" t="s">
        <v>2196</v>
      </c>
      <c r="AM95" s="1" t="s">
        <v>2197</v>
      </c>
      <c r="AN95" s="1" t="s">
        <v>2198</v>
      </c>
      <c r="AO95" s="1" t="s">
        <v>2199</v>
      </c>
      <c r="AP95" s="1" t="s">
        <v>74</v>
      </c>
      <c r="AQ95" s="1" t="s">
        <v>74</v>
      </c>
      <c r="AR95" s="1" t="s">
        <v>2189</v>
      </c>
      <c r="AS95" s="1" t="s">
        <v>2200</v>
      </c>
      <c r="AT95" s="1" t="s">
        <v>1051</v>
      </c>
      <c r="AU95" s="1">
        <v>2023.0</v>
      </c>
      <c r="AV95" s="1">
        <v>3.0</v>
      </c>
      <c r="AW95" s="1">
        <v>76.0</v>
      </c>
      <c r="AX95" s="1" t="s">
        <v>74</v>
      </c>
      <c r="AY95" s="1" t="s">
        <v>74</v>
      </c>
      <c r="AZ95" s="1" t="s">
        <v>74</v>
      </c>
      <c r="BA95" s="1" t="s">
        <v>74</v>
      </c>
      <c r="BB95" s="1" t="s">
        <v>74</v>
      </c>
      <c r="BC95" s="1" t="s">
        <v>74</v>
      </c>
      <c r="BD95" s="1" t="s">
        <v>2201</v>
      </c>
      <c r="BE95" s="1" t="s">
        <v>2202</v>
      </c>
      <c r="BF95" s="2" t="str">
        <f>HYPERLINK("http://dx.doi.org/10.24215/16696581e862","http://dx.doi.org/10.24215/16696581e862")</f>
        <v>http://dx.doi.org/10.24215/16696581e862</v>
      </c>
      <c r="BG95" s="1" t="s">
        <v>74</v>
      </c>
      <c r="BH95" s="1" t="s">
        <v>74</v>
      </c>
      <c r="BI95" s="1">
        <v>18.0</v>
      </c>
      <c r="BJ95" s="1" t="s">
        <v>2183</v>
      </c>
      <c r="BK95" s="1" t="s">
        <v>172</v>
      </c>
      <c r="BL95" s="1" t="s">
        <v>2183</v>
      </c>
      <c r="BM95" s="1" t="s">
        <v>2203</v>
      </c>
      <c r="BN95" s="1" t="s">
        <v>74</v>
      </c>
      <c r="BO95" s="1" t="s">
        <v>2204</v>
      </c>
      <c r="BP95" s="1" t="s">
        <v>74</v>
      </c>
      <c r="BQ95" s="1" t="s">
        <v>74</v>
      </c>
      <c r="BR95" s="1" t="s">
        <v>102</v>
      </c>
      <c r="BS95" s="1" t="s">
        <v>2205</v>
      </c>
      <c r="BT95" s="1" t="str">
        <f>HYPERLINK("https%3A%2F%2Fwww.webofscience.com%2Fwos%2Fwoscc%2Ffull-record%2FWOS:001134335300001","View Full Record in Web of Science")</f>
        <v>View Full Record in Web of Science</v>
      </c>
    </row>
    <row r="96" ht="12.75" customHeight="1">
      <c r="A96" s="1" t="s">
        <v>72</v>
      </c>
      <c r="B96" s="1" t="s">
        <v>2206</v>
      </c>
      <c r="C96" s="1" t="s">
        <v>74</v>
      </c>
      <c r="D96" s="1" t="s">
        <v>74</v>
      </c>
      <c r="E96" s="1" t="s">
        <v>2207</v>
      </c>
      <c r="F96" s="1" t="s">
        <v>2208</v>
      </c>
      <c r="G96" s="1" t="s">
        <v>74</v>
      </c>
      <c r="H96" s="1" t="s">
        <v>74</v>
      </c>
      <c r="I96" s="1" t="s">
        <v>2209</v>
      </c>
      <c r="J96" s="1" t="s">
        <v>2210</v>
      </c>
      <c r="K96" s="1" t="s">
        <v>74</v>
      </c>
      <c r="L96" s="1" t="s">
        <v>74</v>
      </c>
      <c r="M96" s="1" t="s">
        <v>80</v>
      </c>
      <c r="N96" s="1" t="s">
        <v>81</v>
      </c>
      <c r="O96" s="1" t="s">
        <v>2211</v>
      </c>
      <c r="P96" s="1" t="s">
        <v>2212</v>
      </c>
      <c r="Q96" s="1" t="s">
        <v>667</v>
      </c>
      <c r="R96" s="1" t="s">
        <v>2207</v>
      </c>
      <c r="S96" s="1" t="s">
        <v>74</v>
      </c>
      <c r="T96" s="1" t="s">
        <v>2213</v>
      </c>
      <c r="U96" s="1" t="s">
        <v>74</v>
      </c>
      <c r="V96" s="1" t="s">
        <v>2214</v>
      </c>
      <c r="W96" s="1" t="s">
        <v>2215</v>
      </c>
      <c r="X96" s="1" t="s">
        <v>2216</v>
      </c>
      <c r="Y96" s="1" t="s">
        <v>2217</v>
      </c>
      <c r="Z96" s="1" t="s">
        <v>2218</v>
      </c>
      <c r="AA96" s="1" t="s">
        <v>74</v>
      </c>
      <c r="AB96" s="1" t="s">
        <v>74</v>
      </c>
      <c r="AC96" s="1" t="s">
        <v>74</v>
      </c>
      <c r="AD96" s="1" t="s">
        <v>74</v>
      </c>
      <c r="AE96" s="1" t="s">
        <v>74</v>
      </c>
      <c r="AF96" s="1" t="s">
        <v>74</v>
      </c>
      <c r="AG96" s="1">
        <v>34.0</v>
      </c>
      <c r="AH96" s="1">
        <v>0.0</v>
      </c>
      <c r="AI96" s="1">
        <v>0.0</v>
      </c>
      <c r="AJ96" s="1">
        <v>9.0</v>
      </c>
      <c r="AK96" s="1">
        <v>45.0</v>
      </c>
      <c r="AL96" s="1" t="s">
        <v>1725</v>
      </c>
      <c r="AM96" s="1" t="s">
        <v>1726</v>
      </c>
      <c r="AN96" s="1" t="s">
        <v>2219</v>
      </c>
      <c r="AO96" s="1" t="s">
        <v>74</v>
      </c>
      <c r="AP96" s="1" t="s">
        <v>74</v>
      </c>
      <c r="AQ96" s="1" t="s">
        <v>2220</v>
      </c>
      <c r="AR96" s="1" t="s">
        <v>74</v>
      </c>
      <c r="AS96" s="1" t="s">
        <v>74</v>
      </c>
      <c r="AT96" s="1" t="s">
        <v>74</v>
      </c>
      <c r="AU96" s="1">
        <v>2020.0</v>
      </c>
      <c r="AV96" s="1" t="s">
        <v>74</v>
      </c>
      <c r="AW96" s="1" t="s">
        <v>74</v>
      </c>
      <c r="AX96" s="1" t="s">
        <v>74</v>
      </c>
      <c r="AY96" s="1" t="s">
        <v>74</v>
      </c>
      <c r="AZ96" s="1" t="s">
        <v>74</v>
      </c>
      <c r="BA96" s="1" t="s">
        <v>74</v>
      </c>
      <c r="BB96" s="1" t="s">
        <v>74</v>
      </c>
      <c r="BC96" s="1" t="s">
        <v>74</v>
      </c>
      <c r="BD96" s="1" t="s">
        <v>74</v>
      </c>
      <c r="BE96" s="1" t="s">
        <v>74</v>
      </c>
      <c r="BF96" s="1" t="s">
        <v>74</v>
      </c>
      <c r="BG96" s="1" t="s">
        <v>74</v>
      </c>
      <c r="BH96" s="1" t="s">
        <v>74</v>
      </c>
      <c r="BI96" s="1">
        <v>10.0</v>
      </c>
      <c r="BJ96" s="1" t="s">
        <v>2221</v>
      </c>
      <c r="BK96" s="1" t="s">
        <v>128</v>
      </c>
      <c r="BL96" s="1" t="s">
        <v>232</v>
      </c>
      <c r="BM96" s="1" t="s">
        <v>2222</v>
      </c>
      <c r="BN96" s="1" t="s">
        <v>74</v>
      </c>
      <c r="BO96" s="1" t="s">
        <v>74</v>
      </c>
      <c r="BP96" s="1" t="s">
        <v>74</v>
      </c>
      <c r="BQ96" s="1" t="s">
        <v>74</v>
      </c>
      <c r="BR96" s="1" t="s">
        <v>102</v>
      </c>
      <c r="BS96" s="1" t="s">
        <v>2223</v>
      </c>
      <c r="BT96" s="1" t="str">
        <f>HYPERLINK("https%3A%2F%2Fwww.webofscience.com%2Fwos%2Fwoscc%2Ffull-record%2FWOS:000559924502005","View Full Record in Web of Science")</f>
        <v>View Full Record in Web of Science</v>
      </c>
    </row>
    <row r="97" ht="12.75" customHeight="1">
      <c r="A97" s="1" t="s">
        <v>72</v>
      </c>
      <c r="B97" s="1" t="s">
        <v>2224</v>
      </c>
      <c r="C97" s="1" t="s">
        <v>74</v>
      </c>
      <c r="D97" s="1" t="s">
        <v>2225</v>
      </c>
      <c r="E97" s="1" t="s">
        <v>74</v>
      </c>
      <c r="F97" s="1" t="s">
        <v>2226</v>
      </c>
      <c r="G97" s="1" t="s">
        <v>74</v>
      </c>
      <c r="H97" s="1" t="s">
        <v>74</v>
      </c>
      <c r="I97" s="1" t="s">
        <v>2227</v>
      </c>
      <c r="J97" s="1" t="s">
        <v>2228</v>
      </c>
      <c r="K97" s="1" t="s">
        <v>74</v>
      </c>
      <c r="L97" s="1" t="s">
        <v>74</v>
      </c>
      <c r="M97" s="1" t="s">
        <v>80</v>
      </c>
      <c r="N97" s="1" t="s">
        <v>81</v>
      </c>
      <c r="O97" s="1" t="s">
        <v>2229</v>
      </c>
      <c r="P97" s="1" t="s">
        <v>2230</v>
      </c>
      <c r="Q97" s="1" t="s">
        <v>2231</v>
      </c>
      <c r="R97" s="1" t="s">
        <v>2232</v>
      </c>
      <c r="S97" s="1" t="s">
        <v>74</v>
      </c>
      <c r="T97" s="1" t="s">
        <v>2233</v>
      </c>
      <c r="U97" s="1" t="s">
        <v>1912</v>
      </c>
      <c r="V97" s="1" t="s">
        <v>2234</v>
      </c>
      <c r="W97" s="1" t="s">
        <v>2235</v>
      </c>
      <c r="X97" s="1" t="s">
        <v>2236</v>
      </c>
      <c r="Y97" s="1" t="s">
        <v>2237</v>
      </c>
      <c r="Z97" s="1" t="s">
        <v>2238</v>
      </c>
      <c r="AA97" s="1" t="s">
        <v>2239</v>
      </c>
      <c r="AB97" s="1" t="s">
        <v>2240</v>
      </c>
      <c r="AC97" s="1" t="s">
        <v>74</v>
      </c>
      <c r="AD97" s="1" t="s">
        <v>74</v>
      </c>
      <c r="AE97" s="1" t="s">
        <v>74</v>
      </c>
      <c r="AF97" s="1" t="s">
        <v>74</v>
      </c>
      <c r="AG97" s="1">
        <v>41.0</v>
      </c>
      <c r="AH97" s="1">
        <v>0.0</v>
      </c>
      <c r="AI97" s="1">
        <v>0.0</v>
      </c>
      <c r="AJ97" s="1">
        <v>2.0</v>
      </c>
      <c r="AK97" s="1">
        <v>18.0</v>
      </c>
      <c r="AL97" s="1" t="s">
        <v>2241</v>
      </c>
      <c r="AM97" s="1" t="s">
        <v>2242</v>
      </c>
      <c r="AN97" s="1" t="s">
        <v>2243</v>
      </c>
      <c r="AO97" s="1" t="s">
        <v>74</v>
      </c>
      <c r="AP97" s="1" t="s">
        <v>74</v>
      </c>
      <c r="AQ97" s="1" t="s">
        <v>2244</v>
      </c>
      <c r="AR97" s="1" t="s">
        <v>74</v>
      </c>
      <c r="AS97" s="1" t="s">
        <v>74</v>
      </c>
      <c r="AT97" s="1" t="s">
        <v>74</v>
      </c>
      <c r="AU97" s="1">
        <v>2018.0</v>
      </c>
      <c r="AV97" s="1" t="s">
        <v>74</v>
      </c>
      <c r="AW97" s="1" t="s">
        <v>74</v>
      </c>
      <c r="AX97" s="1" t="s">
        <v>74</v>
      </c>
      <c r="AY97" s="1" t="s">
        <v>74</v>
      </c>
      <c r="AZ97" s="1" t="s">
        <v>74</v>
      </c>
      <c r="BA97" s="1" t="s">
        <v>74</v>
      </c>
      <c r="BB97" s="1">
        <v>158.0</v>
      </c>
      <c r="BC97" s="1">
        <v>169.0</v>
      </c>
      <c r="BD97" s="1" t="s">
        <v>74</v>
      </c>
      <c r="BE97" s="1" t="s">
        <v>74</v>
      </c>
      <c r="BF97" s="1" t="s">
        <v>74</v>
      </c>
      <c r="BG97" s="1" t="s">
        <v>74</v>
      </c>
      <c r="BH97" s="1" t="s">
        <v>74</v>
      </c>
      <c r="BI97" s="1">
        <v>12.0</v>
      </c>
      <c r="BJ97" s="1" t="s">
        <v>2245</v>
      </c>
      <c r="BK97" s="1" t="s">
        <v>128</v>
      </c>
      <c r="BL97" s="1" t="s">
        <v>232</v>
      </c>
      <c r="BM97" s="1" t="s">
        <v>2246</v>
      </c>
      <c r="BN97" s="1" t="s">
        <v>74</v>
      </c>
      <c r="BO97" s="1" t="s">
        <v>74</v>
      </c>
      <c r="BP97" s="1" t="s">
        <v>74</v>
      </c>
      <c r="BQ97" s="1" t="s">
        <v>74</v>
      </c>
      <c r="BR97" s="1" t="s">
        <v>102</v>
      </c>
      <c r="BS97" s="1" t="s">
        <v>2247</v>
      </c>
      <c r="BT97" s="1" t="str">
        <f>HYPERLINK("https%3A%2F%2Fwww.webofscience.com%2Fwos%2Fwoscc%2Ffull-record%2FWOS:000485186600015","View Full Record in Web of Science")</f>
        <v>View Full Record in Web of Science</v>
      </c>
    </row>
    <row r="98" ht="12.75" customHeight="1">
      <c r="A98" s="1" t="s">
        <v>132</v>
      </c>
      <c r="B98" s="1" t="s">
        <v>2248</v>
      </c>
      <c r="C98" s="1" t="s">
        <v>74</v>
      </c>
      <c r="D98" s="1" t="s">
        <v>74</v>
      </c>
      <c r="E98" s="1" t="s">
        <v>74</v>
      </c>
      <c r="F98" s="1" t="s">
        <v>2249</v>
      </c>
      <c r="G98" s="1" t="s">
        <v>74</v>
      </c>
      <c r="H98" s="1" t="s">
        <v>74</v>
      </c>
      <c r="I98" s="1" t="s">
        <v>2250</v>
      </c>
      <c r="J98" s="1" t="s">
        <v>2251</v>
      </c>
      <c r="K98" s="1" t="s">
        <v>74</v>
      </c>
      <c r="L98" s="1" t="s">
        <v>74</v>
      </c>
      <c r="M98" s="1" t="s">
        <v>80</v>
      </c>
      <c r="N98" s="1" t="s">
        <v>1010</v>
      </c>
      <c r="O98" s="1" t="s">
        <v>74</v>
      </c>
      <c r="P98" s="1" t="s">
        <v>74</v>
      </c>
      <c r="Q98" s="1" t="s">
        <v>74</v>
      </c>
      <c r="R98" s="1" t="s">
        <v>74</v>
      </c>
      <c r="S98" s="1" t="s">
        <v>74</v>
      </c>
      <c r="T98" s="1" t="s">
        <v>2252</v>
      </c>
      <c r="U98" s="1" t="s">
        <v>2253</v>
      </c>
      <c r="V98" s="1" t="s">
        <v>2254</v>
      </c>
      <c r="W98" s="1" t="s">
        <v>2255</v>
      </c>
      <c r="X98" s="1" t="s">
        <v>2256</v>
      </c>
      <c r="Y98" s="1" t="s">
        <v>2257</v>
      </c>
      <c r="Z98" s="1" t="s">
        <v>2258</v>
      </c>
      <c r="AA98" s="1" t="s">
        <v>2259</v>
      </c>
      <c r="AB98" s="1" t="s">
        <v>2260</v>
      </c>
      <c r="AC98" s="1" t="s">
        <v>74</v>
      </c>
      <c r="AD98" s="1" t="s">
        <v>74</v>
      </c>
      <c r="AE98" s="1" t="s">
        <v>74</v>
      </c>
      <c r="AF98" s="1" t="s">
        <v>74</v>
      </c>
      <c r="AG98" s="1">
        <v>58.0</v>
      </c>
      <c r="AH98" s="1">
        <v>0.0</v>
      </c>
      <c r="AI98" s="1">
        <v>1.0</v>
      </c>
      <c r="AJ98" s="1">
        <v>13.0</v>
      </c>
      <c r="AK98" s="1">
        <v>58.0</v>
      </c>
      <c r="AL98" s="1" t="s">
        <v>2261</v>
      </c>
      <c r="AM98" s="1" t="s">
        <v>2262</v>
      </c>
      <c r="AN98" s="1" t="s">
        <v>2263</v>
      </c>
      <c r="AO98" s="1" t="s">
        <v>2264</v>
      </c>
      <c r="AP98" s="1" t="s">
        <v>74</v>
      </c>
      <c r="AQ98" s="1" t="s">
        <v>74</v>
      </c>
      <c r="AR98" s="1" t="s">
        <v>2265</v>
      </c>
      <c r="AS98" s="1" t="s">
        <v>2266</v>
      </c>
      <c r="AT98" s="1" t="s">
        <v>1709</v>
      </c>
      <c r="AU98" s="1">
        <v>2022.0</v>
      </c>
      <c r="AV98" s="1">
        <v>17.0</v>
      </c>
      <c r="AW98" s="1">
        <v>3.0</v>
      </c>
      <c r="AX98" s="1" t="s">
        <v>74</v>
      </c>
      <c r="AY98" s="1" t="s">
        <v>74</v>
      </c>
      <c r="AZ98" s="1" t="s">
        <v>74</v>
      </c>
      <c r="BA98" s="1" t="s">
        <v>74</v>
      </c>
      <c r="BB98" s="1">
        <v>125.0</v>
      </c>
      <c r="BC98" s="1">
        <v>139.0</v>
      </c>
      <c r="BD98" s="1" t="s">
        <v>74</v>
      </c>
      <c r="BE98" s="1" t="s">
        <v>2267</v>
      </c>
      <c r="BF98" s="2" t="str">
        <f>HYPERLINK("http://dx.doi.org/10.4540/behav.87415","http://dx.doi.org/10.4540/behav.87415")</f>
        <v>http://dx.doi.org/10.4540/behav.87415</v>
      </c>
      <c r="BG98" s="1" t="s">
        <v>74</v>
      </c>
      <c r="BH98" s="1" t="s">
        <v>74</v>
      </c>
      <c r="BI98" s="1">
        <v>15.0</v>
      </c>
      <c r="BJ98" s="1" t="s">
        <v>98</v>
      </c>
      <c r="BK98" s="1" t="s">
        <v>172</v>
      </c>
      <c r="BL98" s="1" t="s">
        <v>100</v>
      </c>
      <c r="BM98" s="1" t="s">
        <v>2268</v>
      </c>
      <c r="BN98" s="1" t="s">
        <v>74</v>
      </c>
      <c r="BO98" s="1" t="s">
        <v>74</v>
      </c>
      <c r="BP98" s="1" t="s">
        <v>74</v>
      </c>
      <c r="BQ98" s="1" t="s">
        <v>74</v>
      </c>
      <c r="BR98" s="1" t="s">
        <v>102</v>
      </c>
      <c r="BS98" s="1" t="s">
        <v>2269</v>
      </c>
      <c r="BT98" s="1" t="str">
        <f>HYPERLINK("https%3A%2F%2Fwww.webofscience.com%2Fwos%2Fwoscc%2Ffull-record%2FWOS:000869995800009","View Full Record in Web of Science")</f>
        <v>View Full Record in Web of Science</v>
      </c>
    </row>
    <row r="99" ht="12.75" customHeight="1">
      <c r="A99" s="1" t="s">
        <v>132</v>
      </c>
      <c r="B99" s="1" t="s">
        <v>2270</v>
      </c>
      <c r="C99" s="1" t="s">
        <v>74</v>
      </c>
      <c r="D99" s="1" t="s">
        <v>74</v>
      </c>
      <c r="E99" s="1" t="s">
        <v>74</v>
      </c>
      <c r="F99" s="1" t="s">
        <v>2271</v>
      </c>
      <c r="G99" s="1" t="s">
        <v>74</v>
      </c>
      <c r="H99" s="1" t="s">
        <v>74</v>
      </c>
      <c r="I99" s="1" t="s">
        <v>2272</v>
      </c>
      <c r="J99" s="1" t="s">
        <v>2273</v>
      </c>
      <c r="K99" s="1" t="s">
        <v>74</v>
      </c>
      <c r="L99" s="1" t="s">
        <v>74</v>
      </c>
      <c r="M99" s="1" t="s">
        <v>80</v>
      </c>
      <c r="N99" s="1" t="s">
        <v>1010</v>
      </c>
      <c r="O99" s="1" t="s">
        <v>74</v>
      </c>
      <c r="P99" s="1" t="s">
        <v>74</v>
      </c>
      <c r="Q99" s="1" t="s">
        <v>74</v>
      </c>
      <c r="R99" s="1" t="s">
        <v>74</v>
      </c>
      <c r="S99" s="1" t="s">
        <v>74</v>
      </c>
      <c r="T99" s="1" t="s">
        <v>2274</v>
      </c>
      <c r="U99" s="1" t="s">
        <v>2275</v>
      </c>
      <c r="V99" s="1" t="s">
        <v>2276</v>
      </c>
      <c r="W99" s="1" t="s">
        <v>2277</v>
      </c>
      <c r="X99" s="1" t="s">
        <v>2278</v>
      </c>
      <c r="Y99" s="1" t="s">
        <v>2279</v>
      </c>
      <c r="Z99" s="1" t="s">
        <v>2280</v>
      </c>
      <c r="AA99" s="1" t="s">
        <v>74</v>
      </c>
      <c r="AB99" s="1" t="s">
        <v>74</v>
      </c>
      <c r="AC99" s="1" t="s">
        <v>74</v>
      </c>
      <c r="AD99" s="1" t="s">
        <v>74</v>
      </c>
      <c r="AE99" s="1" t="s">
        <v>74</v>
      </c>
      <c r="AF99" s="1" t="s">
        <v>74</v>
      </c>
      <c r="AG99" s="1">
        <v>50.0</v>
      </c>
      <c r="AH99" s="1">
        <v>0.0</v>
      </c>
      <c r="AI99" s="1">
        <v>0.0</v>
      </c>
      <c r="AJ99" s="1">
        <v>5.0</v>
      </c>
      <c r="AK99" s="1">
        <v>9.0</v>
      </c>
      <c r="AL99" s="1" t="s">
        <v>1020</v>
      </c>
      <c r="AM99" s="1" t="s">
        <v>1021</v>
      </c>
      <c r="AN99" s="1" t="s">
        <v>1022</v>
      </c>
      <c r="AO99" s="1" t="s">
        <v>2281</v>
      </c>
      <c r="AP99" s="1" t="s">
        <v>2282</v>
      </c>
      <c r="AQ99" s="1" t="s">
        <v>74</v>
      </c>
      <c r="AR99" s="1" t="s">
        <v>2283</v>
      </c>
      <c r="AS99" s="1" t="s">
        <v>2284</v>
      </c>
      <c r="AT99" s="1" t="s">
        <v>870</v>
      </c>
      <c r="AU99" s="1">
        <v>2024.0</v>
      </c>
      <c r="AV99" s="1">
        <v>30.0</v>
      </c>
      <c r="AW99" s="1">
        <v>1.0</v>
      </c>
      <c r="AX99" s="1" t="s">
        <v>74</v>
      </c>
      <c r="AY99" s="1" t="s">
        <v>74</v>
      </c>
      <c r="AZ99" s="1" t="s">
        <v>74</v>
      </c>
      <c r="BA99" s="1" t="s">
        <v>74</v>
      </c>
      <c r="BB99" s="1">
        <v>92.0</v>
      </c>
      <c r="BC99" s="1">
        <v>98.0</v>
      </c>
      <c r="BD99" s="1" t="s">
        <v>74</v>
      </c>
      <c r="BE99" s="1" t="s">
        <v>2285</v>
      </c>
      <c r="BF99" s="2" t="str">
        <f>HYPERLINK("http://dx.doi.org/10.1097/MCP.0000000000001024","http://dx.doi.org/10.1097/MCP.0000000000001024")</f>
        <v>http://dx.doi.org/10.1097/MCP.0000000000001024</v>
      </c>
      <c r="BG99" s="1" t="s">
        <v>74</v>
      </c>
      <c r="BH99" s="1" t="s">
        <v>74</v>
      </c>
      <c r="BI99" s="1">
        <v>7.0</v>
      </c>
      <c r="BJ99" s="1" t="s">
        <v>2286</v>
      </c>
      <c r="BK99" s="1" t="s">
        <v>149</v>
      </c>
      <c r="BL99" s="1" t="s">
        <v>2286</v>
      </c>
      <c r="BM99" s="1" t="s">
        <v>2287</v>
      </c>
      <c r="BN99" s="1">
        <v>3.7916605E7</v>
      </c>
      <c r="BO99" s="1" t="s">
        <v>74</v>
      </c>
      <c r="BP99" s="1" t="s">
        <v>74</v>
      </c>
      <c r="BQ99" s="1" t="s">
        <v>74</v>
      </c>
      <c r="BR99" s="1" t="s">
        <v>102</v>
      </c>
      <c r="BS99" s="1" t="s">
        <v>2288</v>
      </c>
      <c r="BT99" s="1" t="str">
        <f>HYPERLINK("https%3A%2F%2Fwww.webofscience.com%2Fwos%2Fwoscc%2Ffull-record%2FWOS:001163176900006","View Full Record in Web of Science")</f>
        <v>View Full Record in Web of Science</v>
      </c>
    </row>
    <row r="100" ht="12.75" customHeight="1">
      <c r="A100" s="1" t="s">
        <v>132</v>
      </c>
      <c r="B100" s="1" t="s">
        <v>2289</v>
      </c>
      <c r="C100" s="1" t="s">
        <v>74</v>
      </c>
      <c r="D100" s="1" t="s">
        <v>74</v>
      </c>
      <c r="E100" s="1" t="s">
        <v>74</v>
      </c>
      <c r="F100" s="1" t="s">
        <v>2290</v>
      </c>
      <c r="G100" s="1" t="s">
        <v>74</v>
      </c>
      <c r="H100" s="1" t="s">
        <v>2291</v>
      </c>
      <c r="I100" s="1" t="s">
        <v>2292</v>
      </c>
      <c r="J100" s="1" t="s">
        <v>2293</v>
      </c>
      <c r="K100" s="1" t="s">
        <v>74</v>
      </c>
      <c r="L100" s="1" t="s">
        <v>74</v>
      </c>
      <c r="M100" s="1" t="s">
        <v>2294</v>
      </c>
      <c r="N100" s="1" t="s">
        <v>136</v>
      </c>
      <c r="O100" s="1" t="s">
        <v>74</v>
      </c>
      <c r="P100" s="1" t="s">
        <v>74</v>
      </c>
      <c r="Q100" s="1" t="s">
        <v>74</v>
      </c>
      <c r="R100" s="1" t="s">
        <v>74</v>
      </c>
      <c r="S100" s="1" t="s">
        <v>74</v>
      </c>
      <c r="T100" s="1" t="s">
        <v>2295</v>
      </c>
      <c r="U100" s="1" t="s">
        <v>74</v>
      </c>
      <c r="V100" s="1" t="s">
        <v>2296</v>
      </c>
      <c r="W100" s="1" t="s">
        <v>2297</v>
      </c>
      <c r="X100" s="1" t="s">
        <v>2298</v>
      </c>
      <c r="Y100" s="1" t="s">
        <v>2299</v>
      </c>
      <c r="Z100" s="1" t="s">
        <v>2300</v>
      </c>
      <c r="AA100" s="1" t="s">
        <v>2301</v>
      </c>
      <c r="AB100" s="1" t="s">
        <v>74</v>
      </c>
      <c r="AC100" s="1" t="s">
        <v>74</v>
      </c>
      <c r="AD100" s="1" t="s">
        <v>74</v>
      </c>
      <c r="AE100" s="1" t="s">
        <v>74</v>
      </c>
      <c r="AF100" s="1" t="s">
        <v>74</v>
      </c>
      <c r="AG100" s="1">
        <v>29.0</v>
      </c>
      <c r="AH100" s="1">
        <v>1.0</v>
      </c>
      <c r="AI100" s="1">
        <v>1.0</v>
      </c>
      <c r="AJ100" s="1">
        <v>4.0</v>
      </c>
      <c r="AK100" s="1">
        <v>4.0</v>
      </c>
      <c r="AL100" s="1" t="s">
        <v>2302</v>
      </c>
      <c r="AM100" s="1" t="s">
        <v>2303</v>
      </c>
      <c r="AN100" s="1" t="s">
        <v>2304</v>
      </c>
      <c r="AO100" s="1" t="s">
        <v>2305</v>
      </c>
      <c r="AP100" s="1" t="s">
        <v>2306</v>
      </c>
      <c r="AQ100" s="1" t="s">
        <v>74</v>
      </c>
      <c r="AR100" s="1" t="s">
        <v>2307</v>
      </c>
      <c r="AS100" s="1" t="s">
        <v>2308</v>
      </c>
      <c r="AT100" s="1" t="s">
        <v>1709</v>
      </c>
      <c r="AU100" s="1">
        <v>2024.0</v>
      </c>
      <c r="AV100" s="1">
        <v>44.0</v>
      </c>
      <c r="AW100" s="1">
        <v>5.0</v>
      </c>
      <c r="AX100" s="1" t="s">
        <v>74</v>
      </c>
      <c r="AY100" s="1" t="s">
        <v>74</v>
      </c>
      <c r="AZ100" s="1" t="s">
        <v>74</v>
      </c>
      <c r="BA100" s="1" t="s">
        <v>74</v>
      </c>
      <c r="BB100" s="1">
        <v>353.0</v>
      </c>
      <c r="BC100" s="1">
        <v>360.0</v>
      </c>
      <c r="BD100" s="1" t="s">
        <v>74</v>
      </c>
      <c r="BE100" s="1" t="s">
        <v>2309</v>
      </c>
      <c r="BF100" s="2" t="str">
        <f>HYPERLINK("http://dx.doi.org/10.1016/j.annpat.2024.05.006","http://dx.doi.org/10.1016/j.annpat.2024.05.006")</f>
        <v>http://dx.doi.org/10.1016/j.annpat.2024.05.006</v>
      </c>
      <c r="BG100" s="1" t="s">
        <v>74</v>
      </c>
      <c r="BH100" s="1" t="s">
        <v>1883</v>
      </c>
      <c r="BI100" s="1">
        <v>8.0</v>
      </c>
      <c r="BJ100" s="1" t="s">
        <v>2310</v>
      </c>
      <c r="BK100" s="1" t="s">
        <v>149</v>
      </c>
      <c r="BL100" s="1" t="s">
        <v>2310</v>
      </c>
      <c r="BM100" s="1" t="s">
        <v>2311</v>
      </c>
      <c r="BN100" s="1">
        <v>3.8937204E7</v>
      </c>
      <c r="BO100" s="1" t="s">
        <v>74</v>
      </c>
      <c r="BP100" s="1" t="s">
        <v>74</v>
      </c>
      <c r="BQ100" s="1" t="s">
        <v>74</v>
      </c>
      <c r="BR100" s="1" t="s">
        <v>102</v>
      </c>
      <c r="BS100" s="1" t="s">
        <v>2312</v>
      </c>
      <c r="BT100" s="1" t="str">
        <f>HYPERLINK("https%3A%2F%2Fwww.webofscience.com%2Fwos%2Fwoscc%2Ffull-record%2FWOS:001316683000001","View Full Record in Web of Science")</f>
        <v>View Full Record in Web of Science</v>
      </c>
    </row>
    <row r="101" ht="12.75" customHeight="1">
      <c r="A101" s="1" t="s">
        <v>132</v>
      </c>
      <c r="B101" s="1" t="s">
        <v>2313</v>
      </c>
      <c r="C101" s="1" t="s">
        <v>74</v>
      </c>
      <c r="D101" s="1" t="s">
        <v>74</v>
      </c>
      <c r="E101" s="1" t="s">
        <v>74</v>
      </c>
      <c r="F101" s="1" t="s">
        <v>2314</v>
      </c>
      <c r="G101" s="1" t="s">
        <v>74</v>
      </c>
      <c r="H101" s="1" t="s">
        <v>74</v>
      </c>
      <c r="I101" s="1" t="s">
        <v>2315</v>
      </c>
      <c r="J101" s="1" t="s">
        <v>2316</v>
      </c>
      <c r="K101" s="1" t="s">
        <v>74</v>
      </c>
      <c r="L101" s="1" t="s">
        <v>74</v>
      </c>
      <c r="M101" s="1" t="s">
        <v>80</v>
      </c>
      <c r="N101" s="1" t="s">
        <v>1010</v>
      </c>
      <c r="O101" s="1" t="s">
        <v>74</v>
      </c>
      <c r="P101" s="1" t="s">
        <v>74</v>
      </c>
      <c r="Q101" s="1" t="s">
        <v>74</v>
      </c>
      <c r="R101" s="1" t="s">
        <v>74</v>
      </c>
      <c r="S101" s="1" t="s">
        <v>74</v>
      </c>
      <c r="T101" s="1" t="s">
        <v>2317</v>
      </c>
      <c r="U101" s="1" t="s">
        <v>2318</v>
      </c>
      <c r="V101" s="1" t="s">
        <v>2319</v>
      </c>
      <c r="W101" s="1" t="s">
        <v>2320</v>
      </c>
      <c r="X101" s="1" t="s">
        <v>2321</v>
      </c>
      <c r="Y101" s="1" t="s">
        <v>2322</v>
      </c>
      <c r="Z101" s="1" t="s">
        <v>2323</v>
      </c>
      <c r="AA101" s="1" t="s">
        <v>2324</v>
      </c>
      <c r="AB101" s="1" t="s">
        <v>2325</v>
      </c>
      <c r="AC101" s="1" t="s">
        <v>74</v>
      </c>
      <c r="AD101" s="1" t="s">
        <v>74</v>
      </c>
      <c r="AE101" s="1" t="s">
        <v>74</v>
      </c>
      <c r="AF101" s="1" t="s">
        <v>74</v>
      </c>
      <c r="AG101" s="1">
        <v>171.0</v>
      </c>
      <c r="AH101" s="1">
        <v>4.0</v>
      </c>
      <c r="AI101" s="1">
        <v>4.0</v>
      </c>
      <c r="AJ101" s="1">
        <v>75.0</v>
      </c>
      <c r="AK101" s="1">
        <v>75.0</v>
      </c>
      <c r="AL101" s="1" t="s">
        <v>1970</v>
      </c>
      <c r="AM101" s="1" t="s">
        <v>1658</v>
      </c>
      <c r="AN101" s="1" t="s">
        <v>1971</v>
      </c>
      <c r="AO101" s="1" t="s">
        <v>74</v>
      </c>
      <c r="AP101" s="1" t="s">
        <v>2326</v>
      </c>
      <c r="AQ101" s="1" t="s">
        <v>74</v>
      </c>
      <c r="AR101" s="1" t="s">
        <v>2316</v>
      </c>
      <c r="AS101" s="1" t="s">
        <v>2327</v>
      </c>
      <c r="AT101" s="1" t="s">
        <v>1279</v>
      </c>
      <c r="AU101" s="1">
        <v>2024.0</v>
      </c>
      <c r="AV101" s="1">
        <v>14.0</v>
      </c>
      <c r="AW101" s="1">
        <v>14.0</v>
      </c>
      <c r="AX101" s="1" t="s">
        <v>74</v>
      </c>
      <c r="AY101" s="1" t="s">
        <v>74</v>
      </c>
      <c r="AZ101" s="1" t="s">
        <v>74</v>
      </c>
      <c r="BA101" s="1" t="s">
        <v>74</v>
      </c>
      <c r="BB101" s="1" t="s">
        <v>74</v>
      </c>
      <c r="BC101" s="1" t="s">
        <v>74</v>
      </c>
      <c r="BD101" s="1">
        <v>1472.0</v>
      </c>
      <c r="BE101" s="1" t="s">
        <v>2328</v>
      </c>
      <c r="BF101" s="2" t="str">
        <f>HYPERLINK("http://dx.doi.org/10.3390/diagnostics14141472","http://dx.doi.org/10.3390/diagnostics14141472")</f>
        <v>http://dx.doi.org/10.3390/diagnostics14141472</v>
      </c>
      <c r="BG101" s="1" t="s">
        <v>74</v>
      </c>
      <c r="BH101" s="1" t="s">
        <v>74</v>
      </c>
      <c r="BI101" s="1">
        <v>52.0</v>
      </c>
      <c r="BJ101" s="1" t="s">
        <v>1158</v>
      </c>
      <c r="BK101" s="1" t="s">
        <v>149</v>
      </c>
      <c r="BL101" s="1" t="s">
        <v>1159</v>
      </c>
      <c r="BM101" s="1" t="s">
        <v>2329</v>
      </c>
      <c r="BN101" s="1">
        <v>3.906161E7</v>
      </c>
      <c r="BO101" s="1" t="s">
        <v>1161</v>
      </c>
      <c r="BP101" s="1" t="s">
        <v>74</v>
      </c>
      <c r="BQ101" s="1" t="s">
        <v>74</v>
      </c>
      <c r="BR101" s="1" t="s">
        <v>102</v>
      </c>
      <c r="BS101" s="1" t="s">
        <v>2330</v>
      </c>
      <c r="BT101" s="1" t="str">
        <f>HYPERLINK("https%3A%2F%2Fwww.webofscience.com%2Fwos%2Fwoscc%2Ffull-record%2FWOS:001276633600001","View Full Record in Web of Science")</f>
        <v>View Full Record in Web of Science</v>
      </c>
    </row>
    <row r="102" ht="12.75" customHeight="1">
      <c r="A102" s="1" t="s">
        <v>132</v>
      </c>
      <c r="B102" s="1" t="s">
        <v>2331</v>
      </c>
      <c r="C102" s="1" t="s">
        <v>74</v>
      </c>
      <c r="D102" s="1" t="s">
        <v>74</v>
      </c>
      <c r="E102" s="1" t="s">
        <v>74</v>
      </c>
      <c r="F102" s="1" t="s">
        <v>2332</v>
      </c>
      <c r="G102" s="1" t="s">
        <v>74</v>
      </c>
      <c r="H102" s="1" t="s">
        <v>74</v>
      </c>
      <c r="I102" s="1" t="s">
        <v>2333</v>
      </c>
      <c r="J102" s="1" t="s">
        <v>2334</v>
      </c>
      <c r="K102" s="1" t="s">
        <v>74</v>
      </c>
      <c r="L102" s="1" t="s">
        <v>74</v>
      </c>
      <c r="M102" s="1" t="s">
        <v>80</v>
      </c>
      <c r="N102" s="1" t="s">
        <v>136</v>
      </c>
      <c r="O102" s="1" t="s">
        <v>74</v>
      </c>
      <c r="P102" s="1" t="s">
        <v>74</v>
      </c>
      <c r="Q102" s="1" t="s">
        <v>74</v>
      </c>
      <c r="R102" s="1" t="s">
        <v>74</v>
      </c>
      <c r="S102" s="1" t="s">
        <v>74</v>
      </c>
      <c r="T102" s="1" t="s">
        <v>2335</v>
      </c>
      <c r="U102" s="1" t="s">
        <v>2336</v>
      </c>
      <c r="V102" s="1" t="s">
        <v>2337</v>
      </c>
      <c r="W102" s="1" t="s">
        <v>2338</v>
      </c>
      <c r="X102" s="1" t="s">
        <v>74</v>
      </c>
      <c r="Y102" s="1" t="s">
        <v>2339</v>
      </c>
      <c r="Z102" s="1" t="s">
        <v>2340</v>
      </c>
      <c r="AA102" s="1" t="s">
        <v>74</v>
      </c>
      <c r="AB102" s="1" t="s">
        <v>74</v>
      </c>
      <c r="AC102" s="1" t="s">
        <v>74</v>
      </c>
      <c r="AD102" s="1" t="s">
        <v>74</v>
      </c>
      <c r="AE102" s="1" t="s">
        <v>74</v>
      </c>
      <c r="AF102" s="1" t="s">
        <v>74</v>
      </c>
      <c r="AG102" s="1">
        <v>25.0</v>
      </c>
      <c r="AH102" s="1">
        <v>0.0</v>
      </c>
      <c r="AI102" s="1">
        <v>0.0</v>
      </c>
      <c r="AJ102" s="1">
        <v>5.0</v>
      </c>
      <c r="AK102" s="1">
        <v>9.0</v>
      </c>
      <c r="AL102" s="1" t="s">
        <v>2341</v>
      </c>
      <c r="AM102" s="1" t="s">
        <v>93</v>
      </c>
      <c r="AN102" s="1" t="s">
        <v>2342</v>
      </c>
      <c r="AO102" s="1" t="s">
        <v>2343</v>
      </c>
      <c r="AP102" s="1" t="s">
        <v>2344</v>
      </c>
      <c r="AQ102" s="1" t="s">
        <v>74</v>
      </c>
      <c r="AR102" s="1" t="s">
        <v>2345</v>
      </c>
      <c r="AS102" s="1" t="s">
        <v>2346</v>
      </c>
      <c r="AT102" s="1" t="s">
        <v>1027</v>
      </c>
      <c r="AU102" s="1">
        <v>2024.0</v>
      </c>
      <c r="AV102" s="1">
        <v>34.0</v>
      </c>
      <c r="AW102" s="1">
        <v>1.0</v>
      </c>
      <c r="AX102" s="1" t="s">
        <v>74</v>
      </c>
      <c r="AY102" s="1" t="s">
        <v>74</v>
      </c>
      <c r="AZ102" s="1" t="s">
        <v>74</v>
      </c>
      <c r="BA102" s="1" t="s">
        <v>74</v>
      </c>
      <c r="BB102" s="1">
        <v>10.0</v>
      </c>
      <c r="BC102" s="1">
        <v>17.0</v>
      </c>
      <c r="BD102" s="1" t="s">
        <v>74</v>
      </c>
      <c r="BE102" s="1" t="s">
        <v>2347</v>
      </c>
      <c r="BF102" s="2" t="str">
        <f>HYPERLINK("http://dx.doi.org/10.1016/j.femme.2023.12.002","http://dx.doi.org/10.1016/j.femme.2023.12.002")</f>
        <v>http://dx.doi.org/10.1016/j.femme.2023.12.002</v>
      </c>
      <c r="BG102" s="1" t="s">
        <v>74</v>
      </c>
      <c r="BH102" s="1" t="s">
        <v>1001</v>
      </c>
      <c r="BI102" s="1">
        <v>8.0</v>
      </c>
      <c r="BJ102" s="1" t="s">
        <v>656</v>
      </c>
      <c r="BK102" s="1" t="s">
        <v>172</v>
      </c>
      <c r="BL102" s="1" t="s">
        <v>656</v>
      </c>
      <c r="BM102" s="1" t="s">
        <v>2348</v>
      </c>
      <c r="BN102" s="1" t="s">
        <v>74</v>
      </c>
      <c r="BO102" s="1" t="s">
        <v>74</v>
      </c>
      <c r="BP102" s="1" t="s">
        <v>74</v>
      </c>
      <c r="BQ102" s="1" t="s">
        <v>74</v>
      </c>
      <c r="BR102" s="1" t="s">
        <v>102</v>
      </c>
      <c r="BS102" s="1" t="s">
        <v>2349</v>
      </c>
      <c r="BT102" s="1" t="str">
        <f>HYPERLINK("https%3A%2F%2Fwww.webofscience.com%2Fwos%2Fwoscc%2Ffull-record%2FWOS:001198220800001","View Full Record in Web of Science")</f>
        <v>View Full Record in Web of Science</v>
      </c>
    </row>
    <row r="103" ht="12.75" customHeight="1">
      <c r="A103" s="1" t="s">
        <v>72</v>
      </c>
      <c r="B103" s="1" t="s">
        <v>2350</v>
      </c>
      <c r="C103" s="1" t="s">
        <v>74</v>
      </c>
      <c r="D103" s="1" t="s">
        <v>105</v>
      </c>
      <c r="E103" s="1" t="s">
        <v>74</v>
      </c>
      <c r="F103" s="1" t="s">
        <v>2351</v>
      </c>
      <c r="G103" s="1" t="s">
        <v>74</v>
      </c>
      <c r="H103" s="1" t="s">
        <v>74</v>
      </c>
      <c r="I103" s="1" t="s">
        <v>2352</v>
      </c>
      <c r="J103" s="1" t="s">
        <v>108</v>
      </c>
      <c r="K103" s="1" t="s">
        <v>74</v>
      </c>
      <c r="L103" s="1" t="s">
        <v>74</v>
      </c>
      <c r="M103" s="1" t="s">
        <v>80</v>
      </c>
      <c r="N103" s="1" t="s">
        <v>81</v>
      </c>
      <c r="O103" s="1" t="s">
        <v>109</v>
      </c>
      <c r="P103" s="1" t="s">
        <v>110</v>
      </c>
      <c r="Q103" s="1" t="s">
        <v>111</v>
      </c>
      <c r="R103" s="1" t="s">
        <v>112</v>
      </c>
      <c r="S103" s="1" t="s">
        <v>113</v>
      </c>
      <c r="T103" s="1" t="s">
        <v>2353</v>
      </c>
      <c r="U103" s="1" t="s">
        <v>2354</v>
      </c>
      <c r="V103" s="1" t="s">
        <v>2355</v>
      </c>
      <c r="W103" s="1" t="s">
        <v>74</v>
      </c>
      <c r="X103" s="1" t="s">
        <v>74</v>
      </c>
      <c r="Y103" s="1" t="s">
        <v>74</v>
      </c>
      <c r="Z103" s="1" t="s">
        <v>1168</v>
      </c>
      <c r="AA103" s="1" t="s">
        <v>74</v>
      </c>
      <c r="AB103" s="1" t="s">
        <v>74</v>
      </c>
      <c r="AC103" s="1" t="s">
        <v>74</v>
      </c>
      <c r="AD103" s="1" t="s">
        <v>74</v>
      </c>
      <c r="AE103" s="1" t="s">
        <v>74</v>
      </c>
      <c r="AF103" s="1" t="s">
        <v>74</v>
      </c>
      <c r="AG103" s="1">
        <v>37.0</v>
      </c>
      <c r="AH103" s="1">
        <v>0.0</v>
      </c>
      <c r="AI103" s="1">
        <v>0.0</v>
      </c>
      <c r="AJ103" s="1">
        <v>7.0</v>
      </c>
      <c r="AK103" s="1">
        <v>29.0</v>
      </c>
      <c r="AL103" s="1" t="s">
        <v>122</v>
      </c>
      <c r="AM103" s="1" t="s">
        <v>123</v>
      </c>
      <c r="AN103" s="1" t="s">
        <v>124</v>
      </c>
      <c r="AO103" s="1" t="s">
        <v>74</v>
      </c>
      <c r="AP103" s="1" t="s">
        <v>74</v>
      </c>
      <c r="AQ103" s="1" t="s">
        <v>125</v>
      </c>
      <c r="AR103" s="1" t="s">
        <v>74</v>
      </c>
      <c r="AS103" s="1" t="s">
        <v>74</v>
      </c>
      <c r="AT103" s="1" t="s">
        <v>74</v>
      </c>
      <c r="AU103" s="1">
        <v>2021.0</v>
      </c>
      <c r="AV103" s="1" t="s">
        <v>74</v>
      </c>
      <c r="AW103" s="1" t="s">
        <v>74</v>
      </c>
      <c r="AX103" s="1" t="s">
        <v>74</v>
      </c>
      <c r="AY103" s="1" t="s">
        <v>74</v>
      </c>
      <c r="AZ103" s="1" t="s">
        <v>74</v>
      </c>
      <c r="BA103" s="1" t="s">
        <v>74</v>
      </c>
      <c r="BB103" s="1">
        <v>43.0</v>
      </c>
      <c r="BC103" s="1">
        <v>50.0</v>
      </c>
      <c r="BD103" s="1" t="s">
        <v>74</v>
      </c>
      <c r="BE103" s="1" t="s">
        <v>2356</v>
      </c>
      <c r="BF103" s="2" t="str">
        <f>HYPERLINK("http://dx.doi.org/10.34190/EAIR.21.038","http://dx.doi.org/10.34190/EAIR.21.038")</f>
        <v>http://dx.doi.org/10.34190/EAIR.21.038</v>
      </c>
      <c r="BG103" s="1" t="s">
        <v>74</v>
      </c>
      <c r="BH103" s="1" t="s">
        <v>74</v>
      </c>
      <c r="BI103" s="1">
        <v>8.0</v>
      </c>
      <c r="BJ103" s="1" t="s">
        <v>127</v>
      </c>
      <c r="BK103" s="1" t="s">
        <v>128</v>
      </c>
      <c r="BL103" s="1" t="s">
        <v>129</v>
      </c>
      <c r="BM103" s="1" t="s">
        <v>130</v>
      </c>
      <c r="BN103" s="1" t="s">
        <v>74</v>
      </c>
      <c r="BO103" s="1" t="s">
        <v>74</v>
      </c>
      <c r="BP103" s="1" t="s">
        <v>74</v>
      </c>
      <c r="BQ103" s="1" t="s">
        <v>74</v>
      </c>
      <c r="BR103" s="1" t="s">
        <v>102</v>
      </c>
      <c r="BS103" s="1" t="s">
        <v>2357</v>
      </c>
      <c r="BT103" s="1" t="str">
        <f>HYPERLINK("https%3A%2F%2Fwww.webofscience.com%2Fwos%2Fwoscc%2Ffull-record%2FWOS:000838033200006","View Full Record in Web of Science")</f>
        <v>View Full Record in Web of Science</v>
      </c>
    </row>
    <row r="104" ht="12.75" customHeight="1">
      <c r="A104" s="1" t="s">
        <v>72</v>
      </c>
      <c r="B104" s="1" t="s">
        <v>2358</v>
      </c>
      <c r="C104" s="1" t="s">
        <v>74</v>
      </c>
      <c r="D104" s="1" t="s">
        <v>74</v>
      </c>
      <c r="E104" s="1" t="s">
        <v>74</v>
      </c>
      <c r="F104" s="1" t="s">
        <v>2359</v>
      </c>
      <c r="G104" s="1" t="s">
        <v>74</v>
      </c>
      <c r="H104" s="1" t="s">
        <v>74</v>
      </c>
      <c r="I104" s="1" t="s">
        <v>2360</v>
      </c>
      <c r="J104" s="1" t="s">
        <v>2361</v>
      </c>
      <c r="K104" s="1" t="s">
        <v>74</v>
      </c>
      <c r="L104" s="1" t="s">
        <v>74</v>
      </c>
      <c r="M104" s="1" t="s">
        <v>80</v>
      </c>
      <c r="N104" s="1" t="s">
        <v>81</v>
      </c>
      <c r="O104" s="1" t="s">
        <v>2362</v>
      </c>
      <c r="P104" s="1" t="s">
        <v>2363</v>
      </c>
      <c r="Q104" s="1" t="s">
        <v>667</v>
      </c>
      <c r="R104" s="1" t="s">
        <v>2364</v>
      </c>
      <c r="S104" s="1" t="s">
        <v>74</v>
      </c>
      <c r="T104" s="1" t="s">
        <v>2365</v>
      </c>
      <c r="U104" s="1" t="s">
        <v>74</v>
      </c>
      <c r="V104" s="1" t="s">
        <v>2366</v>
      </c>
      <c r="W104" s="1" t="s">
        <v>2367</v>
      </c>
      <c r="X104" s="1" t="s">
        <v>673</v>
      </c>
      <c r="Y104" s="1" t="s">
        <v>2368</v>
      </c>
      <c r="Z104" s="1" t="s">
        <v>2369</v>
      </c>
      <c r="AA104" s="1" t="s">
        <v>2370</v>
      </c>
      <c r="AB104" s="1" t="s">
        <v>2371</v>
      </c>
      <c r="AC104" s="1" t="s">
        <v>74</v>
      </c>
      <c r="AD104" s="1" t="s">
        <v>74</v>
      </c>
      <c r="AE104" s="1" t="s">
        <v>74</v>
      </c>
      <c r="AF104" s="1" t="s">
        <v>74</v>
      </c>
      <c r="AG104" s="1">
        <v>27.0</v>
      </c>
      <c r="AH104" s="1">
        <v>5.0</v>
      </c>
      <c r="AI104" s="1">
        <v>5.0</v>
      </c>
      <c r="AJ104" s="1">
        <v>15.0</v>
      </c>
      <c r="AK104" s="1">
        <v>92.0</v>
      </c>
      <c r="AL104" s="1" t="s">
        <v>680</v>
      </c>
      <c r="AM104" s="1" t="s">
        <v>681</v>
      </c>
      <c r="AN104" s="1" t="s">
        <v>2372</v>
      </c>
      <c r="AO104" s="1" t="s">
        <v>2373</v>
      </c>
      <c r="AP104" s="1" t="s">
        <v>2374</v>
      </c>
      <c r="AQ104" s="1" t="s">
        <v>74</v>
      </c>
      <c r="AR104" s="1" t="s">
        <v>2375</v>
      </c>
      <c r="AS104" s="1" t="s">
        <v>2376</v>
      </c>
      <c r="AT104" s="1" t="s">
        <v>2377</v>
      </c>
      <c r="AU104" s="1">
        <v>2021.0</v>
      </c>
      <c r="AV104" s="1">
        <v>15.0</v>
      </c>
      <c r="AW104" s="1">
        <v>1.0</v>
      </c>
      <c r="AX104" s="1" t="s">
        <v>74</v>
      </c>
      <c r="AY104" s="1" t="s">
        <v>74</v>
      </c>
      <c r="AZ104" s="1" t="s">
        <v>74</v>
      </c>
      <c r="BA104" s="1" t="s">
        <v>74</v>
      </c>
      <c r="BB104" s="1">
        <v>749.0</v>
      </c>
      <c r="BC104" s="1">
        <v>758.0</v>
      </c>
      <c r="BD104" s="1" t="s">
        <v>74</v>
      </c>
      <c r="BE104" s="1" t="s">
        <v>2378</v>
      </c>
      <c r="BF104" s="2" t="str">
        <f>HYPERLINK("http://dx.doi.org/10.2478/picbe-2021-0070","http://dx.doi.org/10.2478/picbe-2021-0070")</f>
        <v>http://dx.doi.org/10.2478/picbe-2021-0070</v>
      </c>
      <c r="BG104" s="1" t="s">
        <v>74</v>
      </c>
      <c r="BH104" s="1" t="s">
        <v>74</v>
      </c>
      <c r="BI104" s="1">
        <v>10.0</v>
      </c>
      <c r="BJ104" s="1" t="s">
        <v>2040</v>
      </c>
      <c r="BK104" s="1" t="s">
        <v>128</v>
      </c>
      <c r="BL104" s="1" t="s">
        <v>204</v>
      </c>
      <c r="BM104" s="1" t="s">
        <v>2379</v>
      </c>
      <c r="BN104" s="1" t="s">
        <v>74</v>
      </c>
      <c r="BO104" s="1" t="s">
        <v>306</v>
      </c>
      <c r="BP104" s="1" t="s">
        <v>74</v>
      </c>
      <c r="BQ104" s="1" t="s">
        <v>74</v>
      </c>
      <c r="BR104" s="1" t="s">
        <v>102</v>
      </c>
      <c r="BS104" s="1" t="s">
        <v>2380</v>
      </c>
      <c r="BT104" s="1" t="str">
        <f>HYPERLINK("https%3A%2F%2Fwww.webofscience.com%2Fwos%2Fwoscc%2Ffull-record%2FWOS:000747987000031","View Full Record in Web of Science")</f>
        <v>View Full Record in Web of Science</v>
      </c>
    </row>
    <row r="105" ht="12.75" customHeight="1">
      <c r="A105" s="1" t="s">
        <v>72</v>
      </c>
      <c r="B105" s="1" t="s">
        <v>2381</v>
      </c>
      <c r="C105" s="1" t="s">
        <v>74</v>
      </c>
      <c r="D105" s="1" t="s">
        <v>2382</v>
      </c>
      <c r="E105" s="1" t="s">
        <v>74</v>
      </c>
      <c r="F105" s="1" t="s">
        <v>2383</v>
      </c>
      <c r="G105" s="1" t="s">
        <v>74</v>
      </c>
      <c r="H105" s="1" t="s">
        <v>74</v>
      </c>
      <c r="I105" s="1" t="s">
        <v>2384</v>
      </c>
      <c r="J105" s="1" t="s">
        <v>2385</v>
      </c>
      <c r="K105" s="1" t="s">
        <v>2386</v>
      </c>
      <c r="L105" s="1" t="s">
        <v>74</v>
      </c>
      <c r="M105" s="1" t="s">
        <v>80</v>
      </c>
      <c r="N105" s="1" t="s">
        <v>81</v>
      </c>
      <c r="O105" s="1" t="s">
        <v>2387</v>
      </c>
      <c r="P105" s="1" t="s">
        <v>2388</v>
      </c>
      <c r="Q105" s="1" t="s">
        <v>2030</v>
      </c>
      <c r="R105" s="1" t="s">
        <v>2389</v>
      </c>
      <c r="S105" s="1" t="s">
        <v>74</v>
      </c>
      <c r="T105" s="1" t="s">
        <v>2390</v>
      </c>
      <c r="U105" s="1" t="s">
        <v>74</v>
      </c>
      <c r="V105" s="1" t="s">
        <v>2391</v>
      </c>
      <c r="W105" s="1" t="s">
        <v>2392</v>
      </c>
      <c r="X105" s="1" t="s">
        <v>2393</v>
      </c>
      <c r="Y105" s="1" t="s">
        <v>2394</v>
      </c>
      <c r="Z105" s="1" t="s">
        <v>2395</v>
      </c>
      <c r="AA105" s="1" t="s">
        <v>2396</v>
      </c>
      <c r="AB105" s="1" t="s">
        <v>2397</v>
      </c>
      <c r="AC105" s="1" t="s">
        <v>74</v>
      </c>
      <c r="AD105" s="1" t="s">
        <v>74</v>
      </c>
      <c r="AE105" s="1" t="s">
        <v>74</v>
      </c>
      <c r="AF105" s="1" t="s">
        <v>74</v>
      </c>
      <c r="AG105" s="1">
        <v>31.0</v>
      </c>
      <c r="AH105" s="1">
        <v>0.0</v>
      </c>
      <c r="AI105" s="1">
        <v>0.0</v>
      </c>
      <c r="AJ105" s="1">
        <v>40.0</v>
      </c>
      <c r="AK105" s="1">
        <v>191.0</v>
      </c>
      <c r="AL105" s="1" t="s">
        <v>223</v>
      </c>
      <c r="AM105" s="1" t="s">
        <v>224</v>
      </c>
      <c r="AN105" s="1" t="s">
        <v>225</v>
      </c>
      <c r="AO105" s="1" t="s">
        <v>2398</v>
      </c>
      <c r="AP105" s="1" t="s">
        <v>2399</v>
      </c>
      <c r="AQ105" s="1" t="s">
        <v>2400</v>
      </c>
      <c r="AR105" s="1" t="s">
        <v>2401</v>
      </c>
      <c r="AS105" s="1" t="s">
        <v>74</v>
      </c>
      <c r="AT105" s="1" t="s">
        <v>74</v>
      </c>
      <c r="AU105" s="1">
        <v>2023.0</v>
      </c>
      <c r="AV105" s="1">
        <v>485.0</v>
      </c>
      <c r="AW105" s="1" t="s">
        <v>74</v>
      </c>
      <c r="AX105" s="1" t="s">
        <v>74</v>
      </c>
      <c r="AY105" s="1" t="s">
        <v>74</v>
      </c>
      <c r="AZ105" s="1" t="s">
        <v>74</v>
      </c>
      <c r="BA105" s="1" t="s">
        <v>74</v>
      </c>
      <c r="BB105" s="1">
        <v>187.0</v>
      </c>
      <c r="BC105" s="1">
        <v>198.0</v>
      </c>
      <c r="BD105" s="1" t="s">
        <v>74</v>
      </c>
      <c r="BE105" s="1" t="s">
        <v>2402</v>
      </c>
      <c r="BF105" s="2" t="str">
        <f>HYPERLINK("http://dx.doi.org/10.1007/978-3-031-08093-7_13","http://dx.doi.org/10.1007/978-3-031-08093-7_13")</f>
        <v>http://dx.doi.org/10.1007/978-3-031-08093-7_13</v>
      </c>
      <c r="BG105" s="1" t="s">
        <v>74</v>
      </c>
      <c r="BH105" s="1" t="s">
        <v>74</v>
      </c>
      <c r="BI105" s="1">
        <v>12.0</v>
      </c>
      <c r="BJ105" s="1" t="s">
        <v>2403</v>
      </c>
      <c r="BK105" s="1" t="s">
        <v>405</v>
      </c>
      <c r="BL105" s="1" t="s">
        <v>406</v>
      </c>
      <c r="BM105" s="1" t="s">
        <v>2404</v>
      </c>
      <c r="BN105" s="1" t="s">
        <v>74</v>
      </c>
      <c r="BO105" s="1" t="s">
        <v>74</v>
      </c>
      <c r="BP105" s="1" t="s">
        <v>74</v>
      </c>
      <c r="BQ105" s="1" t="s">
        <v>74</v>
      </c>
      <c r="BR105" s="1" t="s">
        <v>102</v>
      </c>
      <c r="BS105" s="1" t="s">
        <v>2405</v>
      </c>
      <c r="BT105" s="1" t="str">
        <f>HYPERLINK("https%3A%2F%2Fwww.webofscience.com%2Fwos%2Fwoscc%2Ffull-record%2FWOS:000894628000013","View Full Record in Web of Science")</f>
        <v>View Full Record in Web of Science</v>
      </c>
    </row>
    <row r="106" ht="12.75" customHeight="1">
      <c r="A106" s="1" t="s">
        <v>72</v>
      </c>
      <c r="B106" s="1" t="s">
        <v>2406</v>
      </c>
      <c r="C106" s="1" t="s">
        <v>74</v>
      </c>
      <c r="D106" s="1" t="s">
        <v>2407</v>
      </c>
      <c r="E106" s="1" t="s">
        <v>74</v>
      </c>
      <c r="F106" s="1" t="s">
        <v>2408</v>
      </c>
      <c r="G106" s="1" t="s">
        <v>74</v>
      </c>
      <c r="H106" s="1" t="s">
        <v>74</v>
      </c>
      <c r="I106" s="1" t="s">
        <v>2409</v>
      </c>
      <c r="J106" s="1" t="s">
        <v>2410</v>
      </c>
      <c r="K106" s="1" t="s">
        <v>2411</v>
      </c>
      <c r="L106" s="1" t="s">
        <v>74</v>
      </c>
      <c r="M106" s="1" t="s">
        <v>80</v>
      </c>
      <c r="N106" s="1" t="s">
        <v>81</v>
      </c>
      <c r="O106" s="1" t="s">
        <v>2412</v>
      </c>
      <c r="P106" s="1" t="s">
        <v>2413</v>
      </c>
      <c r="Q106" s="1" t="s">
        <v>667</v>
      </c>
      <c r="R106" s="1" t="s">
        <v>74</v>
      </c>
      <c r="S106" s="1" t="s">
        <v>74</v>
      </c>
      <c r="T106" s="1" t="s">
        <v>2414</v>
      </c>
      <c r="U106" s="1" t="s">
        <v>74</v>
      </c>
      <c r="V106" s="1" t="s">
        <v>2415</v>
      </c>
      <c r="W106" s="1" t="s">
        <v>2416</v>
      </c>
      <c r="X106" s="1" t="s">
        <v>2417</v>
      </c>
      <c r="Y106" s="1" t="s">
        <v>2418</v>
      </c>
      <c r="Z106" s="1" t="s">
        <v>2419</v>
      </c>
      <c r="AA106" s="1" t="s">
        <v>2420</v>
      </c>
      <c r="AB106" s="1" t="s">
        <v>2421</v>
      </c>
      <c r="AC106" s="1" t="s">
        <v>2422</v>
      </c>
      <c r="AD106" s="1" t="s">
        <v>2423</v>
      </c>
      <c r="AE106" s="1" t="s">
        <v>2424</v>
      </c>
      <c r="AF106" s="1" t="s">
        <v>74</v>
      </c>
      <c r="AG106" s="1">
        <v>13.0</v>
      </c>
      <c r="AH106" s="1">
        <v>9.0</v>
      </c>
      <c r="AI106" s="1">
        <v>9.0</v>
      </c>
      <c r="AJ106" s="1">
        <v>2.0</v>
      </c>
      <c r="AK106" s="1">
        <v>2.0</v>
      </c>
      <c r="AL106" s="1" t="s">
        <v>2425</v>
      </c>
      <c r="AM106" s="1" t="s">
        <v>2426</v>
      </c>
      <c r="AN106" s="1" t="s">
        <v>2427</v>
      </c>
      <c r="AO106" s="1" t="s">
        <v>2428</v>
      </c>
      <c r="AP106" s="1" t="s">
        <v>74</v>
      </c>
      <c r="AQ106" s="1" t="s">
        <v>74</v>
      </c>
      <c r="AR106" s="1" t="s">
        <v>2429</v>
      </c>
      <c r="AS106" s="1" t="s">
        <v>74</v>
      </c>
      <c r="AT106" s="1" t="s">
        <v>74</v>
      </c>
      <c r="AU106" s="1">
        <v>2021.0</v>
      </c>
      <c r="AV106" s="1">
        <v>142.0</v>
      </c>
      <c r="AW106" s="1" t="s">
        <v>74</v>
      </c>
      <c r="AX106" s="1" t="s">
        <v>74</v>
      </c>
      <c r="AY106" s="1" t="s">
        <v>74</v>
      </c>
      <c r="AZ106" s="1" t="s">
        <v>74</v>
      </c>
      <c r="BA106" s="1" t="s">
        <v>74</v>
      </c>
      <c r="BB106" s="1">
        <v>39.0</v>
      </c>
      <c r="BC106" s="1">
        <v>50.0</v>
      </c>
      <c r="BD106" s="1" t="s">
        <v>74</v>
      </c>
      <c r="BE106" s="1" t="s">
        <v>74</v>
      </c>
      <c r="BF106" s="1" t="s">
        <v>74</v>
      </c>
      <c r="BG106" s="1" t="s">
        <v>74</v>
      </c>
      <c r="BH106" s="1" t="s">
        <v>74</v>
      </c>
      <c r="BI106" s="1">
        <v>12.0</v>
      </c>
      <c r="BJ106" s="1" t="s">
        <v>2430</v>
      </c>
      <c r="BK106" s="1" t="s">
        <v>128</v>
      </c>
      <c r="BL106" s="1" t="s">
        <v>436</v>
      </c>
      <c r="BM106" s="1" t="s">
        <v>2431</v>
      </c>
      <c r="BN106" s="1" t="s">
        <v>74</v>
      </c>
      <c r="BO106" s="1" t="s">
        <v>74</v>
      </c>
      <c r="BP106" s="1" t="s">
        <v>74</v>
      </c>
      <c r="BQ106" s="1" t="s">
        <v>74</v>
      </c>
      <c r="BR106" s="1" t="s">
        <v>102</v>
      </c>
      <c r="BS106" s="1" t="s">
        <v>2432</v>
      </c>
      <c r="BT106" s="1" t="str">
        <f>HYPERLINK("https%3A%2F%2Fwww.webofscience.com%2Fwos%2Fwoscc%2Ffull-record%2FWOS:001239929200005","View Full Record in Web of Science")</f>
        <v>View Full Record in Web of Science</v>
      </c>
    </row>
    <row r="107" ht="12.75" customHeight="1">
      <c r="A107" s="1" t="s">
        <v>132</v>
      </c>
      <c r="B107" s="1" t="s">
        <v>2433</v>
      </c>
      <c r="C107" s="1" t="s">
        <v>74</v>
      </c>
      <c r="D107" s="1" t="s">
        <v>74</v>
      </c>
      <c r="E107" s="1" t="s">
        <v>74</v>
      </c>
      <c r="F107" s="1" t="s">
        <v>2434</v>
      </c>
      <c r="G107" s="1" t="s">
        <v>74</v>
      </c>
      <c r="H107" s="1" t="s">
        <v>74</v>
      </c>
      <c r="I107" s="1" t="s">
        <v>2435</v>
      </c>
      <c r="J107" s="1" t="s">
        <v>2436</v>
      </c>
      <c r="K107" s="1" t="s">
        <v>74</v>
      </c>
      <c r="L107" s="1" t="s">
        <v>74</v>
      </c>
      <c r="M107" s="1" t="s">
        <v>638</v>
      </c>
      <c r="N107" s="1" t="s">
        <v>136</v>
      </c>
      <c r="O107" s="1" t="s">
        <v>74</v>
      </c>
      <c r="P107" s="1" t="s">
        <v>74</v>
      </c>
      <c r="Q107" s="1" t="s">
        <v>74</v>
      </c>
      <c r="R107" s="1" t="s">
        <v>74</v>
      </c>
      <c r="S107" s="1" t="s">
        <v>74</v>
      </c>
      <c r="T107" s="1" t="s">
        <v>2437</v>
      </c>
      <c r="U107" s="1" t="s">
        <v>74</v>
      </c>
      <c r="V107" s="1" t="s">
        <v>2438</v>
      </c>
      <c r="W107" s="1" t="s">
        <v>2439</v>
      </c>
      <c r="X107" s="1" t="s">
        <v>2417</v>
      </c>
      <c r="Y107" s="1" t="s">
        <v>2440</v>
      </c>
      <c r="Z107" s="1" t="s">
        <v>2441</v>
      </c>
      <c r="AA107" s="1" t="s">
        <v>2442</v>
      </c>
      <c r="AB107" s="1" t="s">
        <v>74</v>
      </c>
      <c r="AC107" s="1" t="s">
        <v>74</v>
      </c>
      <c r="AD107" s="1" t="s">
        <v>74</v>
      </c>
      <c r="AE107" s="1" t="s">
        <v>74</v>
      </c>
      <c r="AF107" s="1" t="s">
        <v>74</v>
      </c>
      <c r="AG107" s="1">
        <v>0.0</v>
      </c>
      <c r="AH107" s="1">
        <v>3.0</v>
      </c>
      <c r="AI107" s="1">
        <v>3.0</v>
      </c>
      <c r="AJ107" s="1">
        <v>4.0</v>
      </c>
      <c r="AK107" s="1">
        <v>4.0</v>
      </c>
      <c r="AL107" s="1" t="s">
        <v>2443</v>
      </c>
      <c r="AM107" s="1" t="s">
        <v>2444</v>
      </c>
      <c r="AN107" s="1" t="s">
        <v>2445</v>
      </c>
      <c r="AO107" s="1" t="s">
        <v>74</v>
      </c>
      <c r="AP107" s="1" t="s">
        <v>2446</v>
      </c>
      <c r="AQ107" s="1" t="s">
        <v>74</v>
      </c>
      <c r="AR107" s="1" t="s">
        <v>2436</v>
      </c>
      <c r="AS107" s="1" t="s">
        <v>2447</v>
      </c>
      <c r="AT107" s="1" t="s">
        <v>1364</v>
      </c>
      <c r="AU107" s="1">
        <v>2023.0</v>
      </c>
      <c r="AV107" s="1" t="s">
        <v>74</v>
      </c>
      <c r="AW107" s="1">
        <v>26.0</v>
      </c>
      <c r="AX107" s="1" t="s">
        <v>74</v>
      </c>
      <c r="AY107" s="1" t="s">
        <v>74</v>
      </c>
      <c r="AZ107" s="1" t="s">
        <v>74</v>
      </c>
      <c r="BA107" s="1" t="s">
        <v>74</v>
      </c>
      <c r="BB107" s="1">
        <v>4.0</v>
      </c>
      <c r="BC107" s="1">
        <v>6.0</v>
      </c>
      <c r="BD107" s="1" t="s">
        <v>74</v>
      </c>
      <c r="BE107" s="1" t="s">
        <v>2448</v>
      </c>
      <c r="BF107" s="2" t="str">
        <f>HYPERLINK("http://dx.doi.org/10.31009/hipertext.net.2023.i26.01","http://dx.doi.org/10.31009/hipertext.net.2023.i26.01")</f>
        <v>http://dx.doi.org/10.31009/hipertext.net.2023.i26.01</v>
      </c>
      <c r="BG107" s="1" t="s">
        <v>74</v>
      </c>
      <c r="BH107" s="1" t="s">
        <v>74</v>
      </c>
      <c r="BI107" s="1">
        <v>3.0</v>
      </c>
      <c r="BJ107" s="1" t="s">
        <v>2449</v>
      </c>
      <c r="BK107" s="1" t="s">
        <v>172</v>
      </c>
      <c r="BL107" s="1" t="s">
        <v>2449</v>
      </c>
      <c r="BM107" s="1" t="s">
        <v>2450</v>
      </c>
      <c r="BN107" s="1" t="s">
        <v>74</v>
      </c>
      <c r="BO107" s="1" t="s">
        <v>1161</v>
      </c>
      <c r="BP107" s="1" t="s">
        <v>74</v>
      </c>
      <c r="BQ107" s="1" t="s">
        <v>74</v>
      </c>
      <c r="BR107" s="1" t="s">
        <v>102</v>
      </c>
      <c r="BS107" s="1" t="s">
        <v>2451</v>
      </c>
      <c r="BT107" s="1" t="str">
        <f>HYPERLINK("https%3A%2F%2Fwww.webofscience.com%2Fwos%2Fwoscc%2Ffull-record%2FWOS:001378397300001","View Full Record in Web of Science")</f>
        <v>View Full Record in Web of Science</v>
      </c>
    </row>
    <row r="108" ht="12.75" customHeight="1">
      <c r="A108" s="1" t="s">
        <v>132</v>
      </c>
      <c r="B108" s="1" t="s">
        <v>2452</v>
      </c>
      <c r="C108" s="1" t="s">
        <v>74</v>
      </c>
      <c r="D108" s="1" t="s">
        <v>74</v>
      </c>
      <c r="E108" s="1" t="s">
        <v>74</v>
      </c>
      <c r="F108" s="1" t="s">
        <v>2453</v>
      </c>
      <c r="G108" s="1" t="s">
        <v>74</v>
      </c>
      <c r="H108" s="1" t="s">
        <v>74</v>
      </c>
      <c r="I108" s="1" t="s">
        <v>2454</v>
      </c>
      <c r="J108" s="1" t="s">
        <v>2455</v>
      </c>
      <c r="K108" s="1" t="s">
        <v>74</v>
      </c>
      <c r="L108" s="1" t="s">
        <v>74</v>
      </c>
      <c r="M108" s="1" t="s">
        <v>80</v>
      </c>
      <c r="N108" s="1" t="s">
        <v>136</v>
      </c>
      <c r="O108" s="1" t="s">
        <v>74</v>
      </c>
      <c r="P108" s="1" t="s">
        <v>74</v>
      </c>
      <c r="Q108" s="1" t="s">
        <v>74</v>
      </c>
      <c r="R108" s="1" t="s">
        <v>74</v>
      </c>
      <c r="S108" s="1" t="s">
        <v>74</v>
      </c>
      <c r="T108" s="1" t="s">
        <v>2456</v>
      </c>
      <c r="U108" s="1" t="s">
        <v>74</v>
      </c>
      <c r="V108" s="1" t="s">
        <v>2457</v>
      </c>
      <c r="W108" s="1" t="s">
        <v>2458</v>
      </c>
      <c r="X108" s="1" t="s">
        <v>2459</v>
      </c>
      <c r="Y108" s="1" t="s">
        <v>2460</v>
      </c>
      <c r="Z108" s="1" t="s">
        <v>2461</v>
      </c>
      <c r="AA108" s="1" t="s">
        <v>2462</v>
      </c>
      <c r="AB108" s="1" t="s">
        <v>2463</v>
      </c>
      <c r="AC108" s="1" t="s">
        <v>74</v>
      </c>
      <c r="AD108" s="1" t="s">
        <v>74</v>
      </c>
      <c r="AE108" s="1" t="s">
        <v>2464</v>
      </c>
      <c r="AF108" s="1" t="s">
        <v>74</v>
      </c>
      <c r="AG108" s="1">
        <v>43.0</v>
      </c>
      <c r="AH108" s="1">
        <v>0.0</v>
      </c>
      <c r="AI108" s="1">
        <v>0.0</v>
      </c>
      <c r="AJ108" s="1">
        <v>28.0</v>
      </c>
      <c r="AK108" s="1">
        <v>28.0</v>
      </c>
      <c r="AL108" s="1" t="s">
        <v>321</v>
      </c>
      <c r="AM108" s="1" t="s">
        <v>322</v>
      </c>
      <c r="AN108" s="1" t="s">
        <v>323</v>
      </c>
      <c r="AO108" s="1" t="s">
        <v>2465</v>
      </c>
      <c r="AP108" s="1" t="s">
        <v>2466</v>
      </c>
      <c r="AQ108" s="1" t="s">
        <v>74</v>
      </c>
      <c r="AR108" s="1" t="s">
        <v>2467</v>
      </c>
      <c r="AS108" s="1" t="s">
        <v>2468</v>
      </c>
      <c r="AT108" s="1" t="s">
        <v>2469</v>
      </c>
      <c r="AU108" s="1">
        <v>2024.0</v>
      </c>
      <c r="AV108" s="1">
        <v>27.0</v>
      </c>
      <c r="AW108" s="1" t="s">
        <v>74</v>
      </c>
      <c r="AX108" s="1" t="s">
        <v>74</v>
      </c>
      <c r="AY108" s="1" t="s">
        <v>74</v>
      </c>
      <c r="AZ108" s="1" t="s">
        <v>74</v>
      </c>
      <c r="BA108" s="1" t="s">
        <v>74</v>
      </c>
      <c r="BB108" s="1" t="s">
        <v>74</v>
      </c>
      <c r="BC108" s="1" t="s">
        <v>74</v>
      </c>
      <c r="BD108" s="1">
        <v>101292.0</v>
      </c>
      <c r="BE108" s="1" t="s">
        <v>2470</v>
      </c>
      <c r="BF108" s="2" t="str">
        <f>HYPERLINK("http://dx.doi.org/10.1016/j.iot.2024.101292","http://dx.doi.org/10.1016/j.iot.2024.101292")</f>
        <v>http://dx.doi.org/10.1016/j.iot.2024.101292</v>
      </c>
      <c r="BG108" s="1" t="s">
        <v>74</v>
      </c>
      <c r="BH108" s="1" t="s">
        <v>1929</v>
      </c>
      <c r="BI108" s="1">
        <v>26.0</v>
      </c>
      <c r="BJ108" s="1" t="s">
        <v>1618</v>
      </c>
      <c r="BK108" s="1" t="s">
        <v>149</v>
      </c>
      <c r="BL108" s="1" t="s">
        <v>1619</v>
      </c>
      <c r="BM108" s="1" t="s">
        <v>2471</v>
      </c>
      <c r="BN108" s="1" t="s">
        <v>74</v>
      </c>
      <c r="BO108" s="1" t="s">
        <v>74</v>
      </c>
      <c r="BP108" s="1" t="s">
        <v>74</v>
      </c>
      <c r="BQ108" s="1" t="s">
        <v>74</v>
      </c>
      <c r="BR108" s="1" t="s">
        <v>102</v>
      </c>
      <c r="BS108" s="1" t="s">
        <v>2472</v>
      </c>
      <c r="BT108" s="1" t="str">
        <f>HYPERLINK("https%3A%2F%2Fwww.webofscience.com%2Fwos%2Fwoscc%2Ffull-record%2FWOS:001280963100001","View Full Record in Web of Science")</f>
        <v>View Full Record in Web of Science</v>
      </c>
    </row>
    <row r="109" ht="12.75" customHeight="1">
      <c r="A109" s="1" t="s">
        <v>132</v>
      </c>
      <c r="B109" s="1" t="s">
        <v>2473</v>
      </c>
      <c r="C109" s="1" t="s">
        <v>74</v>
      </c>
      <c r="D109" s="1" t="s">
        <v>74</v>
      </c>
      <c r="E109" s="1" t="s">
        <v>74</v>
      </c>
      <c r="F109" s="1" t="s">
        <v>2474</v>
      </c>
      <c r="G109" s="1" t="s">
        <v>74</v>
      </c>
      <c r="H109" s="1" t="s">
        <v>74</v>
      </c>
      <c r="I109" s="1" t="s">
        <v>2475</v>
      </c>
      <c r="J109" s="1" t="s">
        <v>1348</v>
      </c>
      <c r="K109" s="1" t="s">
        <v>74</v>
      </c>
      <c r="L109" s="1" t="s">
        <v>74</v>
      </c>
      <c r="M109" s="1" t="s">
        <v>80</v>
      </c>
      <c r="N109" s="1" t="s">
        <v>136</v>
      </c>
      <c r="O109" s="1" t="s">
        <v>74</v>
      </c>
      <c r="P109" s="1" t="s">
        <v>74</v>
      </c>
      <c r="Q109" s="1" t="s">
        <v>74</v>
      </c>
      <c r="R109" s="1" t="s">
        <v>74</v>
      </c>
      <c r="S109" s="1" t="s">
        <v>74</v>
      </c>
      <c r="T109" s="1" t="s">
        <v>2476</v>
      </c>
      <c r="U109" s="1" t="s">
        <v>2477</v>
      </c>
      <c r="V109" s="1" t="s">
        <v>2478</v>
      </c>
      <c r="W109" s="1" t="s">
        <v>2479</v>
      </c>
      <c r="X109" s="1" t="s">
        <v>2480</v>
      </c>
      <c r="Y109" s="1" t="s">
        <v>2481</v>
      </c>
      <c r="Z109" s="1" t="s">
        <v>2482</v>
      </c>
      <c r="AA109" s="1" t="s">
        <v>74</v>
      </c>
      <c r="AB109" s="1" t="s">
        <v>2483</v>
      </c>
      <c r="AC109" s="1" t="s">
        <v>2484</v>
      </c>
      <c r="AD109" s="1" t="s">
        <v>2485</v>
      </c>
      <c r="AE109" s="1" t="s">
        <v>2486</v>
      </c>
      <c r="AF109" s="1" t="s">
        <v>74</v>
      </c>
      <c r="AG109" s="1">
        <v>74.0</v>
      </c>
      <c r="AH109" s="1">
        <v>5.0</v>
      </c>
      <c r="AI109" s="1">
        <v>5.0</v>
      </c>
      <c r="AJ109" s="1">
        <v>27.0</v>
      </c>
      <c r="AK109" s="1">
        <v>128.0</v>
      </c>
      <c r="AL109" s="1" t="s">
        <v>1357</v>
      </c>
      <c r="AM109" s="1" t="s">
        <v>1358</v>
      </c>
      <c r="AN109" s="1" t="s">
        <v>1359</v>
      </c>
      <c r="AO109" s="1" t="s">
        <v>1360</v>
      </c>
      <c r="AP109" s="1" t="s">
        <v>1361</v>
      </c>
      <c r="AQ109" s="1" t="s">
        <v>74</v>
      </c>
      <c r="AR109" s="1" t="s">
        <v>1362</v>
      </c>
      <c r="AS109" s="1" t="s">
        <v>1363</v>
      </c>
      <c r="AT109" s="1" t="s">
        <v>1364</v>
      </c>
      <c r="AU109" s="1">
        <v>2022.0</v>
      </c>
      <c r="AV109" s="1">
        <v>39.0</v>
      </c>
      <c r="AW109" s="1">
        <v>3.0</v>
      </c>
      <c r="AX109" s="1" t="s">
        <v>74</v>
      </c>
      <c r="AY109" s="1" t="s">
        <v>74</v>
      </c>
      <c r="AZ109" s="1" t="s">
        <v>474</v>
      </c>
      <c r="BA109" s="1" t="s">
        <v>74</v>
      </c>
      <c r="BB109" s="1">
        <v>597.0</v>
      </c>
      <c r="BC109" s="1">
        <v>608.0</v>
      </c>
      <c r="BD109" s="1" t="s">
        <v>74</v>
      </c>
      <c r="BE109" s="1" t="s">
        <v>2487</v>
      </c>
      <c r="BF109" s="2" t="str">
        <f>HYPERLINK("http://dx.doi.org/10.1002/sres.2854","http://dx.doi.org/10.1002/sres.2854")</f>
        <v>http://dx.doi.org/10.1002/sres.2854</v>
      </c>
      <c r="BG109" s="1" t="s">
        <v>74</v>
      </c>
      <c r="BH109" s="1" t="s">
        <v>1366</v>
      </c>
      <c r="BI109" s="1">
        <v>12.0</v>
      </c>
      <c r="BJ109" s="1" t="s">
        <v>1367</v>
      </c>
      <c r="BK109" s="1" t="s">
        <v>203</v>
      </c>
      <c r="BL109" s="1" t="s">
        <v>715</v>
      </c>
      <c r="BM109" s="1" t="s">
        <v>1368</v>
      </c>
      <c r="BN109" s="1" t="s">
        <v>74</v>
      </c>
      <c r="BO109" s="1" t="s">
        <v>74</v>
      </c>
      <c r="BP109" s="1" t="s">
        <v>74</v>
      </c>
      <c r="BQ109" s="1" t="s">
        <v>74</v>
      </c>
      <c r="BR109" s="1" t="s">
        <v>102</v>
      </c>
      <c r="BS109" s="1" t="s">
        <v>2488</v>
      </c>
      <c r="BT109" s="1" t="str">
        <f>HYPERLINK("https%3A%2F%2Fwww.webofscience.com%2Fwos%2Fwoscc%2Ffull-record%2FWOS:000802001800001","View Full Record in Web of Science")</f>
        <v>View Full Record in Web of Science</v>
      </c>
    </row>
    <row r="110" ht="12.75" customHeight="1">
      <c r="A110" s="1" t="s">
        <v>72</v>
      </c>
      <c r="B110" s="1" t="s">
        <v>2489</v>
      </c>
      <c r="C110" s="1" t="s">
        <v>74</v>
      </c>
      <c r="D110" s="1" t="s">
        <v>362</v>
      </c>
      <c r="E110" s="1" t="s">
        <v>74</v>
      </c>
      <c r="F110" s="1" t="s">
        <v>2490</v>
      </c>
      <c r="G110" s="1" t="s">
        <v>74</v>
      </c>
      <c r="H110" s="1" t="s">
        <v>74</v>
      </c>
      <c r="I110" s="1" t="s">
        <v>2491</v>
      </c>
      <c r="J110" s="1" t="s">
        <v>365</v>
      </c>
      <c r="K110" s="1" t="s">
        <v>74</v>
      </c>
      <c r="L110" s="1" t="s">
        <v>74</v>
      </c>
      <c r="M110" s="1" t="s">
        <v>80</v>
      </c>
      <c r="N110" s="1" t="s">
        <v>81</v>
      </c>
      <c r="O110" s="1" t="s">
        <v>366</v>
      </c>
      <c r="P110" s="1" t="s">
        <v>367</v>
      </c>
      <c r="Q110" s="1" t="s">
        <v>368</v>
      </c>
      <c r="R110" s="1" t="s">
        <v>74</v>
      </c>
      <c r="S110" s="1" t="s">
        <v>369</v>
      </c>
      <c r="T110" s="1" t="s">
        <v>2492</v>
      </c>
      <c r="U110" s="1" t="s">
        <v>74</v>
      </c>
      <c r="V110" s="1" t="s">
        <v>2493</v>
      </c>
      <c r="W110" s="1" t="s">
        <v>2494</v>
      </c>
      <c r="X110" s="1" t="s">
        <v>2495</v>
      </c>
      <c r="Y110" s="1" t="s">
        <v>2496</v>
      </c>
      <c r="Z110" s="1" t="s">
        <v>2497</v>
      </c>
      <c r="AA110" s="1" t="s">
        <v>74</v>
      </c>
      <c r="AB110" s="1" t="s">
        <v>74</v>
      </c>
      <c r="AC110" s="1" t="s">
        <v>74</v>
      </c>
      <c r="AD110" s="1" t="s">
        <v>74</v>
      </c>
      <c r="AE110" s="1" t="s">
        <v>74</v>
      </c>
      <c r="AF110" s="1" t="s">
        <v>74</v>
      </c>
      <c r="AG110" s="1">
        <v>52.0</v>
      </c>
      <c r="AH110" s="1">
        <v>1.0</v>
      </c>
      <c r="AI110" s="1">
        <v>1.0</v>
      </c>
      <c r="AJ110" s="1">
        <v>6.0</v>
      </c>
      <c r="AK110" s="1">
        <v>68.0</v>
      </c>
      <c r="AL110" s="1" t="s">
        <v>122</v>
      </c>
      <c r="AM110" s="1" t="s">
        <v>123</v>
      </c>
      <c r="AN110" s="1" t="s">
        <v>124</v>
      </c>
      <c r="AO110" s="1" t="s">
        <v>74</v>
      </c>
      <c r="AP110" s="1" t="s">
        <v>74</v>
      </c>
      <c r="AQ110" s="1" t="s">
        <v>376</v>
      </c>
      <c r="AR110" s="1" t="s">
        <v>74</v>
      </c>
      <c r="AS110" s="1" t="s">
        <v>74</v>
      </c>
      <c r="AT110" s="1" t="s">
        <v>74</v>
      </c>
      <c r="AU110" s="1">
        <v>2019.0</v>
      </c>
      <c r="AV110" s="1" t="s">
        <v>74</v>
      </c>
      <c r="AW110" s="1" t="s">
        <v>74</v>
      </c>
      <c r="AX110" s="1" t="s">
        <v>74</v>
      </c>
      <c r="AY110" s="1" t="s">
        <v>74</v>
      </c>
      <c r="AZ110" s="1" t="s">
        <v>74</v>
      </c>
      <c r="BA110" s="1" t="s">
        <v>74</v>
      </c>
      <c r="BB110" s="1">
        <v>12.0</v>
      </c>
      <c r="BC110" s="1">
        <v>22.0</v>
      </c>
      <c r="BD110" s="1" t="s">
        <v>74</v>
      </c>
      <c r="BE110" s="1" t="s">
        <v>2498</v>
      </c>
      <c r="BF110" s="2" t="str">
        <f>HYPERLINK("http://dx.doi.org/10.34190/ECIAIR.19.079","http://dx.doi.org/10.34190/ECIAIR.19.079")</f>
        <v>http://dx.doi.org/10.34190/ECIAIR.19.079</v>
      </c>
      <c r="BG110" s="1" t="s">
        <v>74</v>
      </c>
      <c r="BH110" s="1" t="s">
        <v>74</v>
      </c>
      <c r="BI110" s="1">
        <v>11.0</v>
      </c>
      <c r="BJ110" s="1" t="s">
        <v>127</v>
      </c>
      <c r="BK110" s="1" t="s">
        <v>128</v>
      </c>
      <c r="BL110" s="1" t="s">
        <v>129</v>
      </c>
      <c r="BM110" s="1" t="s">
        <v>378</v>
      </c>
      <c r="BN110" s="1" t="s">
        <v>74</v>
      </c>
      <c r="BO110" s="1" t="s">
        <v>74</v>
      </c>
      <c r="BP110" s="1" t="s">
        <v>74</v>
      </c>
      <c r="BQ110" s="1" t="s">
        <v>74</v>
      </c>
      <c r="BR110" s="1" t="s">
        <v>102</v>
      </c>
      <c r="BS110" s="1" t="s">
        <v>2499</v>
      </c>
      <c r="BT110" s="1" t="str">
        <f>HYPERLINK("https%3A%2F%2Fwww.webofscience.com%2Fwos%2Fwoscc%2Ffull-record%2FWOS:000539633500002","View Full Record in Web of Science")</f>
        <v>View Full Record in Web of Science</v>
      </c>
    </row>
    <row r="111" ht="12.75" customHeight="1">
      <c r="A111" s="1" t="s">
        <v>72</v>
      </c>
      <c r="B111" s="1" t="s">
        <v>2500</v>
      </c>
      <c r="C111" s="1" t="s">
        <v>74</v>
      </c>
      <c r="D111" s="1" t="s">
        <v>74</v>
      </c>
      <c r="E111" s="1" t="s">
        <v>236</v>
      </c>
      <c r="F111" s="1" t="s">
        <v>2501</v>
      </c>
      <c r="G111" s="1" t="s">
        <v>74</v>
      </c>
      <c r="H111" s="1" t="s">
        <v>74</v>
      </c>
      <c r="I111" s="1" t="s">
        <v>2502</v>
      </c>
      <c r="J111" s="1" t="s">
        <v>2503</v>
      </c>
      <c r="K111" s="1" t="s">
        <v>74</v>
      </c>
      <c r="L111" s="1" t="s">
        <v>74</v>
      </c>
      <c r="M111" s="1" t="s">
        <v>80</v>
      </c>
      <c r="N111" s="1" t="s">
        <v>81</v>
      </c>
      <c r="O111" s="1" t="s">
        <v>2504</v>
      </c>
      <c r="P111" s="1" t="s">
        <v>2505</v>
      </c>
      <c r="Q111" s="1" t="s">
        <v>2506</v>
      </c>
      <c r="R111" s="1" t="s">
        <v>2507</v>
      </c>
      <c r="S111" s="1" t="s">
        <v>74</v>
      </c>
      <c r="T111" s="1" t="s">
        <v>2508</v>
      </c>
      <c r="U111" s="1" t="s">
        <v>74</v>
      </c>
      <c r="V111" s="1" t="s">
        <v>2509</v>
      </c>
      <c r="W111" s="1" t="s">
        <v>2510</v>
      </c>
      <c r="X111" s="1" t="s">
        <v>2511</v>
      </c>
      <c r="Y111" s="1" t="s">
        <v>2512</v>
      </c>
      <c r="Z111" s="1" t="s">
        <v>2513</v>
      </c>
      <c r="AA111" s="1" t="s">
        <v>2514</v>
      </c>
      <c r="AB111" s="1" t="s">
        <v>2515</v>
      </c>
      <c r="AC111" s="1" t="s">
        <v>74</v>
      </c>
      <c r="AD111" s="1" t="s">
        <v>74</v>
      </c>
      <c r="AE111" s="1" t="s">
        <v>74</v>
      </c>
      <c r="AF111" s="1" t="s">
        <v>74</v>
      </c>
      <c r="AG111" s="1">
        <v>14.0</v>
      </c>
      <c r="AH111" s="1">
        <v>19.0</v>
      </c>
      <c r="AI111" s="1">
        <v>22.0</v>
      </c>
      <c r="AJ111" s="1">
        <v>4.0</v>
      </c>
      <c r="AK111" s="1">
        <v>56.0</v>
      </c>
      <c r="AL111" s="1" t="s">
        <v>236</v>
      </c>
      <c r="AM111" s="1" t="s">
        <v>193</v>
      </c>
      <c r="AN111" s="1" t="s">
        <v>252</v>
      </c>
      <c r="AO111" s="1" t="s">
        <v>74</v>
      </c>
      <c r="AP111" s="1" t="s">
        <v>74</v>
      </c>
      <c r="AQ111" s="1" t="s">
        <v>2516</v>
      </c>
      <c r="AR111" s="1" t="s">
        <v>74</v>
      </c>
      <c r="AS111" s="1" t="s">
        <v>74</v>
      </c>
      <c r="AT111" s="1" t="s">
        <v>74</v>
      </c>
      <c r="AU111" s="1">
        <v>2019.0</v>
      </c>
      <c r="AV111" s="1" t="s">
        <v>74</v>
      </c>
      <c r="AW111" s="1" t="s">
        <v>74</v>
      </c>
      <c r="AX111" s="1" t="s">
        <v>74</v>
      </c>
      <c r="AY111" s="1" t="s">
        <v>74</v>
      </c>
      <c r="AZ111" s="1" t="s">
        <v>74</v>
      </c>
      <c r="BA111" s="1" t="s">
        <v>74</v>
      </c>
      <c r="BB111" s="1" t="s">
        <v>74</v>
      </c>
      <c r="BC111" s="1" t="s">
        <v>74</v>
      </c>
      <c r="BD111" s="1" t="s">
        <v>74</v>
      </c>
      <c r="BE111" s="1" t="s">
        <v>74</v>
      </c>
      <c r="BF111" s="1" t="s">
        <v>74</v>
      </c>
      <c r="BG111" s="1" t="s">
        <v>74</v>
      </c>
      <c r="BH111" s="1" t="s">
        <v>74</v>
      </c>
      <c r="BI111" s="1">
        <v>6.0</v>
      </c>
      <c r="BJ111" s="1" t="s">
        <v>2517</v>
      </c>
      <c r="BK111" s="1" t="s">
        <v>128</v>
      </c>
      <c r="BL111" s="1" t="s">
        <v>232</v>
      </c>
      <c r="BM111" s="1" t="s">
        <v>2518</v>
      </c>
      <c r="BN111" s="1" t="s">
        <v>74</v>
      </c>
      <c r="BO111" s="1" t="s">
        <v>74</v>
      </c>
      <c r="BP111" s="1" t="s">
        <v>74</v>
      </c>
      <c r="BQ111" s="1" t="s">
        <v>74</v>
      </c>
      <c r="BR111" s="1" t="s">
        <v>102</v>
      </c>
      <c r="BS111" s="1" t="s">
        <v>2519</v>
      </c>
      <c r="BT111" s="1" t="str">
        <f>HYPERLINK("https%3A%2F%2Fwww.webofscience.com%2Fwos%2Fwoscc%2Ffull-record%2FWOS:000493114600107","View Full Record in Web of Science")</f>
        <v>View Full Record in Web of Science</v>
      </c>
    </row>
    <row r="112" ht="12.75" customHeight="1">
      <c r="A112" s="1" t="s">
        <v>132</v>
      </c>
      <c r="B112" s="1" t="s">
        <v>2520</v>
      </c>
      <c r="C112" s="1" t="s">
        <v>74</v>
      </c>
      <c r="D112" s="1" t="s">
        <v>74</v>
      </c>
      <c r="E112" s="1" t="s">
        <v>74</v>
      </c>
      <c r="F112" s="1" t="s">
        <v>2521</v>
      </c>
      <c r="G112" s="1" t="s">
        <v>74</v>
      </c>
      <c r="H112" s="1" t="s">
        <v>74</v>
      </c>
      <c r="I112" s="1" t="s">
        <v>2522</v>
      </c>
      <c r="J112" s="1" t="s">
        <v>2523</v>
      </c>
      <c r="K112" s="1" t="s">
        <v>74</v>
      </c>
      <c r="L112" s="1" t="s">
        <v>74</v>
      </c>
      <c r="M112" s="1" t="s">
        <v>2524</v>
      </c>
      <c r="N112" s="1" t="s">
        <v>136</v>
      </c>
      <c r="O112" s="1" t="s">
        <v>74</v>
      </c>
      <c r="P112" s="1" t="s">
        <v>74</v>
      </c>
      <c r="Q112" s="1" t="s">
        <v>74</v>
      </c>
      <c r="R112" s="1" t="s">
        <v>74</v>
      </c>
      <c r="S112" s="1" t="s">
        <v>74</v>
      </c>
      <c r="T112" s="1" t="s">
        <v>2525</v>
      </c>
      <c r="U112" s="1" t="s">
        <v>74</v>
      </c>
      <c r="V112" s="1" t="s">
        <v>2526</v>
      </c>
      <c r="W112" s="1" t="s">
        <v>2527</v>
      </c>
      <c r="X112" s="1" t="s">
        <v>2528</v>
      </c>
      <c r="Y112" s="1" t="s">
        <v>2529</v>
      </c>
      <c r="Z112" s="1" t="s">
        <v>2530</v>
      </c>
      <c r="AA112" s="1" t="s">
        <v>2531</v>
      </c>
      <c r="AB112" s="1" t="s">
        <v>74</v>
      </c>
      <c r="AC112" s="1" t="s">
        <v>74</v>
      </c>
      <c r="AD112" s="1" t="s">
        <v>74</v>
      </c>
      <c r="AE112" s="1" t="s">
        <v>74</v>
      </c>
      <c r="AF112" s="1" t="s">
        <v>74</v>
      </c>
      <c r="AG112" s="1">
        <v>40.0</v>
      </c>
      <c r="AH112" s="1">
        <v>0.0</v>
      </c>
      <c r="AI112" s="1">
        <v>0.0</v>
      </c>
      <c r="AJ112" s="1">
        <v>8.0</v>
      </c>
      <c r="AK112" s="1">
        <v>8.0</v>
      </c>
      <c r="AL112" s="1" t="s">
        <v>2532</v>
      </c>
      <c r="AM112" s="1" t="s">
        <v>2533</v>
      </c>
      <c r="AN112" s="1" t="s">
        <v>2534</v>
      </c>
      <c r="AO112" s="1" t="s">
        <v>2535</v>
      </c>
      <c r="AP112" s="1" t="s">
        <v>2536</v>
      </c>
      <c r="AQ112" s="1" t="s">
        <v>74</v>
      </c>
      <c r="AR112" s="1" t="s">
        <v>2537</v>
      </c>
      <c r="AS112" s="1" t="s">
        <v>2538</v>
      </c>
      <c r="AT112" s="1" t="s">
        <v>74</v>
      </c>
      <c r="AU112" s="1">
        <v>2024.0</v>
      </c>
      <c r="AV112" s="1">
        <v>54.0</v>
      </c>
      <c r="AW112" s="1">
        <v>4.0</v>
      </c>
      <c r="AX112" s="1" t="s">
        <v>74</v>
      </c>
      <c r="AY112" s="1" t="s">
        <v>74</v>
      </c>
      <c r="AZ112" s="1" t="s">
        <v>74</v>
      </c>
      <c r="BA112" s="1" t="s">
        <v>74</v>
      </c>
      <c r="BB112" s="1" t="s">
        <v>74</v>
      </c>
      <c r="BC112" s="1" t="s">
        <v>74</v>
      </c>
      <c r="BD112" s="1">
        <v>247109.0</v>
      </c>
      <c r="BE112" s="1" t="s">
        <v>2539</v>
      </c>
      <c r="BF112" s="2" t="str">
        <f>HYPERLINK("http://dx.doi.org/10.1360/SSPMA-2024-0030","http://dx.doi.org/10.1360/SSPMA-2024-0030")</f>
        <v>http://dx.doi.org/10.1360/SSPMA-2024-0030</v>
      </c>
      <c r="BG112" s="1" t="s">
        <v>74</v>
      </c>
      <c r="BH112" s="1" t="s">
        <v>74</v>
      </c>
      <c r="BI112" s="1">
        <v>6.0</v>
      </c>
      <c r="BJ112" s="1" t="s">
        <v>2540</v>
      </c>
      <c r="BK112" s="1" t="s">
        <v>172</v>
      </c>
      <c r="BL112" s="1" t="s">
        <v>2541</v>
      </c>
      <c r="BM112" s="1" t="s">
        <v>2542</v>
      </c>
      <c r="BN112" s="1" t="s">
        <v>74</v>
      </c>
      <c r="BO112" s="1" t="s">
        <v>632</v>
      </c>
      <c r="BP112" s="1" t="s">
        <v>74</v>
      </c>
      <c r="BQ112" s="1" t="s">
        <v>74</v>
      </c>
      <c r="BR112" s="1" t="s">
        <v>102</v>
      </c>
      <c r="BS112" s="1" t="s">
        <v>2543</v>
      </c>
      <c r="BT112" s="1" t="str">
        <f>HYPERLINK("https%3A%2F%2Fwww.webofscience.com%2Fwos%2Fwoscc%2Ffull-record%2FWOS:001279489400001","View Full Record in Web of Science")</f>
        <v>View Full Record in Web of Science</v>
      </c>
    </row>
    <row r="113" ht="12.75" customHeight="1">
      <c r="A113" s="1" t="s">
        <v>72</v>
      </c>
      <c r="B113" s="1" t="s">
        <v>2544</v>
      </c>
      <c r="C113" s="1" t="s">
        <v>74</v>
      </c>
      <c r="D113" s="1" t="s">
        <v>2545</v>
      </c>
      <c r="E113" s="1" t="s">
        <v>74</v>
      </c>
      <c r="F113" s="1" t="s">
        <v>2546</v>
      </c>
      <c r="G113" s="1" t="s">
        <v>74</v>
      </c>
      <c r="H113" s="1" t="s">
        <v>74</v>
      </c>
      <c r="I113" s="1" t="s">
        <v>2547</v>
      </c>
      <c r="J113" s="1" t="s">
        <v>2548</v>
      </c>
      <c r="K113" s="1" t="s">
        <v>2549</v>
      </c>
      <c r="L113" s="1" t="s">
        <v>74</v>
      </c>
      <c r="M113" s="1" t="s">
        <v>80</v>
      </c>
      <c r="N113" s="1" t="s">
        <v>81</v>
      </c>
      <c r="O113" s="1" t="s">
        <v>2550</v>
      </c>
      <c r="P113" s="1" t="s">
        <v>2551</v>
      </c>
      <c r="Q113" s="1" t="s">
        <v>2552</v>
      </c>
      <c r="R113" s="1" t="s">
        <v>74</v>
      </c>
      <c r="S113" s="1" t="s">
        <v>74</v>
      </c>
      <c r="T113" s="1" t="s">
        <v>2553</v>
      </c>
      <c r="U113" s="1" t="s">
        <v>74</v>
      </c>
      <c r="V113" s="1" t="s">
        <v>2554</v>
      </c>
      <c r="W113" s="1" t="s">
        <v>2555</v>
      </c>
      <c r="X113" s="1" t="s">
        <v>2556</v>
      </c>
      <c r="Y113" s="1" t="s">
        <v>2557</v>
      </c>
      <c r="Z113" s="1" t="s">
        <v>2558</v>
      </c>
      <c r="AA113" s="1" t="s">
        <v>74</v>
      </c>
      <c r="AB113" s="1" t="s">
        <v>74</v>
      </c>
      <c r="AC113" s="1" t="s">
        <v>74</v>
      </c>
      <c r="AD113" s="1" t="s">
        <v>74</v>
      </c>
      <c r="AE113" s="1" t="s">
        <v>74</v>
      </c>
      <c r="AF113" s="1" t="s">
        <v>74</v>
      </c>
      <c r="AG113" s="1">
        <v>7.0</v>
      </c>
      <c r="AH113" s="1">
        <v>0.0</v>
      </c>
      <c r="AI113" s="1">
        <v>0.0</v>
      </c>
      <c r="AJ113" s="1">
        <v>1.0</v>
      </c>
      <c r="AK113" s="1">
        <v>24.0</v>
      </c>
      <c r="AL113" s="1" t="s">
        <v>92</v>
      </c>
      <c r="AM113" s="1" t="s">
        <v>93</v>
      </c>
      <c r="AN113" s="1" t="s">
        <v>94</v>
      </c>
      <c r="AO113" s="1" t="s">
        <v>2559</v>
      </c>
      <c r="AP113" s="1" t="s">
        <v>74</v>
      </c>
      <c r="AQ113" s="1" t="s">
        <v>2560</v>
      </c>
      <c r="AR113" s="1" t="s">
        <v>2561</v>
      </c>
      <c r="AS113" s="1" t="s">
        <v>74</v>
      </c>
      <c r="AT113" s="1" t="s">
        <v>74</v>
      </c>
      <c r="AU113" s="1">
        <v>2015.0</v>
      </c>
      <c r="AV113" s="1">
        <v>39.0</v>
      </c>
      <c r="AW113" s="1" t="s">
        <v>74</v>
      </c>
      <c r="AX113" s="1" t="s">
        <v>74</v>
      </c>
      <c r="AY113" s="1" t="s">
        <v>74</v>
      </c>
      <c r="AZ113" s="1" t="s">
        <v>74</v>
      </c>
      <c r="BA113" s="1" t="s">
        <v>74</v>
      </c>
      <c r="BB113" s="1">
        <v>1278.0</v>
      </c>
      <c r="BC113" s="1">
        <v>1282.0</v>
      </c>
      <c r="BD113" s="1" t="s">
        <v>74</v>
      </c>
      <c r="BE113" s="1" t="s">
        <v>74</v>
      </c>
      <c r="BF113" s="1" t="s">
        <v>74</v>
      </c>
      <c r="BG113" s="1" t="s">
        <v>74</v>
      </c>
      <c r="BH113" s="1" t="s">
        <v>74</v>
      </c>
      <c r="BI113" s="1">
        <v>5.0</v>
      </c>
      <c r="BJ113" s="1" t="s">
        <v>2562</v>
      </c>
      <c r="BK113" s="1" t="s">
        <v>128</v>
      </c>
      <c r="BL113" s="1" t="s">
        <v>2563</v>
      </c>
      <c r="BM113" s="1" t="s">
        <v>2564</v>
      </c>
      <c r="BN113" s="1" t="s">
        <v>74</v>
      </c>
      <c r="BO113" s="1" t="s">
        <v>74</v>
      </c>
      <c r="BP113" s="1" t="s">
        <v>74</v>
      </c>
      <c r="BQ113" s="1" t="s">
        <v>74</v>
      </c>
      <c r="BR113" s="1" t="s">
        <v>102</v>
      </c>
      <c r="BS113" s="1" t="s">
        <v>2565</v>
      </c>
      <c r="BT113" s="1" t="str">
        <f>HYPERLINK("https%3A%2F%2Fwww.webofscience.com%2Fwos%2Fwoscc%2Ffull-record%2FWOS:000373157301057","View Full Record in Web of Science")</f>
        <v>View Full Record in Web of Science</v>
      </c>
    </row>
    <row r="114" ht="12.75" customHeight="1">
      <c r="A114" s="1" t="s">
        <v>72</v>
      </c>
      <c r="B114" s="1" t="s">
        <v>2566</v>
      </c>
      <c r="C114" s="1" t="s">
        <v>74</v>
      </c>
      <c r="D114" s="1" t="s">
        <v>2567</v>
      </c>
      <c r="E114" s="1" t="s">
        <v>74</v>
      </c>
      <c r="F114" s="1" t="s">
        <v>2568</v>
      </c>
      <c r="G114" s="1" t="s">
        <v>74</v>
      </c>
      <c r="H114" s="1" t="s">
        <v>74</v>
      </c>
      <c r="I114" s="1" t="s">
        <v>2569</v>
      </c>
      <c r="J114" s="1" t="s">
        <v>2570</v>
      </c>
      <c r="K114" s="1" t="s">
        <v>74</v>
      </c>
      <c r="L114" s="1" t="s">
        <v>74</v>
      </c>
      <c r="M114" s="1" t="s">
        <v>80</v>
      </c>
      <c r="N114" s="1" t="s">
        <v>81</v>
      </c>
      <c r="O114" s="1" t="s">
        <v>2571</v>
      </c>
      <c r="P114" s="1" t="s">
        <v>2572</v>
      </c>
      <c r="Q114" s="1" t="s">
        <v>2573</v>
      </c>
      <c r="R114" s="1" t="s">
        <v>2574</v>
      </c>
      <c r="S114" s="1" t="s">
        <v>74</v>
      </c>
      <c r="T114" s="1" t="s">
        <v>2575</v>
      </c>
      <c r="U114" s="1" t="s">
        <v>74</v>
      </c>
      <c r="V114" s="1" t="s">
        <v>2576</v>
      </c>
      <c r="W114" s="1" t="s">
        <v>2577</v>
      </c>
      <c r="X114" s="1" t="s">
        <v>2578</v>
      </c>
      <c r="Y114" s="1" t="s">
        <v>2579</v>
      </c>
      <c r="Z114" s="1" t="s">
        <v>2580</v>
      </c>
      <c r="AA114" s="1" t="s">
        <v>2581</v>
      </c>
      <c r="AB114" s="1" t="s">
        <v>2582</v>
      </c>
      <c r="AC114" s="1" t="s">
        <v>74</v>
      </c>
      <c r="AD114" s="1" t="s">
        <v>74</v>
      </c>
      <c r="AE114" s="1" t="s">
        <v>74</v>
      </c>
      <c r="AF114" s="1" t="s">
        <v>74</v>
      </c>
      <c r="AG114" s="1">
        <v>11.0</v>
      </c>
      <c r="AH114" s="1">
        <v>2.0</v>
      </c>
      <c r="AI114" s="1">
        <v>2.0</v>
      </c>
      <c r="AJ114" s="1">
        <v>2.0</v>
      </c>
      <c r="AK114" s="1">
        <v>10.0</v>
      </c>
      <c r="AL114" s="1" t="s">
        <v>236</v>
      </c>
      <c r="AM114" s="1" t="s">
        <v>193</v>
      </c>
      <c r="AN114" s="1" t="s">
        <v>252</v>
      </c>
      <c r="AO114" s="1" t="s">
        <v>74</v>
      </c>
      <c r="AP114" s="1" t="s">
        <v>74</v>
      </c>
      <c r="AQ114" s="1" t="s">
        <v>2583</v>
      </c>
      <c r="AR114" s="1" t="s">
        <v>74</v>
      </c>
      <c r="AS114" s="1" t="s">
        <v>74</v>
      </c>
      <c r="AT114" s="1" t="s">
        <v>74</v>
      </c>
      <c r="AU114" s="1">
        <v>2018.0</v>
      </c>
      <c r="AV114" s="1" t="s">
        <v>74</v>
      </c>
      <c r="AW114" s="1" t="s">
        <v>74</v>
      </c>
      <c r="AX114" s="1" t="s">
        <v>74</v>
      </c>
      <c r="AY114" s="1" t="s">
        <v>74</v>
      </c>
      <c r="AZ114" s="1" t="s">
        <v>74</v>
      </c>
      <c r="BA114" s="1" t="s">
        <v>74</v>
      </c>
      <c r="BB114" s="1">
        <v>891.0</v>
      </c>
      <c r="BC114" s="1">
        <v>895.0</v>
      </c>
      <c r="BD114" s="1" t="s">
        <v>74</v>
      </c>
      <c r="BE114" s="1" t="s">
        <v>74</v>
      </c>
      <c r="BF114" s="1" t="s">
        <v>74</v>
      </c>
      <c r="BG114" s="1" t="s">
        <v>74</v>
      </c>
      <c r="BH114" s="1" t="s">
        <v>74</v>
      </c>
      <c r="BI114" s="1">
        <v>5.0</v>
      </c>
      <c r="BJ114" s="1" t="s">
        <v>2584</v>
      </c>
      <c r="BK114" s="1" t="s">
        <v>128</v>
      </c>
      <c r="BL114" s="1" t="s">
        <v>232</v>
      </c>
      <c r="BM114" s="1" t="s">
        <v>2585</v>
      </c>
      <c r="BN114" s="1" t="s">
        <v>74</v>
      </c>
      <c r="BO114" s="1" t="s">
        <v>74</v>
      </c>
      <c r="BP114" s="1" t="s">
        <v>74</v>
      </c>
      <c r="BQ114" s="1" t="s">
        <v>74</v>
      </c>
      <c r="BR114" s="1" t="s">
        <v>102</v>
      </c>
      <c r="BS114" s="1" t="s">
        <v>2586</v>
      </c>
      <c r="BT114" s="1" t="str">
        <f>HYPERLINK("https%3A%2F%2Fwww.webofscience.com%2Fwos%2Fwoscc%2Ffull-record%2FWOS:000469337900130","View Full Record in Web of Science")</f>
        <v>View Full Record in Web of Science</v>
      </c>
    </row>
    <row r="115" ht="12.75" customHeight="1">
      <c r="A115" s="1" t="s">
        <v>132</v>
      </c>
      <c r="B115" s="1" t="s">
        <v>2587</v>
      </c>
      <c r="C115" s="1" t="s">
        <v>74</v>
      </c>
      <c r="D115" s="1" t="s">
        <v>74</v>
      </c>
      <c r="E115" s="1" t="s">
        <v>74</v>
      </c>
      <c r="F115" s="1" t="s">
        <v>2588</v>
      </c>
      <c r="G115" s="1" t="s">
        <v>74</v>
      </c>
      <c r="H115" s="1" t="s">
        <v>74</v>
      </c>
      <c r="I115" s="1" t="s">
        <v>2589</v>
      </c>
      <c r="J115" s="1" t="s">
        <v>2590</v>
      </c>
      <c r="K115" s="1" t="s">
        <v>74</v>
      </c>
      <c r="L115" s="1" t="s">
        <v>74</v>
      </c>
      <c r="M115" s="1" t="s">
        <v>80</v>
      </c>
      <c r="N115" s="1" t="s">
        <v>136</v>
      </c>
      <c r="O115" s="1" t="s">
        <v>74</v>
      </c>
      <c r="P115" s="1" t="s">
        <v>74</v>
      </c>
      <c r="Q115" s="1" t="s">
        <v>74</v>
      </c>
      <c r="R115" s="1" t="s">
        <v>74</v>
      </c>
      <c r="S115" s="1" t="s">
        <v>74</v>
      </c>
      <c r="T115" s="1" t="s">
        <v>2591</v>
      </c>
      <c r="U115" s="1" t="s">
        <v>74</v>
      </c>
      <c r="V115" s="1" t="s">
        <v>2592</v>
      </c>
      <c r="W115" s="1" t="s">
        <v>2593</v>
      </c>
      <c r="X115" s="1" t="s">
        <v>74</v>
      </c>
      <c r="Y115" s="1" t="s">
        <v>2594</v>
      </c>
      <c r="Z115" s="1" t="s">
        <v>2595</v>
      </c>
      <c r="AA115" s="1" t="s">
        <v>74</v>
      </c>
      <c r="AB115" s="1" t="s">
        <v>74</v>
      </c>
      <c r="AC115" s="1" t="s">
        <v>74</v>
      </c>
      <c r="AD115" s="1" t="s">
        <v>74</v>
      </c>
      <c r="AE115" s="1" t="s">
        <v>74</v>
      </c>
      <c r="AF115" s="1" t="s">
        <v>74</v>
      </c>
      <c r="AG115" s="1">
        <v>46.0</v>
      </c>
      <c r="AH115" s="1">
        <v>0.0</v>
      </c>
      <c r="AI115" s="1">
        <v>0.0</v>
      </c>
      <c r="AJ115" s="1">
        <v>0.0</v>
      </c>
      <c r="AK115" s="1">
        <v>0.0</v>
      </c>
      <c r="AL115" s="1" t="s">
        <v>2596</v>
      </c>
      <c r="AM115" s="1" t="s">
        <v>2597</v>
      </c>
      <c r="AN115" s="1" t="s">
        <v>2598</v>
      </c>
      <c r="AO115" s="1" t="s">
        <v>2599</v>
      </c>
      <c r="AP115" s="1" t="s">
        <v>74</v>
      </c>
      <c r="AQ115" s="1" t="s">
        <v>74</v>
      </c>
      <c r="AR115" s="1" t="s">
        <v>2600</v>
      </c>
      <c r="AS115" s="1" t="s">
        <v>2601</v>
      </c>
      <c r="AT115" s="1" t="s">
        <v>74</v>
      </c>
      <c r="AU115" s="1">
        <v>2024.0</v>
      </c>
      <c r="AV115" s="1">
        <v>17.0</v>
      </c>
      <c r="AW115" s="1">
        <v>1.0</v>
      </c>
      <c r="AX115" s="1" t="s">
        <v>74</v>
      </c>
      <c r="AY115" s="1" t="s">
        <v>74</v>
      </c>
      <c r="AZ115" s="1" t="s">
        <v>74</v>
      </c>
      <c r="BA115" s="1" t="s">
        <v>74</v>
      </c>
      <c r="BB115" s="1" t="s">
        <v>74</v>
      </c>
      <c r="BC115" s="1" t="s">
        <v>74</v>
      </c>
      <c r="BD115" s="1" t="s">
        <v>74</v>
      </c>
      <c r="BE115" s="1" t="s">
        <v>74</v>
      </c>
      <c r="BF115" s="1" t="s">
        <v>74</v>
      </c>
      <c r="BG115" s="1" t="s">
        <v>74</v>
      </c>
      <c r="BH115" s="1" t="s">
        <v>74</v>
      </c>
      <c r="BI115" s="1">
        <v>26.0</v>
      </c>
      <c r="BJ115" s="1" t="s">
        <v>915</v>
      </c>
      <c r="BK115" s="1" t="s">
        <v>172</v>
      </c>
      <c r="BL115" s="1" t="s">
        <v>916</v>
      </c>
      <c r="BM115" s="1" t="s">
        <v>2602</v>
      </c>
      <c r="BN115" s="1" t="s">
        <v>74</v>
      </c>
      <c r="BO115" s="1" t="s">
        <v>74</v>
      </c>
      <c r="BP115" s="1" t="s">
        <v>74</v>
      </c>
      <c r="BQ115" s="1" t="s">
        <v>74</v>
      </c>
      <c r="BR115" s="1" t="s">
        <v>102</v>
      </c>
      <c r="BS115" s="1" t="s">
        <v>2603</v>
      </c>
      <c r="BT115" s="1" t="str">
        <f>HYPERLINK("https%3A%2F%2Fwww.webofscience.com%2Fwos%2Fwoscc%2Ffull-record%2FWOS:001250310400004","View Full Record in Web of Science")</f>
        <v>View Full Record in Web of Science</v>
      </c>
    </row>
    <row r="116" ht="12.75" customHeight="1">
      <c r="A116" s="1" t="s">
        <v>132</v>
      </c>
      <c r="B116" s="1" t="s">
        <v>2604</v>
      </c>
      <c r="C116" s="1" t="s">
        <v>74</v>
      </c>
      <c r="D116" s="1" t="s">
        <v>74</v>
      </c>
      <c r="E116" s="1" t="s">
        <v>74</v>
      </c>
      <c r="F116" s="1" t="s">
        <v>2605</v>
      </c>
      <c r="G116" s="1" t="s">
        <v>74</v>
      </c>
      <c r="H116" s="1" t="s">
        <v>74</v>
      </c>
      <c r="I116" s="1" t="s">
        <v>2606</v>
      </c>
      <c r="J116" s="1" t="s">
        <v>2607</v>
      </c>
      <c r="K116" s="1" t="s">
        <v>74</v>
      </c>
      <c r="L116" s="1" t="s">
        <v>74</v>
      </c>
      <c r="M116" s="1" t="s">
        <v>80</v>
      </c>
      <c r="N116" s="1" t="s">
        <v>136</v>
      </c>
      <c r="O116" s="1" t="s">
        <v>74</v>
      </c>
      <c r="P116" s="1" t="s">
        <v>74</v>
      </c>
      <c r="Q116" s="1" t="s">
        <v>74</v>
      </c>
      <c r="R116" s="1" t="s">
        <v>74</v>
      </c>
      <c r="S116" s="1" t="s">
        <v>74</v>
      </c>
      <c r="T116" s="1" t="s">
        <v>2608</v>
      </c>
      <c r="U116" s="1" t="s">
        <v>74</v>
      </c>
      <c r="V116" s="1" t="s">
        <v>2609</v>
      </c>
      <c r="W116" s="1" t="s">
        <v>2610</v>
      </c>
      <c r="X116" s="1" t="s">
        <v>2611</v>
      </c>
      <c r="Y116" s="1" t="s">
        <v>2612</v>
      </c>
      <c r="Z116" s="1" t="s">
        <v>2613</v>
      </c>
      <c r="AA116" s="1" t="s">
        <v>2614</v>
      </c>
      <c r="AB116" s="1" t="s">
        <v>2615</v>
      </c>
      <c r="AC116" s="1" t="s">
        <v>74</v>
      </c>
      <c r="AD116" s="1" t="s">
        <v>74</v>
      </c>
      <c r="AE116" s="1" t="s">
        <v>74</v>
      </c>
      <c r="AF116" s="1" t="s">
        <v>74</v>
      </c>
      <c r="AG116" s="1">
        <v>11.0</v>
      </c>
      <c r="AH116" s="1">
        <v>4.0</v>
      </c>
      <c r="AI116" s="1">
        <v>4.0</v>
      </c>
      <c r="AJ116" s="1">
        <v>3.0</v>
      </c>
      <c r="AK116" s="1">
        <v>36.0</v>
      </c>
      <c r="AL116" s="1" t="s">
        <v>2616</v>
      </c>
      <c r="AM116" s="1" t="s">
        <v>2617</v>
      </c>
      <c r="AN116" s="1" t="s">
        <v>2618</v>
      </c>
      <c r="AO116" s="1" t="s">
        <v>2619</v>
      </c>
      <c r="AP116" s="1" t="s">
        <v>74</v>
      </c>
      <c r="AQ116" s="1" t="s">
        <v>74</v>
      </c>
      <c r="AR116" s="1" t="s">
        <v>2607</v>
      </c>
      <c r="AS116" s="1" t="s">
        <v>2620</v>
      </c>
      <c r="AT116" s="1" t="s">
        <v>1156</v>
      </c>
      <c r="AU116" s="1">
        <v>2020.0</v>
      </c>
      <c r="AV116" s="1">
        <v>8.0</v>
      </c>
      <c r="AW116" s="1">
        <v>4.0</v>
      </c>
      <c r="AX116" s="1" t="s">
        <v>74</v>
      </c>
      <c r="AY116" s="1" t="s">
        <v>74</v>
      </c>
      <c r="AZ116" s="1" t="s">
        <v>74</v>
      </c>
      <c r="BA116" s="1" t="s">
        <v>74</v>
      </c>
      <c r="BB116" s="1" t="s">
        <v>74</v>
      </c>
      <c r="BC116" s="1" t="s">
        <v>74</v>
      </c>
      <c r="BD116" s="1" t="s">
        <v>2621</v>
      </c>
      <c r="BE116" s="1" t="s">
        <v>2622</v>
      </c>
      <c r="BF116" s="2" t="str">
        <f>HYPERLINK("http://dx.doi.org/10.2196/24049","http://dx.doi.org/10.2196/24049")</f>
        <v>http://dx.doi.org/10.2196/24049</v>
      </c>
      <c r="BG116" s="1" t="s">
        <v>74</v>
      </c>
      <c r="BH116" s="1" t="s">
        <v>74</v>
      </c>
      <c r="BI116" s="1">
        <v>4.0</v>
      </c>
      <c r="BJ116" s="1" t="s">
        <v>2623</v>
      </c>
      <c r="BK116" s="1" t="s">
        <v>149</v>
      </c>
      <c r="BL116" s="1" t="s">
        <v>2623</v>
      </c>
      <c r="BM116" s="1" t="s">
        <v>2624</v>
      </c>
      <c r="BN116" s="1">
        <v>3.3300493E7</v>
      </c>
      <c r="BO116" s="1" t="s">
        <v>1161</v>
      </c>
      <c r="BP116" s="1" t="s">
        <v>74</v>
      </c>
      <c r="BQ116" s="1" t="s">
        <v>74</v>
      </c>
      <c r="BR116" s="1" t="s">
        <v>102</v>
      </c>
      <c r="BS116" s="1" t="s">
        <v>2625</v>
      </c>
      <c r="BT116" s="1" t="str">
        <f>HYPERLINK("https%3A%2F%2Fwww.webofscience.com%2Fwos%2Fwoscc%2Ffull-record%2FWOS:000632268800010","View Full Record in Web of Science")</f>
        <v>View Full Record in Web of Science</v>
      </c>
    </row>
    <row r="117" ht="12.75" customHeight="1">
      <c r="A117" s="1" t="s">
        <v>132</v>
      </c>
      <c r="B117" s="1" t="s">
        <v>2626</v>
      </c>
      <c r="C117" s="1" t="s">
        <v>74</v>
      </c>
      <c r="D117" s="1" t="s">
        <v>74</v>
      </c>
      <c r="E117" s="1" t="s">
        <v>74</v>
      </c>
      <c r="F117" s="1" t="s">
        <v>2627</v>
      </c>
      <c r="G117" s="1" t="s">
        <v>74</v>
      </c>
      <c r="H117" s="1" t="s">
        <v>74</v>
      </c>
      <c r="I117" s="1" t="s">
        <v>2628</v>
      </c>
      <c r="J117" s="1" t="s">
        <v>2629</v>
      </c>
      <c r="K117" s="1" t="s">
        <v>74</v>
      </c>
      <c r="L117" s="1" t="s">
        <v>74</v>
      </c>
      <c r="M117" s="1" t="s">
        <v>80</v>
      </c>
      <c r="N117" s="1" t="s">
        <v>136</v>
      </c>
      <c r="O117" s="1" t="s">
        <v>74</v>
      </c>
      <c r="P117" s="1" t="s">
        <v>74</v>
      </c>
      <c r="Q117" s="1" t="s">
        <v>74</v>
      </c>
      <c r="R117" s="1" t="s">
        <v>74</v>
      </c>
      <c r="S117" s="1" t="s">
        <v>74</v>
      </c>
      <c r="T117" s="1" t="s">
        <v>2630</v>
      </c>
      <c r="U117" s="1" t="s">
        <v>2631</v>
      </c>
      <c r="V117" s="1" t="s">
        <v>2632</v>
      </c>
      <c r="W117" s="1" t="s">
        <v>2633</v>
      </c>
      <c r="X117" s="1" t="s">
        <v>2634</v>
      </c>
      <c r="Y117" s="1" t="s">
        <v>2635</v>
      </c>
      <c r="Z117" s="1" t="s">
        <v>2636</v>
      </c>
      <c r="AA117" s="1" t="s">
        <v>2637</v>
      </c>
      <c r="AB117" s="1" t="s">
        <v>2638</v>
      </c>
      <c r="AC117" s="1" t="s">
        <v>74</v>
      </c>
      <c r="AD117" s="1" t="s">
        <v>74</v>
      </c>
      <c r="AE117" s="1" t="s">
        <v>74</v>
      </c>
      <c r="AF117" s="1" t="s">
        <v>74</v>
      </c>
      <c r="AG117" s="1">
        <v>31.0</v>
      </c>
      <c r="AH117" s="1">
        <v>2.0</v>
      </c>
      <c r="AI117" s="1">
        <v>2.0</v>
      </c>
      <c r="AJ117" s="1">
        <v>1.0</v>
      </c>
      <c r="AK117" s="1">
        <v>7.0</v>
      </c>
      <c r="AL117" s="1" t="s">
        <v>2639</v>
      </c>
      <c r="AM117" s="1" t="s">
        <v>2640</v>
      </c>
      <c r="AN117" s="1" t="s">
        <v>2641</v>
      </c>
      <c r="AO117" s="1" t="s">
        <v>2642</v>
      </c>
      <c r="AP117" s="1" t="s">
        <v>2643</v>
      </c>
      <c r="AQ117" s="1" t="s">
        <v>74</v>
      </c>
      <c r="AR117" s="1" t="s">
        <v>2644</v>
      </c>
      <c r="AS117" s="1" t="s">
        <v>2645</v>
      </c>
      <c r="AT117" s="1" t="s">
        <v>1301</v>
      </c>
      <c r="AU117" s="1">
        <v>2021.0</v>
      </c>
      <c r="AV117" s="1">
        <v>17.0</v>
      </c>
      <c r="AW117" s="1">
        <v>1.0</v>
      </c>
      <c r="AX117" s="1" t="s">
        <v>74</v>
      </c>
      <c r="AY117" s="1" t="s">
        <v>74</v>
      </c>
      <c r="AZ117" s="1" t="s">
        <v>74</v>
      </c>
      <c r="BA117" s="1" t="s">
        <v>74</v>
      </c>
      <c r="BB117" s="1">
        <v>11.0</v>
      </c>
      <c r="BC117" s="1">
        <v>23.0</v>
      </c>
      <c r="BD117" s="1" t="s">
        <v>74</v>
      </c>
      <c r="BE117" s="1" t="s">
        <v>74</v>
      </c>
      <c r="BF117" s="1" t="s">
        <v>74</v>
      </c>
      <c r="BG117" s="1" t="s">
        <v>74</v>
      </c>
      <c r="BH117" s="1" t="s">
        <v>74</v>
      </c>
      <c r="BI117" s="1">
        <v>13.0</v>
      </c>
      <c r="BJ117" s="1" t="s">
        <v>2646</v>
      </c>
      <c r="BK117" s="1" t="s">
        <v>172</v>
      </c>
      <c r="BL117" s="1" t="s">
        <v>2646</v>
      </c>
      <c r="BM117" s="1" t="s">
        <v>2647</v>
      </c>
      <c r="BN117" s="1" t="s">
        <v>74</v>
      </c>
      <c r="BO117" s="1" t="s">
        <v>74</v>
      </c>
      <c r="BP117" s="1" t="s">
        <v>74</v>
      </c>
      <c r="BQ117" s="1" t="s">
        <v>74</v>
      </c>
      <c r="BR117" s="1" t="s">
        <v>102</v>
      </c>
      <c r="BS117" s="1" t="s">
        <v>2648</v>
      </c>
      <c r="BT117" s="1" t="str">
        <f>HYPERLINK("https%3A%2F%2Fwww.webofscience.com%2Fwos%2Fwoscc%2Ffull-record%2FWOS:000613514100002","View Full Record in Web of Science")</f>
        <v>View Full Record in Web of Science</v>
      </c>
    </row>
    <row r="118" ht="12.75" customHeight="1">
      <c r="A118" s="1" t="s">
        <v>132</v>
      </c>
      <c r="B118" s="1" t="s">
        <v>2649</v>
      </c>
      <c r="C118" s="1" t="s">
        <v>74</v>
      </c>
      <c r="D118" s="1" t="s">
        <v>74</v>
      </c>
      <c r="E118" s="1" t="s">
        <v>74</v>
      </c>
      <c r="F118" s="1" t="s">
        <v>2650</v>
      </c>
      <c r="G118" s="1" t="s">
        <v>74</v>
      </c>
      <c r="H118" s="1" t="s">
        <v>74</v>
      </c>
      <c r="I118" s="1" t="s">
        <v>2651</v>
      </c>
      <c r="J118" s="1" t="s">
        <v>2652</v>
      </c>
      <c r="K118" s="1" t="s">
        <v>74</v>
      </c>
      <c r="L118" s="1" t="s">
        <v>74</v>
      </c>
      <c r="M118" s="1" t="s">
        <v>80</v>
      </c>
      <c r="N118" s="1" t="s">
        <v>1010</v>
      </c>
      <c r="O118" s="1" t="s">
        <v>74</v>
      </c>
      <c r="P118" s="1" t="s">
        <v>74</v>
      </c>
      <c r="Q118" s="1" t="s">
        <v>74</v>
      </c>
      <c r="R118" s="1" t="s">
        <v>74</v>
      </c>
      <c r="S118" s="1" t="s">
        <v>74</v>
      </c>
      <c r="T118" s="1" t="s">
        <v>2653</v>
      </c>
      <c r="U118" s="1" t="s">
        <v>2654</v>
      </c>
      <c r="V118" s="1" t="s">
        <v>2655</v>
      </c>
      <c r="W118" s="1" t="s">
        <v>2656</v>
      </c>
      <c r="X118" s="1" t="s">
        <v>2657</v>
      </c>
      <c r="Y118" s="1" t="s">
        <v>2658</v>
      </c>
      <c r="Z118" s="1" t="s">
        <v>2659</v>
      </c>
      <c r="AA118" s="1" t="s">
        <v>74</v>
      </c>
      <c r="AB118" s="1" t="s">
        <v>74</v>
      </c>
      <c r="AC118" s="1" t="s">
        <v>74</v>
      </c>
      <c r="AD118" s="1" t="s">
        <v>74</v>
      </c>
      <c r="AE118" s="1" t="s">
        <v>74</v>
      </c>
      <c r="AF118" s="1" t="s">
        <v>74</v>
      </c>
      <c r="AG118" s="1">
        <v>27.0</v>
      </c>
      <c r="AH118" s="1">
        <v>6.0</v>
      </c>
      <c r="AI118" s="1">
        <v>6.0</v>
      </c>
      <c r="AJ118" s="1">
        <v>3.0</v>
      </c>
      <c r="AK118" s="1">
        <v>26.0</v>
      </c>
      <c r="AL118" s="1" t="s">
        <v>1020</v>
      </c>
      <c r="AM118" s="1" t="s">
        <v>1021</v>
      </c>
      <c r="AN118" s="1" t="s">
        <v>1022</v>
      </c>
      <c r="AO118" s="1" t="s">
        <v>2660</v>
      </c>
      <c r="AP118" s="1" t="s">
        <v>74</v>
      </c>
      <c r="AQ118" s="1" t="s">
        <v>74</v>
      </c>
      <c r="AR118" s="1" t="s">
        <v>2661</v>
      </c>
      <c r="AS118" s="1" t="s">
        <v>2662</v>
      </c>
      <c r="AT118" s="1" t="s">
        <v>1364</v>
      </c>
      <c r="AU118" s="1">
        <v>2021.0</v>
      </c>
      <c r="AV118" s="1">
        <v>34.0</v>
      </c>
      <c r="AW118" s="1">
        <v>4.0</v>
      </c>
      <c r="AX118" s="1" t="s">
        <v>74</v>
      </c>
      <c r="AY118" s="1" t="s">
        <v>74</v>
      </c>
      <c r="AZ118" s="1" t="s">
        <v>74</v>
      </c>
      <c r="BA118" s="1" t="s">
        <v>74</v>
      </c>
      <c r="BB118" s="1">
        <v>121.0</v>
      </c>
      <c r="BC118" s="1">
        <v>124.0</v>
      </c>
      <c r="BD118" s="1" t="s">
        <v>74</v>
      </c>
      <c r="BE118" s="1" t="s">
        <v>2663</v>
      </c>
      <c r="BF118" s="2" t="str">
        <f>HYPERLINK("http://dx.doi.org/10.1097/BSD.0000000000001082","http://dx.doi.org/10.1097/BSD.0000000000001082")</f>
        <v>http://dx.doi.org/10.1097/BSD.0000000000001082</v>
      </c>
      <c r="BG118" s="1" t="s">
        <v>74</v>
      </c>
      <c r="BH118" s="1" t="s">
        <v>74</v>
      </c>
      <c r="BI118" s="1">
        <v>4.0</v>
      </c>
      <c r="BJ118" s="1" t="s">
        <v>2664</v>
      </c>
      <c r="BK118" s="1" t="s">
        <v>149</v>
      </c>
      <c r="BL118" s="1" t="s">
        <v>2665</v>
      </c>
      <c r="BM118" s="1" t="s">
        <v>2666</v>
      </c>
      <c r="BN118" s="1">
        <v>3.2991359E7</v>
      </c>
      <c r="BO118" s="1" t="s">
        <v>74</v>
      </c>
      <c r="BP118" s="1" t="s">
        <v>74</v>
      </c>
      <c r="BQ118" s="1" t="s">
        <v>74</v>
      </c>
      <c r="BR118" s="1" t="s">
        <v>102</v>
      </c>
      <c r="BS118" s="1" t="s">
        <v>2667</v>
      </c>
      <c r="BT118" s="1" t="str">
        <f>HYPERLINK("https%3A%2F%2Fwww.webofscience.com%2Fwos%2Fwoscc%2Ffull-record%2FWOS:000655693500002","View Full Record in Web of Science")</f>
        <v>View Full Record in Web of Science</v>
      </c>
    </row>
    <row r="119" ht="12.75" customHeight="1">
      <c r="A119" s="1" t="s">
        <v>72</v>
      </c>
      <c r="B119" s="1" t="s">
        <v>2668</v>
      </c>
      <c r="C119" s="1" t="s">
        <v>74</v>
      </c>
      <c r="D119" s="1" t="s">
        <v>2669</v>
      </c>
      <c r="E119" s="1" t="s">
        <v>74</v>
      </c>
      <c r="F119" s="1" t="s">
        <v>2670</v>
      </c>
      <c r="G119" s="1" t="s">
        <v>74</v>
      </c>
      <c r="H119" s="1" t="s">
        <v>74</v>
      </c>
      <c r="I119" s="1" t="s">
        <v>2671</v>
      </c>
      <c r="J119" s="1" t="s">
        <v>2672</v>
      </c>
      <c r="K119" s="1" t="s">
        <v>924</v>
      </c>
      <c r="L119" s="1" t="s">
        <v>74</v>
      </c>
      <c r="M119" s="1" t="s">
        <v>80</v>
      </c>
      <c r="N119" s="1" t="s">
        <v>81</v>
      </c>
      <c r="O119" s="1" t="s">
        <v>2673</v>
      </c>
      <c r="P119" s="1" t="s">
        <v>2674</v>
      </c>
      <c r="Q119" s="1" t="s">
        <v>667</v>
      </c>
      <c r="R119" s="1" t="s">
        <v>2675</v>
      </c>
      <c r="S119" s="1" t="s">
        <v>74</v>
      </c>
      <c r="T119" s="1" t="s">
        <v>2676</v>
      </c>
      <c r="U119" s="1" t="s">
        <v>74</v>
      </c>
      <c r="V119" s="1" t="s">
        <v>2677</v>
      </c>
      <c r="W119" s="1" t="s">
        <v>2678</v>
      </c>
      <c r="X119" s="1" t="s">
        <v>2679</v>
      </c>
      <c r="Y119" s="1" t="s">
        <v>2680</v>
      </c>
      <c r="Z119" s="1" t="s">
        <v>2681</v>
      </c>
      <c r="AA119" s="1" t="s">
        <v>2682</v>
      </c>
      <c r="AB119" s="1" t="s">
        <v>2683</v>
      </c>
      <c r="AC119" s="1" t="s">
        <v>74</v>
      </c>
      <c r="AD119" s="1" t="s">
        <v>74</v>
      </c>
      <c r="AE119" s="1" t="s">
        <v>74</v>
      </c>
      <c r="AF119" s="1" t="s">
        <v>74</v>
      </c>
      <c r="AG119" s="1">
        <v>25.0</v>
      </c>
      <c r="AH119" s="1">
        <v>2.0</v>
      </c>
      <c r="AI119" s="1">
        <v>2.0</v>
      </c>
      <c r="AJ119" s="1">
        <v>0.0</v>
      </c>
      <c r="AK119" s="1">
        <v>4.0</v>
      </c>
      <c r="AL119" s="1" t="s">
        <v>223</v>
      </c>
      <c r="AM119" s="1" t="s">
        <v>224</v>
      </c>
      <c r="AN119" s="1" t="s">
        <v>225</v>
      </c>
      <c r="AO119" s="1" t="s">
        <v>941</v>
      </c>
      <c r="AP119" s="1" t="s">
        <v>942</v>
      </c>
      <c r="AQ119" s="1" t="s">
        <v>2684</v>
      </c>
      <c r="AR119" s="1" t="s">
        <v>944</v>
      </c>
      <c r="AS119" s="1" t="s">
        <v>74</v>
      </c>
      <c r="AT119" s="1" t="s">
        <v>74</v>
      </c>
      <c r="AU119" s="1">
        <v>2020.0</v>
      </c>
      <c r="AV119" s="1">
        <v>12469.0</v>
      </c>
      <c r="AW119" s="1" t="s">
        <v>74</v>
      </c>
      <c r="AX119" s="1" t="s">
        <v>74</v>
      </c>
      <c r="AY119" s="1" t="s">
        <v>74</v>
      </c>
      <c r="AZ119" s="1" t="s">
        <v>74</v>
      </c>
      <c r="BA119" s="1" t="s">
        <v>74</v>
      </c>
      <c r="BB119" s="1">
        <v>65.0</v>
      </c>
      <c r="BC119" s="1">
        <v>73.0</v>
      </c>
      <c r="BD119" s="1" t="s">
        <v>74</v>
      </c>
      <c r="BE119" s="1" t="s">
        <v>2685</v>
      </c>
      <c r="BF119" s="2" t="str">
        <f>HYPERLINK("http://dx.doi.org/10.1007/978-3-030-60887-3_6","http://dx.doi.org/10.1007/978-3-030-60887-3_6")</f>
        <v>http://dx.doi.org/10.1007/978-3-030-60887-3_6</v>
      </c>
      <c r="BG119" s="1" t="s">
        <v>74</v>
      </c>
      <c r="BH119" s="1" t="s">
        <v>74</v>
      </c>
      <c r="BI119" s="1">
        <v>9.0</v>
      </c>
      <c r="BJ119" s="1" t="s">
        <v>2686</v>
      </c>
      <c r="BK119" s="1" t="s">
        <v>128</v>
      </c>
      <c r="BL119" s="1" t="s">
        <v>2687</v>
      </c>
      <c r="BM119" s="1" t="s">
        <v>2688</v>
      </c>
      <c r="BN119" s="1" t="s">
        <v>74</v>
      </c>
      <c r="BO119" s="1" t="s">
        <v>74</v>
      </c>
      <c r="BP119" s="1" t="s">
        <v>74</v>
      </c>
      <c r="BQ119" s="1" t="s">
        <v>74</v>
      </c>
      <c r="BR119" s="1" t="s">
        <v>102</v>
      </c>
      <c r="BS119" s="1" t="s">
        <v>2689</v>
      </c>
      <c r="BT119" s="1" t="str">
        <f>HYPERLINK("https%3A%2F%2Fwww.webofscience.com%2Fwos%2Fwoscc%2Ffull-record%2FWOS:000771896000006","View Full Record in Web of Science")</f>
        <v>View Full Record in Web of Science</v>
      </c>
    </row>
    <row r="120" ht="12.75" customHeight="1">
      <c r="A120" s="1" t="s">
        <v>132</v>
      </c>
      <c r="B120" s="1" t="s">
        <v>2690</v>
      </c>
      <c r="C120" s="1" t="s">
        <v>74</v>
      </c>
      <c r="D120" s="1" t="s">
        <v>74</v>
      </c>
      <c r="E120" s="1" t="s">
        <v>74</v>
      </c>
      <c r="F120" s="1" t="s">
        <v>2691</v>
      </c>
      <c r="G120" s="1" t="s">
        <v>74</v>
      </c>
      <c r="H120" s="1" t="s">
        <v>74</v>
      </c>
      <c r="I120" s="1" t="s">
        <v>2692</v>
      </c>
      <c r="J120" s="1" t="s">
        <v>2693</v>
      </c>
      <c r="K120" s="1" t="s">
        <v>74</v>
      </c>
      <c r="L120" s="1" t="s">
        <v>74</v>
      </c>
      <c r="M120" s="1" t="s">
        <v>80</v>
      </c>
      <c r="N120" s="1" t="s">
        <v>136</v>
      </c>
      <c r="O120" s="1" t="s">
        <v>74</v>
      </c>
      <c r="P120" s="1" t="s">
        <v>74</v>
      </c>
      <c r="Q120" s="1" t="s">
        <v>74</v>
      </c>
      <c r="R120" s="1" t="s">
        <v>74</v>
      </c>
      <c r="S120" s="1" t="s">
        <v>74</v>
      </c>
      <c r="T120" s="1" t="s">
        <v>2694</v>
      </c>
      <c r="U120" s="1" t="s">
        <v>2695</v>
      </c>
      <c r="V120" s="1" t="s">
        <v>2696</v>
      </c>
      <c r="W120" s="1" t="s">
        <v>2697</v>
      </c>
      <c r="X120" s="1" t="s">
        <v>2698</v>
      </c>
      <c r="Y120" s="1" t="s">
        <v>2699</v>
      </c>
      <c r="Z120" s="1" t="s">
        <v>2700</v>
      </c>
      <c r="AA120" s="1" t="s">
        <v>2701</v>
      </c>
      <c r="AB120" s="1" t="s">
        <v>2702</v>
      </c>
      <c r="AC120" s="1" t="s">
        <v>74</v>
      </c>
      <c r="AD120" s="1" t="s">
        <v>74</v>
      </c>
      <c r="AE120" s="1" t="s">
        <v>74</v>
      </c>
      <c r="AF120" s="1" t="s">
        <v>74</v>
      </c>
      <c r="AG120" s="1">
        <v>42.0</v>
      </c>
      <c r="AH120" s="1">
        <v>10.0</v>
      </c>
      <c r="AI120" s="1">
        <v>12.0</v>
      </c>
      <c r="AJ120" s="1">
        <v>10.0</v>
      </c>
      <c r="AK120" s="1">
        <v>74.0</v>
      </c>
      <c r="AL120" s="1" t="s">
        <v>571</v>
      </c>
      <c r="AM120" s="1" t="s">
        <v>572</v>
      </c>
      <c r="AN120" s="1" t="s">
        <v>573</v>
      </c>
      <c r="AO120" s="1" t="s">
        <v>2703</v>
      </c>
      <c r="AP120" s="1" t="s">
        <v>2704</v>
      </c>
      <c r="AQ120" s="1" t="s">
        <v>74</v>
      </c>
      <c r="AR120" s="1" t="s">
        <v>2705</v>
      </c>
      <c r="AS120" s="1" t="s">
        <v>2706</v>
      </c>
      <c r="AT120" s="1" t="s">
        <v>2707</v>
      </c>
      <c r="AU120" s="1">
        <v>2021.0</v>
      </c>
      <c r="AV120" s="1">
        <v>13.0</v>
      </c>
      <c r="AW120" s="1">
        <v>2.0</v>
      </c>
      <c r="AX120" s="1" t="s">
        <v>74</v>
      </c>
      <c r="AY120" s="1" t="s">
        <v>74</v>
      </c>
      <c r="AZ120" s="1" t="s">
        <v>74</v>
      </c>
      <c r="BA120" s="1" t="s">
        <v>74</v>
      </c>
      <c r="BB120" s="1">
        <v>193.0</v>
      </c>
      <c r="BC120" s="1">
        <v>204.0</v>
      </c>
      <c r="BD120" s="1" t="s">
        <v>74</v>
      </c>
      <c r="BE120" s="1" t="s">
        <v>2708</v>
      </c>
      <c r="BF120" s="2" t="str">
        <f>HYPERLINK("http://dx.doi.org/10.1108/IJIS-10-2020-0181","http://dx.doi.org/10.1108/IJIS-10-2020-0181")</f>
        <v>http://dx.doi.org/10.1108/IJIS-10-2020-0181</v>
      </c>
      <c r="BG120" s="1" t="s">
        <v>74</v>
      </c>
      <c r="BH120" s="1" t="s">
        <v>1536</v>
      </c>
      <c r="BI120" s="1">
        <v>12.0</v>
      </c>
      <c r="BJ120" s="1" t="s">
        <v>2040</v>
      </c>
      <c r="BK120" s="1" t="s">
        <v>172</v>
      </c>
      <c r="BL120" s="1" t="s">
        <v>204</v>
      </c>
      <c r="BM120" s="1" t="s">
        <v>2709</v>
      </c>
      <c r="BN120" s="1" t="s">
        <v>74</v>
      </c>
      <c r="BO120" s="1" t="s">
        <v>74</v>
      </c>
      <c r="BP120" s="1" t="s">
        <v>74</v>
      </c>
      <c r="BQ120" s="1" t="s">
        <v>74</v>
      </c>
      <c r="BR120" s="1" t="s">
        <v>102</v>
      </c>
      <c r="BS120" s="1" t="s">
        <v>2710</v>
      </c>
      <c r="BT120" s="1" t="str">
        <f>HYPERLINK("https%3A%2F%2Fwww.webofscience.com%2Fwos%2Fwoscc%2Ffull-record%2FWOS:000612951700001","View Full Record in Web of Science")</f>
        <v>View Full Record in Web of Science</v>
      </c>
    </row>
    <row r="121" ht="12.75" customHeight="1">
      <c r="A121" s="1" t="s">
        <v>132</v>
      </c>
      <c r="B121" s="1" t="s">
        <v>2711</v>
      </c>
      <c r="C121" s="1" t="s">
        <v>74</v>
      </c>
      <c r="D121" s="1" t="s">
        <v>74</v>
      </c>
      <c r="E121" s="1" t="s">
        <v>74</v>
      </c>
      <c r="F121" s="1" t="s">
        <v>2712</v>
      </c>
      <c r="G121" s="1" t="s">
        <v>74</v>
      </c>
      <c r="H121" s="1" t="s">
        <v>74</v>
      </c>
      <c r="I121" s="1" t="s">
        <v>2713</v>
      </c>
      <c r="J121" s="1" t="s">
        <v>2714</v>
      </c>
      <c r="K121" s="1" t="s">
        <v>74</v>
      </c>
      <c r="L121" s="1" t="s">
        <v>74</v>
      </c>
      <c r="M121" s="1" t="s">
        <v>80</v>
      </c>
      <c r="N121" s="1" t="s">
        <v>1010</v>
      </c>
      <c r="O121" s="1" t="s">
        <v>74</v>
      </c>
      <c r="P121" s="1" t="s">
        <v>74</v>
      </c>
      <c r="Q121" s="1" t="s">
        <v>74</v>
      </c>
      <c r="R121" s="1" t="s">
        <v>74</v>
      </c>
      <c r="S121" s="1" t="s">
        <v>74</v>
      </c>
      <c r="T121" s="1" t="s">
        <v>2715</v>
      </c>
      <c r="U121" s="1" t="s">
        <v>2716</v>
      </c>
      <c r="V121" s="1" t="s">
        <v>2717</v>
      </c>
      <c r="W121" s="1" t="s">
        <v>2718</v>
      </c>
      <c r="X121" s="1" t="s">
        <v>2719</v>
      </c>
      <c r="Y121" s="1" t="s">
        <v>2720</v>
      </c>
      <c r="Z121" s="1" t="s">
        <v>2721</v>
      </c>
      <c r="AA121" s="1" t="s">
        <v>2722</v>
      </c>
      <c r="AB121" s="1" t="s">
        <v>2723</v>
      </c>
      <c r="AC121" s="1" t="s">
        <v>74</v>
      </c>
      <c r="AD121" s="1" t="s">
        <v>74</v>
      </c>
      <c r="AE121" s="1" t="s">
        <v>74</v>
      </c>
      <c r="AF121" s="1" t="s">
        <v>74</v>
      </c>
      <c r="AG121" s="1">
        <v>94.0</v>
      </c>
      <c r="AH121" s="1">
        <v>13.0</v>
      </c>
      <c r="AI121" s="1">
        <v>13.0</v>
      </c>
      <c r="AJ121" s="1">
        <v>5.0</v>
      </c>
      <c r="AK121" s="1">
        <v>32.0</v>
      </c>
      <c r="AL121" s="1" t="s">
        <v>1970</v>
      </c>
      <c r="AM121" s="1" t="s">
        <v>1658</v>
      </c>
      <c r="AN121" s="1" t="s">
        <v>1971</v>
      </c>
      <c r="AO121" s="1" t="s">
        <v>74</v>
      </c>
      <c r="AP121" s="1" t="s">
        <v>2724</v>
      </c>
      <c r="AQ121" s="1" t="s">
        <v>74</v>
      </c>
      <c r="AR121" s="1" t="s">
        <v>2725</v>
      </c>
      <c r="AS121" s="1" t="s">
        <v>2726</v>
      </c>
      <c r="AT121" s="1" t="s">
        <v>2727</v>
      </c>
      <c r="AU121" s="1">
        <v>2023.0</v>
      </c>
      <c r="AV121" s="1">
        <v>10.0</v>
      </c>
      <c r="AW121" s="1">
        <v>5.0</v>
      </c>
      <c r="AX121" s="1" t="s">
        <v>74</v>
      </c>
      <c r="AY121" s="1" t="s">
        <v>74</v>
      </c>
      <c r="AZ121" s="1" t="s">
        <v>74</v>
      </c>
      <c r="BA121" s="1" t="s">
        <v>74</v>
      </c>
      <c r="BB121" s="1" t="s">
        <v>74</v>
      </c>
      <c r="BC121" s="1" t="s">
        <v>74</v>
      </c>
      <c r="BD121" s="1">
        <v>202.0</v>
      </c>
      <c r="BE121" s="1" t="s">
        <v>2728</v>
      </c>
      <c r="BF121" s="2" t="str">
        <f>HYPERLINK("http://dx.doi.org/10.3390/jcdd10050202","http://dx.doi.org/10.3390/jcdd10050202")</f>
        <v>http://dx.doi.org/10.3390/jcdd10050202</v>
      </c>
      <c r="BG121" s="1" t="s">
        <v>74</v>
      </c>
      <c r="BH121" s="1" t="s">
        <v>74</v>
      </c>
      <c r="BI121" s="1">
        <v>22.0</v>
      </c>
      <c r="BJ121" s="1" t="s">
        <v>2729</v>
      </c>
      <c r="BK121" s="1" t="s">
        <v>149</v>
      </c>
      <c r="BL121" s="1" t="s">
        <v>2730</v>
      </c>
      <c r="BM121" s="1" t="s">
        <v>2731</v>
      </c>
      <c r="BN121" s="1">
        <v>3.7233169E7</v>
      </c>
      <c r="BO121" s="1" t="s">
        <v>1161</v>
      </c>
      <c r="BP121" s="1" t="s">
        <v>74</v>
      </c>
      <c r="BQ121" s="1" t="s">
        <v>74</v>
      </c>
      <c r="BR121" s="1" t="s">
        <v>102</v>
      </c>
      <c r="BS121" s="1" t="s">
        <v>2732</v>
      </c>
      <c r="BT121" s="1" t="str">
        <f>HYPERLINK("https%3A%2F%2Fwww.webofscience.com%2Fwos%2Fwoscc%2Ffull-record%2FWOS:000997576800001","View Full Record in Web of Science")</f>
        <v>View Full Record in Web of Science</v>
      </c>
    </row>
    <row r="122" ht="12.75" customHeight="1">
      <c r="A122" s="1" t="s">
        <v>132</v>
      </c>
      <c r="B122" s="1" t="s">
        <v>2733</v>
      </c>
      <c r="C122" s="1" t="s">
        <v>74</v>
      </c>
      <c r="D122" s="1" t="s">
        <v>74</v>
      </c>
      <c r="E122" s="1" t="s">
        <v>74</v>
      </c>
      <c r="F122" s="1" t="s">
        <v>2734</v>
      </c>
      <c r="G122" s="1" t="s">
        <v>74</v>
      </c>
      <c r="H122" s="1" t="s">
        <v>74</v>
      </c>
      <c r="I122" s="1" t="s">
        <v>2735</v>
      </c>
      <c r="J122" s="1" t="s">
        <v>2736</v>
      </c>
      <c r="K122" s="1" t="s">
        <v>74</v>
      </c>
      <c r="L122" s="1" t="s">
        <v>74</v>
      </c>
      <c r="M122" s="1" t="s">
        <v>80</v>
      </c>
      <c r="N122" s="1" t="s">
        <v>1010</v>
      </c>
      <c r="O122" s="1" t="s">
        <v>74</v>
      </c>
      <c r="P122" s="1" t="s">
        <v>74</v>
      </c>
      <c r="Q122" s="1" t="s">
        <v>74</v>
      </c>
      <c r="R122" s="1" t="s">
        <v>74</v>
      </c>
      <c r="S122" s="1" t="s">
        <v>74</v>
      </c>
      <c r="T122" s="1" t="s">
        <v>2737</v>
      </c>
      <c r="U122" s="1" t="s">
        <v>2738</v>
      </c>
      <c r="V122" s="1" t="s">
        <v>2739</v>
      </c>
      <c r="W122" s="1" t="s">
        <v>2740</v>
      </c>
      <c r="X122" s="1" t="s">
        <v>2741</v>
      </c>
      <c r="Y122" s="1" t="s">
        <v>2742</v>
      </c>
      <c r="Z122" s="1" t="s">
        <v>2743</v>
      </c>
      <c r="AA122" s="1" t="s">
        <v>2744</v>
      </c>
      <c r="AB122" s="1" t="s">
        <v>74</v>
      </c>
      <c r="AC122" s="1" t="s">
        <v>74</v>
      </c>
      <c r="AD122" s="1" t="s">
        <v>74</v>
      </c>
      <c r="AE122" s="1" t="s">
        <v>74</v>
      </c>
      <c r="AF122" s="1" t="s">
        <v>74</v>
      </c>
      <c r="AG122" s="1">
        <v>33.0</v>
      </c>
      <c r="AH122" s="1">
        <v>1.0</v>
      </c>
      <c r="AI122" s="1">
        <v>1.0</v>
      </c>
      <c r="AJ122" s="1">
        <v>37.0</v>
      </c>
      <c r="AK122" s="1">
        <v>37.0</v>
      </c>
      <c r="AL122" s="1" t="s">
        <v>2745</v>
      </c>
      <c r="AM122" s="1" t="s">
        <v>2746</v>
      </c>
      <c r="AN122" s="1" t="s">
        <v>2747</v>
      </c>
      <c r="AO122" s="1" t="s">
        <v>2748</v>
      </c>
      <c r="AP122" s="1" t="s">
        <v>2749</v>
      </c>
      <c r="AQ122" s="1" t="s">
        <v>74</v>
      </c>
      <c r="AR122" s="1" t="s">
        <v>2750</v>
      </c>
      <c r="AS122" s="1" t="s">
        <v>2751</v>
      </c>
      <c r="AT122" s="1" t="s">
        <v>2469</v>
      </c>
      <c r="AU122" s="1">
        <v>2024.0</v>
      </c>
      <c r="AV122" s="1">
        <v>80.0</v>
      </c>
      <c r="AW122" s="1" t="s">
        <v>74</v>
      </c>
      <c r="AX122" s="1" t="s">
        <v>74</v>
      </c>
      <c r="AY122" s="1" t="s">
        <v>74</v>
      </c>
      <c r="AZ122" s="1" t="s">
        <v>74</v>
      </c>
      <c r="BA122" s="1" t="s">
        <v>74</v>
      </c>
      <c r="BB122" s="1" t="s">
        <v>74</v>
      </c>
      <c r="BC122" s="1" t="s">
        <v>74</v>
      </c>
      <c r="BD122" s="1">
        <v>104148.0</v>
      </c>
      <c r="BE122" s="1" t="s">
        <v>2752</v>
      </c>
      <c r="BF122" s="2" t="str">
        <f>HYPERLINK("http://dx.doi.org/10.1016/j.nepr.2024.104148","http://dx.doi.org/10.1016/j.nepr.2024.104148")</f>
        <v>http://dx.doi.org/10.1016/j.nepr.2024.104148</v>
      </c>
      <c r="BG122" s="1" t="s">
        <v>74</v>
      </c>
      <c r="BH122" s="1" t="s">
        <v>2753</v>
      </c>
      <c r="BI122" s="1">
        <v>9.0</v>
      </c>
      <c r="BJ122" s="1" t="s">
        <v>1578</v>
      </c>
      <c r="BK122" s="1" t="s">
        <v>783</v>
      </c>
      <c r="BL122" s="1" t="s">
        <v>1578</v>
      </c>
      <c r="BM122" s="1" t="s">
        <v>2754</v>
      </c>
      <c r="BN122" s="1">
        <v>3.9405792E7</v>
      </c>
      <c r="BO122" s="1" t="s">
        <v>74</v>
      </c>
      <c r="BP122" s="1" t="s">
        <v>74</v>
      </c>
      <c r="BQ122" s="1" t="s">
        <v>74</v>
      </c>
      <c r="BR122" s="1" t="s">
        <v>102</v>
      </c>
      <c r="BS122" s="1" t="s">
        <v>2755</v>
      </c>
      <c r="BT122" s="1" t="str">
        <f>HYPERLINK("https%3A%2F%2Fwww.webofscience.com%2Fwos%2Fwoscc%2Ffull-record%2FWOS:001335944000001","View Full Record in Web of Science")</f>
        <v>View Full Record in Web of Science</v>
      </c>
    </row>
    <row r="123" ht="12.75" customHeight="1">
      <c r="A123" s="1" t="s">
        <v>72</v>
      </c>
      <c r="B123" s="1" t="s">
        <v>2756</v>
      </c>
      <c r="C123" s="1" t="s">
        <v>74</v>
      </c>
      <c r="D123" s="1" t="s">
        <v>362</v>
      </c>
      <c r="E123" s="1" t="s">
        <v>74</v>
      </c>
      <c r="F123" s="1" t="s">
        <v>2757</v>
      </c>
      <c r="G123" s="1" t="s">
        <v>74</v>
      </c>
      <c r="H123" s="1" t="s">
        <v>74</v>
      </c>
      <c r="I123" s="1" t="s">
        <v>2758</v>
      </c>
      <c r="J123" s="1" t="s">
        <v>365</v>
      </c>
      <c r="K123" s="1" t="s">
        <v>74</v>
      </c>
      <c r="L123" s="1" t="s">
        <v>74</v>
      </c>
      <c r="M123" s="1" t="s">
        <v>80</v>
      </c>
      <c r="N123" s="1" t="s">
        <v>81</v>
      </c>
      <c r="O123" s="1" t="s">
        <v>366</v>
      </c>
      <c r="P123" s="1" t="s">
        <v>367</v>
      </c>
      <c r="Q123" s="1" t="s">
        <v>368</v>
      </c>
      <c r="R123" s="1" t="s">
        <v>74</v>
      </c>
      <c r="S123" s="1" t="s">
        <v>369</v>
      </c>
      <c r="T123" s="1" t="s">
        <v>2759</v>
      </c>
      <c r="U123" s="1" t="s">
        <v>74</v>
      </c>
      <c r="V123" s="1" t="s">
        <v>2760</v>
      </c>
      <c r="W123" s="1" t="s">
        <v>2761</v>
      </c>
      <c r="X123" s="1" t="s">
        <v>2762</v>
      </c>
      <c r="Y123" s="1" t="s">
        <v>2763</v>
      </c>
      <c r="Z123" s="1" t="s">
        <v>2764</v>
      </c>
      <c r="AA123" s="1" t="s">
        <v>2765</v>
      </c>
      <c r="AB123" s="1" t="s">
        <v>2766</v>
      </c>
      <c r="AC123" s="1" t="s">
        <v>2767</v>
      </c>
      <c r="AD123" s="1" t="s">
        <v>2768</v>
      </c>
      <c r="AE123" s="1" t="s">
        <v>2769</v>
      </c>
      <c r="AF123" s="1" t="s">
        <v>74</v>
      </c>
      <c r="AG123" s="1">
        <v>49.0</v>
      </c>
      <c r="AH123" s="1">
        <v>1.0</v>
      </c>
      <c r="AI123" s="1">
        <v>1.0</v>
      </c>
      <c r="AJ123" s="1">
        <v>3.0</v>
      </c>
      <c r="AK123" s="1">
        <v>17.0</v>
      </c>
      <c r="AL123" s="1" t="s">
        <v>122</v>
      </c>
      <c r="AM123" s="1" t="s">
        <v>123</v>
      </c>
      <c r="AN123" s="1" t="s">
        <v>124</v>
      </c>
      <c r="AO123" s="1" t="s">
        <v>74</v>
      </c>
      <c r="AP123" s="1" t="s">
        <v>74</v>
      </c>
      <c r="AQ123" s="1" t="s">
        <v>376</v>
      </c>
      <c r="AR123" s="1" t="s">
        <v>74</v>
      </c>
      <c r="AS123" s="1" t="s">
        <v>74</v>
      </c>
      <c r="AT123" s="1" t="s">
        <v>74</v>
      </c>
      <c r="AU123" s="1">
        <v>2019.0</v>
      </c>
      <c r="AV123" s="1" t="s">
        <v>74</v>
      </c>
      <c r="AW123" s="1" t="s">
        <v>74</v>
      </c>
      <c r="AX123" s="1" t="s">
        <v>74</v>
      </c>
      <c r="AY123" s="1" t="s">
        <v>74</v>
      </c>
      <c r="AZ123" s="1" t="s">
        <v>74</v>
      </c>
      <c r="BA123" s="1" t="s">
        <v>74</v>
      </c>
      <c r="BB123" s="1">
        <v>238.0</v>
      </c>
      <c r="BC123" s="1">
        <v>245.0</v>
      </c>
      <c r="BD123" s="1" t="s">
        <v>74</v>
      </c>
      <c r="BE123" s="1" t="s">
        <v>2770</v>
      </c>
      <c r="BF123" s="2" t="str">
        <f>HYPERLINK("http://dx.doi.org/10.34190/ECIAIR.19.020","http://dx.doi.org/10.34190/ECIAIR.19.020")</f>
        <v>http://dx.doi.org/10.34190/ECIAIR.19.020</v>
      </c>
      <c r="BG123" s="1" t="s">
        <v>74</v>
      </c>
      <c r="BH123" s="1" t="s">
        <v>74</v>
      </c>
      <c r="BI123" s="1">
        <v>8.0</v>
      </c>
      <c r="BJ123" s="1" t="s">
        <v>127</v>
      </c>
      <c r="BK123" s="1" t="s">
        <v>128</v>
      </c>
      <c r="BL123" s="1" t="s">
        <v>129</v>
      </c>
      <c r="BM123" s="1" t="s">
        <v>378</v>
      </c>
      <c r="BN123" s="1" t="s">
        <v>74</v>
      </c>
      <c r="BO123" s="1" t="s">
        <v>74</v>
      </c>
      <c r="BP123" s="1" t="s">
        <v>74</v>
      </c>
      <c r="BQ123" s="1" t="s">
        <v>74</v>
      </c>
      <c r="BR123" s="1" t="s">
        <v>102</v>
      </c>
      <c r="BS123" s="1" t="s">
        <v>2771</v>
      </c>
      <c r="BT123" s="1" t="str">
        <f>HYPERLINK("https%3A%2F%2Fwww.webofscience.com%2Fwos%2Fwoscc%2Ffull-record%2FWOS:000539633500028","View Full Record in Web of Science")</f>
        <v>View Full Record in Web of Science</v>
      </c>
    </row>
    <row r="124" ht="12.75" customHeight="1">
      <c r="A124" s="1" t="s">
        <v>132</v>
      </c>
      <c r="B124" s="1" t="s">
        <v>2772</v>
      </c>
      <c r="C124" s="1" t="s">
        <v>74</v>
      </c>
      <c r="D124" s="1" t="s">
        <v>74</v>
      </c>
      <c r="E124" s="1" t="s">
        <v>74</v>
      </c>
      <c r="F124" s="1" t="s">
        <v>2773</v>
      </c>
      <c r="G124" s="1" t="s">
        <v>74</v>
      </c>
      <c r="H124" s="1" t="s">
        <v>74</v>
      </c>
      <c r="I124" s="1" t="s">
        <v>2774</v>
      </c>
      <c r="J124" s="1" t="s">
        <v>2775</v>
      </c>
      <c r="K124" s="1" t="s">
        <v>74</v>
      </c>
      <c r="L124" s="1" t="s">
        <v>74</v>
      </c>
      <c r="M124" s="1" t="s">
        <v>80</v>
      </c>
      <c r="N124" s="1" t="s">
        <v>338</v>
      </c>
      <c r="O124" s="1" t="s">
        <v>74</v>
      </c>
      <c r="P124" s="1" t="s">
        <v>74</v>
      </c>
      <c r="Q124" s="1" t="s">
        <v>74</v>
      </c>
      <c r="R124" s="1" t="s">
        <v>74</v>
      </c>
      <c r="S124" s="1" t="s">
        <v>74</v>
      </c>
      <c r="T124" s="1" t="s">
        <v>2776</v>
      </c>
      <c r="U124" s="1" t="s">
        <v>74</v>
      </c>
      <c r="V124" s="1" t="s">
        <v>2777</v>
      </c>
      <c r="W124" s="1" t="s">
        <v>2778</v>
      </c>
      <c r="X124" s="1" t="s">
        <v>2779</v>
      </c>
      <c r="Y124" s="1" t="s">
        <v>2780</v>
      </c>
      <c r="Z124" s="1" t="s">
        <v>2781</v>
      </c>
      <c r="AA124" s="1" t="s">
        <v>2782</v>
      </c>
      <c r="AB124" s="1" t="s">
        <v>74</v>
      </c>
      <c r="AC124" s="1" t="s">
        <v>74</v>
      </c>
      <c r="AD124" s="1" t="s">
        <v>74</v>
      </c>
      <c r="AE124" s="1" t="s">
        <v>74</v>
      </c>
      <c r="AF124" s="1" t="s">
        <v>74</v>
      </c>
      <c r="AG124" s="1">
        <v>59.0</v>
      </c>
      <c r="AH124" s="1">
        <v>0.0</v>
      </c>
      <c r="AI124" s="1">
        <v>0.0</v>
      </c>
      <c r="AJ124" s="1">
        <v>3.0</v>
      </c>
      <c r="AK124" s="1">
        <v>3.0</v>
      </c>
      <c r="AL124" s="1" t="s">
        <v>571</v>
      </c>
      <c r="AM124" s="1" t="s">
        <v>572</v>
      </c>
      <c r="AN124" s="1" t="s">
        <v>573</v>
      </c>
      <c r="AO124" s="1" t="s">
        <v>2783</v>
      </c>
      <c r="AP124" s="1" t="s">
        <v>2784</v>
      </c>
      <c r="AQ124" s="1" t="s">
        <v>74</v>
      </c>
      <c r="AR124" s="1" t="s">
        <v>2775</v>
      </c>
      <c r="AS124" s="1" t="s">
        <v>2785</v>
      </c>
      <c r="AT124" s="1" t="s">
        <v>2786</v>
      </c>
      <c r="AU124" s="1">
        <v>2024.0</v>
      </c>
      <c r="AV124" s="1" t="s">
        <v>74</v>
      </c>
      <c r="AW124" s="1" t="s">
        <v>74</v>
      </c>
      <c r="AX124" s="1" t="s">
        <v>74</v>
      </c>
      <c r="AY124" s="1" t="s">
        <v>74</v>
      </c>
      <c r="AZ124" s="1" t="s">
        <v>74</v>
      </c>
      <c r="BA124" s="1" t="s">
        <v>74</v>
      </c>
      <c r="BB124" s="1" t="s">
        <v>74</v>
      </c>
      <c r="BC124" s="1" t="s">
        <v>74</v>
      </c>
      <c r="BD124" s="1" t="s">
        <v>74</v>
      </c>
      <c r="BE124" s="1" t="s">
        <v>2787</v>
      </c>
      <c r="BF124" s="2" t="str">
        <f>HYPERLINK("http://dx.doi.org/10.1108/FS-05-2024-0109","http://dx.doi.org/10.1108/FS-05-2024-0109")</f>
        <v>http://dx.doi.org/10.1108/FS-05-2024-0109</v>
      </c>
      <c r="BG124" s="1" t="s">
        <v>74</v>
      </c>
      <c r="BH124" s="1" t="s">
        <v>2788</v>
      </c>
      <c r="BI124" s="1">
        <v>19.0</v>
      </c>
      <c r="BJ124" s="1" t="s">
        <v>2789</v>
      </c>
      <c r="BK124" s="1" t="s">
        <v>172</v>
      </c>
      <c r="BL124" s="1" t="s">
        <v>2790</v>
      </c>
      <c r="BM124" s="1" t="s">
        <v>2791</v>
      </c>
      <c r="BN124" s="1" t="s">
        <v>74</v>
      </c>
      <c r="BO124" s="1" t="s">
        <v>74</v>
      </c>
      <c r="BP124" s="1" t="s">
        <v>74</v>
      </c>
      <c r="BQ124" s="1" t="s">
        <v>74</v>
      </c>
      <c r="BR124" s="1" t="s">
        <v>102</v>
      </c>
      <c r="BS124" s="1" t="s">
        <v>2792</v>
      </c>
      <c r="BT124" s="1" t="str">
        <f>HYPERLINK("https%3A%2F%2Fwww.webofscience.com%2Fwos%2Fwoscc%2Ffull-record%2FWOS:001379089800001","View Full Record in Web of Science")</f>
        <v>View Full Record in Web of Science</v>
      </c>
    </row>
    <row r="125" ht="12.75" customHeight="1">
      <c r="A125" s="1" t="s">
        <v>132</v>
      </c>
      <c r="B125" s="1" t="s">
        <v>2793</v>
      </c>
      <c r="C125" s="1" t="s">
        <v>74</v>
      </c>
      <c r="D125" s="1" t="s">
        <v>74</v>
      </c>
      <c r="E125" s="1" t="s">
        <v>74</v>
      </c>
      <c r="F125" s="1" t="s">
        <v>2794</v>
      </c>
      <c r="G125" s="1" t="s">
        <v>74</v>
      </c>
      <c r="H125" s="1" t="s">
        <v>74</v>
      </c>
      <c r="I125" s="1" t="s">
        <v>2795</v>
      </c>
      <c r="J125" s="1" t="s">
        <v>2796</v>
      </c>
      <c r="K125" s="1" t="s">
        <v>74</v>
      </c>
      <c r="L125" s="1" t="s">
        <v>74</v>
      </c>
      <c r="M125" s="1" t="s">
        <v>80</v>
      </c>
      <c r="N125" s="1" t="s">
        <v>136</v>
      </c>
      <c r="O125" s="1" t="s">
        <v>74</v>
      </c>
      <c r="P125" s="1" t="s">
        <v>74</v>
      </c>
      <c r="Q125" s="1" t="s">
        <v>74</v>
      </c>
      <c r="R125" s="1" t="s">
        <v>74</v>
      </c>
      <c r="S125" s="1" t="s">
        <v>74</v>
      </c>
      <c r="T125" s="1" t="s">
        <v>2797</v>
      </c>
      <c r="U125" s="1" t="s">
        <v>2798</v>
      </c>
      <c r="V125" s="1" t="s">
        <v>2799</v>
      </c>
      <c r="W125" s="1" t="s">
        <v>2800</v>
      </c>
      <c r="X125" s="1" t="s">
        <v>2801</v>
      </c>
      <c r="Y125" s="1" t="s">
        <v>2802</v>
      </c>
      <c r="Z125" s="1" t="s">
        <v>2803</v>
      </c>
      <c r="AA125" s="1" t="s">
        <v>2804</v>
      </c>
      <c r="AB125" s="1" t="s">
        <v>74</v>
      </c>
      <c r="AC125" s="1" t="s">
        <v>2805</v>
      </c>
      <c r="AD125" s="1" t="s">
        <v>2801</v>
      </c>
      <c r="AE125" s="1" t="s">
        <v>2806</v>
      </c>
      <c r="AF125" s="1" t="s">
        <v>74</v>
      </c>
      <c r="AG125" s="1">
        <v>66.0</v>
      </c>
      <c r="AH125" s="1">
        <v>8.0</v>
      </c>
      <c r="AI125" s="1">
        <v>8.0</v>
      </c>
      <c r="AJ125" s="1">
        <v>6.0</v>
      </c>
      <c r="AK125" s="1">
        <v>43.0</v>
      </c>
      <c r="AL125" s="1" t="s">
        <v>2807</v>
      </c>
      <c r="AM125" s="1" t="s">
        <v>2808</v>
      </c>
      <c r="AN125" s="1" t="s">
        <v>2809</v>
      </c>
      <c r="AO125" s="1" t="s">
        <v>2810</v>
      </c>
      <c r="AP125" s="1" t="s">
        <v>74</v>
      </c>
      <c r="AQ125" s="1" t="s">
        <v>74</v>
      </c>
      <c r="AR125" s="1" t="s">
        <v>2811</v>
      </c>
      <c r="AS125" s="1" t="s">
        <v>2812</v>
      </c>
      <c r="AT125" s="1" t="s">
        <v>1051</v>
      </c>
      <c r="AU125" s="1">
        <v>2020.0</v>
      </c>
      <c r="AV125" s="1">
        <v>12.0</v>
      </c>
      <c r="AW125" s="1">
        <v>4.0</v>
      </c>
      <c r="AX125" s="1" t="s">
        <v>74</v>
      </c>
      <c r="AY125" s="1" t="s">
        <v>74</v>
      </c>
      <c r="AZ125" s="1" t="s">
        <v>74</v>
      </c>
      <c r="BA125" s="1" t="s">
        <v>74</v>
      </c>
      <c r="BB125" s="1">
        <v>18.0</v>
      </c>
      <c r="BC125" s="1">
        <v>28.0</v>
      </c>
      <c r="BD125" s="1" t="s">
        <v>74</v>
      </c>
      <c r="BE125" s="1" t="s">
        <v>74</v>
      </c>
      <c r="BF125" s="1" t="s">
        <v>74</v>
      </c>
      <c r="BG125" s="1" t="s">
        <v>74</v>
      </c>
      <c r="BH125" s="1" t="s">
        <v>74</v>
      </c>
      <c r="BI125" s="1">
        <v>11.0</v>
      </c>
      <c r="BJ125" s="1" t="s">
        <v>1776</v>
      </c>
      <c r="BK125" s="1" t="s">
        <v>172</v>
      </c>
      <c r="BL125" s="1" t="s">
        <v>204</v>
      </c>
      <c r="BM125" s="1" t="s">
        <v>2813</v>
      </c>
      <c r="BN125" s="1" t="s">
        <v>74</v>
      </c>
      <c r="BO125" s="1" t="s">
        <v>74</v>
      </c>
      <c r="BP125" s="1" t="s">
        <v>74</v>
      </c>
      <c r="BQ125" s="1" t="s">
        <v>74</v>
      </c>
      <c r="BR125" s="1" t="s">
        <v>102</v>
      </c>
      <c r="BS125" s="1" t="s">
        <v>2814</v>
      </c>
      <c r="BT125" s="1" t="str">
        <f>HYPERLINK("https%3A%2F%2Fwww.webofscience.com%2Fwos%2Fwoscc%2Ffull-record%2FWOS:000595003300002","View Full Record in Web of Science")</f>
        <v>View Full Record in Web of Science</v>
      </c>
    </row>
    <row r="126" ht="12.75" customHeight="1">
      <c r="A126" s="1" t="s">
        <v>132</v>
      </c>
      <c r="B126" s="1" t="s">
        <v>2815</v>
      </c>
      <c r="C126" s="1" t="s">
        <v>74</v>
      </c>
      <c r="D126" s="1" t="s">
        <v>74</v>
      </c>
      <c r="E126" s="1" t="s">
        <v>74</v>
      </c>
      <c r="F126" s="1" t="s">
        <v>2816</v>
      </c>
      <c r="G126" s="1" t="s">
        <v>74</v>
      </c>
      <c r="H126" s="1" t="s">
        <v>74</v>
      </c>
      <c r="I126" s="1" t="s">
        <v>2817</v>
      </c>
      <c r="J126" s="1" t="s">
        <v>2818</v>
      </c>
      <c r="K126" s="1" t="s">
        <v>74</v>
      </c>
      <c r="L126" s="1" t="s">
        <v>74</v>
      </c>
      <c r="M126" s="1" t="s">
        <v>80</v>
      </c>
      <c r="N126" s="1" t="s">
        <v>136</v>
      </c>
      <c r="O126" s="1" t="s">
        <v>74</v>
      </c>
      <c r="P126" s="1" t="s">
        <v>74</v>
      </c>
      <c r="Q126" s="1" t="s">
        <v>74</v>
      </c>
      <c r="R126" s="1" t="s">
        <v>74</v>
      </c>
      <c r="S126" s="1" t="s">
        <v>74</v>
      </c>
      <c r="T126" s="1" t="s">
        <v>2819</v>
      </c>
      <c r="U126" s="1" t="s">
        <v>74</v>
      </c>
      <c r="V126" s="1" t="s">
        <v>2820</v>
      </c>
      <c r="W126" s="1" t="s">
        <v>2821</v>
      </c>
      <c r="X126" s="1" t="s">
        <v>74</v>
      </c>
      <c r="Y126" s="1" t="s">
        <v>2822</v>
      </c>
      <c r="Z126" s="1" t="s">
        <v>74</v>
      </c>
      <c r="AA126" s="1" t="s">
        <v>74</v>
      </c>
      <c r="AB126" s="1" t="s">
        <v>74</v>
      </c>
      <c r="AC126" s="1" t="s">
        <v>74</v>
      </c>
      <c r="AD126" s="1" t="s">
        <v>74</v>
      </c>
      <c r="AE126" s="1" t="s">
        <v>74</v>
      </c>
      <c r="AF126" s="1" t="s">
        <v>74</v>
      </c>
      <c r="AG126" s="1">
        <v>11.0</v>
      </c>
      <c r="AH126" s="1">
        <v>0.0</v>
      </c>
      <c r="AI126" s="1">
        <v>0.0</v>
      </c>
      <c r="AJ126" s="1">
        <v>11.0</v>
      </c>
      <c r="AK126" s="1">
        <v>39.0</v>
      </c>
      <c r="AL126" s="1" t="s">
        <v>2823</v>
      </c>
      <c r="AM126" s="1" t="s">
        <v>2824</v>
      </c>
      <c r="AN126" s="1" t="s">
        <v>2825</v>
      </c>
      <c r="AO126" s="1" t="s">
        <v>2826</v>
      </c>
      <c r="AP126" s="1" t="s">
        <v>74</v>
      </c>
      <c r="AQ126" s="1" t="s">
        <v>74</v>
      </c>
      <c r="AR126" s="1" t="s">
        <v>2827</v>
      </c>
      <c r="AS126" s="1" t="s">
        <v>2828</v>
      </c>
      <c r="AT126" s="1" t="s">
        <v>328</v>
      </c>
      <c r="AU126" s="1">
        <v>2022.0</v>
      </c>
      <c r="AV126" s="1">
        <v>14.0</v>
      </c>
      <c r="AW126" s="1">
        <v>12.0</v>
      </c>
      <c r="AX126" s="1" t="s">
        <v>74</v>
      </c>
      <c r="AY126" s="1" t="s">
        <v>74</v>
      </c>
      <c r="AZ126" s="1" t="s">
        <v>74</v>
      </c>
      <c r="BA126" s="1" t="s">
        <v>74</v>
      </c>
      <c r="BB126" s="1">
        <v>1.0</v>
      </c>
      <c r="BC126" s="1">
        <v>7.0</v>
      </c>
      <c r="BD126" s="1" t="s">
        <v>74</v>
      </c>
      <c r="BE126" s="1" t="s">
        <v>74</v>
      </c>
      <c r="BF126" s="1" t="s">
        <v>74</v>
      </c>
      <c r="BG126" s="1" t="s">
        <v>74</v>
      </c>
      <c r="BH126" s="1" t="s">
        <v>74</v>
      </c>
      <c r="BI126" s="1">
        <v>7.0</v>
      </c>
      <c r="BJ126" s="1" t="s">
        <v>2040</v>
      </c>
      <c r="BK126" s="1" t="s">
        <v>172</v>
      </c>
      <c r="BL126" s="1" t="s">
        <v>204</v>
      </c>
      <c r="BM126" s="1" t="s">
        <v>2829</v>
      </c>
      <c r="BN126" s="1" t="s">
        <v>74</v>
      </c>
      <c r="BO126" s="1" t="s">
        <v>74</v>
      </c>
      <c r="BP126" s="1" t="s">
        <v>74</v>
      </c>
      <c r="BQ126" s="1" t="s">
        <v>74</v>
      </c>
      <c r="BR126" s="1" t="s">
        <v>102</v>
      </c>
      <c r="BS126" s="1" t="s">
        <v>2830</v>
      </c>
      <c r="BT126" s="1" t="str">
        <f>HYPERLINK("https%3A%2F%2Fwww.webofscience.com%2Fwos%2Fwoscc%2Ffull-record%2FWOS:000862944700001","View Full Record in Web of Science")</f>
        <v>View Full Record in Web of Science</v>
      </c>
    </row>
    <row r="127" ht="12.75" customHeight="1">
      <c r="A127" s="1" t="s">
        <v>132</v>
      </c>
      <c r="B127" s="1" t="s">
        <v>2831</v>
      </c>
      <c r="C127" s="1" t="s">
        <v>74</v>
      </c>
      <c r="D127" s="1" t="s">
        <v>74</v>
      </c>
      <c r="E127" s="1" t="s">
        <v>74</v>
      </c>
      <c r="F127" s="1" t="s">
        <v>2832</v>
      </c>
      <c r="G127" s="1" t="s">
        <v>74</v>
      </c>
      <c r="H127" s="1" t="s">
        <v>74</v>
      </c>
      <c r="I127" s="1" t="s">
        <v>2833</v>
      </c>
      <c r="J127" s="1" t="s">
        <v>2834</v>
      </c>
      <c r="K127" s="1" t="s">
        <v>74</v>
      </c>
      <c r="L127" s="1" t="s">
        <v>74</v>
      </c>
      <c r="M127" s="1" t="s">
        <v>80</v>
      </c>
      <c r="N127" s="1" t="s">
        <v>136</v>
      </c>
      <c r="O127" s="1" t="s">
        <v>74</v>
      </c>
      <c r="P127" s="1" t="s">
        <v>74</v>
      </c>
      <c r="Q127" s="1" t="s">
        <v>74</v>
      </c>
      <c r="R127" s="1" t="s">
        <v>74</v>
      </c>
      <c r="S127" s="1" t="s">
        <v>74</v>
      </c>
      <c r="T127" s="1" t="s">
        <v>2835</v>
      </c>
      <c r="U127" s="1" t="s">
        <v>2836</v>
      </c>
      <c r="V127" s="1" t="s">
        <v>2837</v>
      </c>
      <c r="W127" s="1" t="s">
        <v>2838</v>
      </c>
      <c r="X127" s="1" t="s">
        <v>2839</v>
      </c>
      <c r="Y127" s="1" t="s">
        <v>2840</v>
      </c>
      <c r="Z127" s="1" t="s">
        <v>2841</v>
      </c>
      <c r="AA127" s="1" t="s">
        <v>2842</v>
      </c>
      <c r="AB127" s="1" t="s">
        <v>2843</v>
      </c>
      <c r="AC127" s="1" t="s">
        <v>2844</v>
      </c>
      <c r="AD127" s="1" t="s">
        <v>2845</v>
      </c>
      <c r="AE127" s="1" t="s">
        <v>2846</v>
      </c>
      <c r="AF127" s="1" t="s">
        <v>74</v>
      </c>
      <c r="AG127" s="1">
        <v>32.0</v>
      </c>
      <c r="AH127" s="1">
        <v>6.0</v>
      </c>
      <c r="AI127" s="1">
        <v>6.0</v>
      </c>
      <c r="AJ127" s="1">
        <v>60.0</v>
      </c>
      <c r="AK127" s="1">
        <v>95.0</v>
      </c>
      <c r="AL127" s="1" t="s">
        <v>1571</v>
      </c>
      <c r="AM127" s="1" t="s">
        <v>1572</v>
      </c>
      <c r="AN127" s="1" t="s">
        <v>1573</v>
      </c>
      <c r="AO127" s="1" t="s">
        <v>2847</v>
      </c>
      <c r="AP127" s="1" t="s">
        <v>2848</v>
      </c>
      <c r="AQ127" s="1" t="s">
        <v>74</v>
      </c>
      <c r="AR127" s="1" t="s">
        <v>2849</v>
      </c>
      <c r="AS127" s="1" t="s">
        <v>2850</v>
      </c>
      <c r="AT127" s="1" t="s">
        <v>1301</v>
      </c>
      <c r="AU127" s="1">
        <v>2025.0</v>
      </c>
      <c r="AV127" s="1">
        <v>43.0</v>
      </c>
      <c r="AW127" s="1">
        <v>1.0</v>
      </c>
      <c r="AX127" s="1" t="s">
        <v>74</v>
      </c>
      <c r="AY127" s="1" t="s">
        <v>74</v>
      </c>
      <c r="AZ127" s="1" t="s">
        <v>74</v>
      </c>
      <c r="BA127" s="1" t="s">
        <v>74</v>
      </c>
      <c r="BB127" s="1">
        <v>129.0</v>
      </c>
      <c r="BC127" s="1">
        <v>147.0</v>
      </c>
      <c r="BD127" s="1" t="s">
        <v>74</v>
      </c>
      <c r="BE127" s="1" t="s">
        <v>2851</v>
      </c>
      <c r="BF127" s="2" t="str">
        <f>HYPERLINK("http://dx.doi.org/10.1177/08944393241246100","http://dx.doi.org/10.1177/08944393241246100")</f>
        <v>http://dx.doi.org/10.1177/08944393241246100</v>
      </c>
      <c r="BG127" s="1" t="s">
        <v>74</v>
      </c>
      <c r="BH127" s="1" t="s">
        <v>580</v>
      </c>
      <c r="BI127" s="1">
        <v>19.0</v>
      </c>
      <c r="BJ127" s="1" t="s">
        <v>2852</v>
      </c>
      <c r="BK127" s="1" t="s">
        <v>783</v>
      </c>
      <c r="BL127" s="1" t="s">
        <v>2853</v>
      </c>
      <c r="BM127" s="1" t="s">
        <v>2854</v>
      </c>
      <c r="BN127" s="1" t="s">
        <v>74</v>
      </c>
      <c r="BO127" s="1" t="s">
        <v>74</v>
      </c>
      <c r="BP127" s="1" t="s">
        <v>74</v>
      </c>
      <c r="BQ127" s="1" t="s">
        <v>74</v>
      </c>
      <c r="BR127" s="1" t="s">
        <v>102</v>
      </c>
      <c r="BS127" s="1" t="s">
        <v>2855</v>
      </c>
      <c r="BT127" s="1" t="str">
        <f>HYPERLINK("https%3A%2F%2Fwww.webofscience.com%2Fwos%2Fwoscc%2Ffull-record%2FWOS:001200126800001","View Full Record in Web of Science")</f>
        <v>View Full Record in Web of Science</v>
      </c>
    </row>
    <row r="128" ht="12.75" customHeight="1">
      <c r="A128" s="1" t="s">
        <v>132</v>
      </c>
      <c r="B128" s="1" t="s">
        <v>2856</v>
      </c>
      <c r="C128" s="1" t="s">
        <v>74</v>
      </c>
      <c r="D128" s="1" t="s">
        <v>74</v>
      </c>
      <c r="E128" s="1" t="s">
        <v>74</v>
      </c>
      <c r="F128" s="1" t="s">
        <v>2857</v>
      </c>
      <c r="G128" s="1" t="s">
        <v>74</v>
      </c>
      <c r="H128" s="1" t="s">
        <v>74</v>
      </c>
      <c r="I128" s="1" t="s">
        <v>2858</v>
      </c>
      <c r="J128" s="1" t="s">
        <v>2859</v>
      </c>
      <c r="K128" s="1" t="s">
        <v>74</v>
      </c>
      <c r="L128" s="1" t="s">
        <v>74</v>
      </c>
      <c r="M128" s="1" t="s">
        <v>80</v>
      </c>
      <c r="N128" s="1" t="s">
        <v>136</v>
      </c>
      <c r="O128" s="1" t="s">
        <v>74</v>
      </c>
      <c r="P128" s="1" t="s">
        <v>74</v>
      </c>
      <c r="Q128" s="1" t="s">
        <v>74</v>
      </c>
      <c r="R128" s="1" t="s">
        <v>74</v>
      </c>
      <c r="S128" s="1" t="s">
        <v>74</v>
      </c>
      <c r="T128" s="1" t="s">
        <v>2860</v>
      </c>
      <c r="U128" s="1" t="s">
        <v>74</v>
      </c>
      <c r="V128" s="1" t="s">
        <v>2861</v>
      </c>
      <c r="W128" s="1" t="s">
        <v>2862</v>
      </c>
      <c r="X128" s="1" t="s">
        <v>2863</v>
      </c>
      <c r="Y128" s="1" t="s">
        <v>2864</v>
      </c>
      <c r="Z128" s="1" t="s">
        <v>2865</v>
      </c>
      <c r="AA128" s="1" t="s">
        <v>74</v>
      </c>
      <c r="AB128" s="1" t="s">
        <v>74</v>
      </c>
      <c r="AC128" s="1" t="s">
        <v>74</v>
      </c>
      <c r="AD128" s="1" t="s">
        <v>74</v>
      </c>
      <c r="AE128" s="1" t="s">
        <v>74</v>
      </c>
      <c r="AF128" s="1" t="s">
        <v>74</v>
      </c>
      <c r="AG128" s="1">
        <v>46.0</v>
      </c>
      <c r="AH128" s="1">
        <v>0.0</v>
      </c>
      <c r="AI128" s="1">
        <v>0.0</v>
      </c>
      <c r="AJ128" s="1">
        <v>0.0</v>
      </c>
      <c r="AK128" s="1">
        <v>0.0</v>
      </c>
      <c r="AL128" s="1" t="s">
        <v>1357</v>
      </c>
      <c r="AM128" s="1" t="s">
        <v>1358</v>
      </c>
      <c r="AN128" s="1" t="s">
        <v>1359</v>
      </c>
      <c r="AO128" s="1" t="s">
        <v>2866</v>
      </c>
      <c r="AP128" s="1" t="s">
        <v>2867</v>
      </c>
      <c r="AQ128" s="1" t="s">
        <v>74</v>
      </c>
      <c r="AR128" s="1" t="s">
        <v>2868</v>
      </c>
      <c r="AS128" s="1" t="s">
        <v>2869</v>
      </c>
      <c r="AT128" s="1" t="s">
        <v>1027</v>
      </c>
      <c r="AU128" s="1">
        <v>2025.0</v>
      </c>
      <c r="AV128" s="1">
        <v>60.0</v>
      </c>
      <c r="AW128" s="1">
        <v>1.0</v>
      </c>
      <c r="AX128" s="1" t="s">
        <v>74</v>
      </c>
      <c r="AY128" s="1" t="s">
        <v>74</v>
      </c>
      <c r="AZ128" s="1" t="s">
        <v>74</v>
      </c>
      <c r="BA128" s="1" t="s">
        <v>74</v>
      </c>
      <c r="BB128" s="1" t="s">
        <v>74</v>
      </c>
      <c r="BC128" s="1" t="s">
        <v>74</v>
      </c>
      <c r="BD128" s="1" t="s">
        <v>2870</v>
      </c>
      <c r="BE128" s="1" t="s">
        <v>2871</v>
      </c>
      <c r="BF128" s="2" t="str">
        <f>HYPERLINK("http://dx.doi.org/10.1111/ejed.12929","http://dx.doi.org/10.1111/ejed.12929")</f>
        <v>http://dx.doi.org/10.1111/ejed.12929</v>
      </c>
      <c r="BG128" s="1" t="s">
        <v>74</v>
      </c>
      <c r="BH128" s="1" t="s">
        <v>74</v>
      </c>
      <c r="BI128" s="1">
        <v>6.0</v>
      </c>
      <c r="BJ128" s="1" t="s">
        <v>171</v>
      </c>
      <c r="BK128" s="1" t="s">
        <v>203</v>
      </c>
      <c r="BL128" s="1" t="s">
        <v>171</v>
      </c>
      <c r="BM128" s="1" t="s">
        <v>2872</v>
      </c>
      <c r="BN128" s="1" t="s">
        <v>74</v>
      </c>
      <c r="BO128" s="1" t="s">
        <v>74</v>
      </c>
      <c r="BP128" s="1" t="s">
        <v>74</v>
      </c>
      <c r="BQ128" s="1" t="s">
        <v>74</v>
      </c>
      <c r="BR128" s="1" t="s">
        <v>102</v>
      </c>
      <c r="BS128" s="1" t="s">
        <v>2873</v>
      </c>
      <c r="BT128" s="1" t="str">
        <f>HYPERLINK("https%3A%2F%2Fwww.webofscience.com%2Fwos%2Fwoscc%2Ffull-record%2FWOS:001401648100001","View Full Record in Web of Science")</f>
        <v>View Full Record in Web of Science</v>
      </c>
    </row>
    <row r="129" ht="12.75" customHeight="1">
      <c r="A129" s="1" t="s">
        <v>132</v>
      </c>
      <c r="B129" s="1" t="s">
        <v>2874</v>
      </c>
      <c r="C129" s="1" t="s">
        <v>74</v>
      </c>
      <c r="D129" s="1" t="s">
        <v>74</v>
      </c>
      <c r="E129" s="1" t="s">
        <v>74</v>
      </c>
      <c r="F129" s="1" t="s">
        <v>2875</v>
      </c>
      <c r="G129" s="1" t="s">
        <v>74</v>
      </c>
      <c r="H129" s="1" t="s">
        <v>74</v>
      </c>
      <c r="I129" s="1" t="s">
        <v>2876</v>
      </c>
      <c r="J129" s="1" t="s">
        <v>179</v>
      </c>
      <c r="K129" s="1" t="s">
        <v>74</v>
      </c>
      <c r="L129" s="1" t="s">
        <v>74</v>
      </c>
      <c r="M129" s="1" t="s">
        <v>80</v>
      </c>
      <c r="N129" s="1" t="s">
        <v>338</v>
      </c>
      <c r="O129" s="1" t="s">
        <v>74</v>
      </c>
      <c r="P129" s="1" t="s">
        <v>74</v>
      </c>
      <c r="Q129" s="1" t="s">
        <v>74</v>
      </c>
      <c r="R129" s="1" t="s">
        <v>74</v>
      </c>
      <c r="S129" s="1" t="s">
        <v>74</v>
      </c>
      <c r="T129" s="1" t="s">
        <v>2877</v>
      </c>
      <c r="U129" s="1" t="s">
        <v>2878</v>
      </c>
      <c r="V129" s="1" t="s">
        <v>2879</v>
      </c>
      <c r="W129" s="1" t="s">
        <v>2880</v>
      </c>
      <c r="X129" s="1" t="s">
        <v>2881</v>
      </c>
      <c r="Y129" s="1" t="s">
        <v>2882</v>
      </c>
      <c r="Z129" s="1" t="s">
        <v>2883</v>
      </c>
      <c r="AA129" s="1" t="s">
        <v>2884</v>
      </c>
      <c r="AB129" s="1" t="s">
        <v>2885</v>
      </c>
      <c r="AC129" s="1" t="s">
        <v>74</v>
      </c>
      <c r="AD129" s="1" t="s">
        <v>74</v>
      </c>
      <c r="AE129" s="1" t="s">
        <v>74</v>
      </c>
      <c r="AF129" s="1" t="s">
        <v>74</v>
      </c>
      <c r="AG129" s="1">
        <v>87.0</v>
      </c>
      <c r="AH129" s="1">
        <v>1.0</v>
      </c>
      <c r="AI129" s="1">
        <v>1.0</v>
      </c>
      <c r="AJ129" s="1">
        <v>7.0</v>
      </c>
      <c r="AK129" s="1">
        <v>7.0</v>
      </c>
      <c r="AL129" s="1" t="s">
        <v>192</v>
      </c>
      <c r="AM129" s="1" t="s">
        <v>193</v>
      </c>
      <c r="AN129" s="1" t="s">
        <v>194</v>
      </c>
      <c r="AO129" s="1" t="s">
        <v>195</v>
      </c>
      <c r="AP129" s="1" t="s">
        <v>196</v>
      </c>
      <c r="AQ129" s="1" t="s">
        <v>74</v>
      </c>
      <c r="AR129" s="1" t="s">
        <v>197</v>
      </c>
      <c r="AS129" s="1" t="s">
        <v>198</v>
      </c>
      <c r="AT129" s="1" t="s">
        <v>2886</v>
      </c>
      <c r="AU129" s="1">
        <v>2024.0</v>
      </c>
      <c r="AV129" s="1" t="s">
        <v>74</v>
      </c>
      <c r="AW129" s="1" t="s">
        <v>74</v>
      </c>
      <c r="AX129" s="1" t="s">
        <v>74</v>
      </c>
      <c r="AY129" s="1" t="s">
        <v>74</v>
      </c>
      <c r="AZ129" s="1" t="s">
        <v>74</v>
      </c>
      <c r="BA129" s="1" t="s">
        <v>74</v>
      </c>
      <c r="BB129" s="1" t="s">
        <v>74</v>
      </c>
      <c r="BC129" s="1" t="s">
        <v>74</v>
      </c>
      <c r="BD129" s="1" t="s">
        <v>74</v>
      </c>
      <c r="BE129" s="1" t="s">
        <v>2887</v>
      </c>
      <c r="BF129" s="2" t="str">
        <f>HYPERLINK("http://dx.doi.org/10.1007/s00191-024-00865-7","http://dx.doi.org/10.1007/s00191-024-00865-7")</f>
        <v>http://dx.doi.org/10.1007/s00191-024-00865-7</v>
      </c>
      <c r="BG129" s="1" t="s">
        <v>74</v>
      </c>
      <c r="BH129" s="1" t="s">
        <v>1929</v>
      </c>
      <c r="BI129" s="1">
        <v>16.0</v>
      </c>
      <c r="BJ129" s="1" t="s">
        <v>202</v>
      </c>
      <c r="BK129" s="1" t="s">
        <v>203</v>
      </c>
      <c r="BL129" s="1" t="s">
        <v>204</v>
      </c>
      <c r="BM129" s="1" t="s">
        <v>2888</v>
      </c>
      <c r="BN129" s="1" t="s">
        <v>74</v>
      </c>
      <c r="BO129" s="1" t="s">
        <v>74</v>
      </c>
      <c r="BP129" s="1" t="s">
        <v>74</v>
      </c>
      <c r="BQ129" s="1" t="s">
        <v>74</v>
      </c>
      <c r="BR129" s="1" t="s">
        <v>102</v>
      </c>
      <c r="BS129" s="1" t="s">
        <v>2889</v>
      </c>
      <c r="BT129" s="1" t="str">
        <f>HYPERLINK("https%3A%2F%2Fwww.webofscience.com%2Fwos%2Fwoscc%2Ffull-record%2FWOS:001282136100001","View Full Record in Web of Science")</f>
        <v>View Full Record in Web of Science</v>
      </c>
    </row>
    <row r="130" ht="12.75" customHeight="1">
      <c r="A130" s="1" t="s">
        <v>132</v>
      </c>
      <c r="B130" s="1" t="s">
        <v>2890</v>
      </c>
      <c r="C130" s="1" t="s">
        <v>74</v>
      </c>
      <c r="D130" s="1" t="s">
        <v>74</v>
      </c>
      <c r="E130" s="1" t="s">
        <v>74</v>
      </c>
      <c r="F130" s="1" t="s">
        <v>2891</v>
      </c>
      <c r="G130" s="1" t="s">
        <v>74</v>
      </c>
      <c r="H130" s="1" t="s">
        <v>74</v>
      </c>
      <c r="I130" s="1" t="s">
        <v>2892</v>
      </c>
      <c r="J130" s="1" t="s">
        <v>2893</v>
      </c>
      <c r="K130" s="1" t="s">
        <v>74</v>
      </c>
      <c r="L130" s="1" t="s">
        <v>74</v>
      </c>
      <c r="M130" s="1" t="s">
        <v>80</v>
      </c>
      <c r="N130" s="1" t="s">
        <v>136</v>
      </c>
      <c r="O130" s="1" t="s">
        <v>74</v>
      </c>
      <c r="P130" s="1" t="s">
        <v>74</v>
      </c>
      <c r="Q130" s="1" t="s">
        <v>74</v>
      </c>
      <c r="R130" s="1" t="s">
        <v>74</v>
      </c>
      <c r="S130" s="1" t="s">
        <v>74</v>
      </c>
      <c r="T130" s="1" t="s">
        <v>2894</v>
      </c>
      <c r="U130" s="1" t="s">
        <v>2895</v>
      </c>
      <c r="V130" s="1" t="s">
        <v>2896</v>
      </c>
      <c r="W130" s="1" t="s">
        <v>2897</v>
      </c>
      <c r="X130" s="1" t="s">
        <v>2898</v>
      </c>
      <c r="Y130" s="1" t="s">
        <v>2899</v>
      </c>
      <c r="Z130" s="1" t="s">
        <v>2900</v>
      </c>
      <c r="AA130" s="1" t="s">
        <v>2901</v>
      </c>
      <c r="AB130" s="1" t="s">
        <v>2902</v>
      </c>
      <c r="AC130" s="1" t="s">
        <v>74</v>
      </c>
      <c r="AD130" s="1" t="s">
        <v>74</v>
      </c>
      <c r="AE130" s="1" t="s">
        <v>74</v>
      </c>
      <c r="AF130" s="1" t="s">
        <v>74</v>
      </c>
      <c r="AG130" s="1">
        <v>123.0</v>
      </c>
      <c r="AH130" s="1">
        <v>77.0</v>
      </c>
      <c r="AI130" s="1">
        <v>80.0</v>
      </c>
      <c r="AJ130" s="1">
        <v>60.0</v>
      </c>
      <c r="AK130" s="1">
        <v>228.0</v>
      </c>
      <c r="AL130" s="1" t="s">
        <v>2745</v>
      </c>
      <c r="AM130" s="1" t="s">
        <v>1090</v>
      </c>
      <c r="AN130" s="1" t="s">
        <v>2903</v>
      </c>
      <c r="AO130" s="1" t="s">
        <v>2904</v>
      </c>
      <c r="AP130" s="1" t="s">
        <v>2905</v>
      </c>
      <c r="AQ130" s="1" t="s">
        <v>74</v>
      </c>
      <c r="AR130" s="1" t="s">
        <v>2906</v>
      </c>
      <c r="AS130" s="1" t="s">
        <v>2907</v>
      </c>
      <c r="AT130" s="1" t="s">
        <v>199</v>
      </c>
      <c r="AU130" s="1">
        <v>2021.0</v>
      </c>
      <c r="AV130" s="1">
        <v>67.0</v>
      </c>
      <c r="AW130" s="1" t="s">
        <v>74</v>
      </c>
      <c r="AX130" s="1" t="s">
        <v>74</v>
      </c>
      <c r="AY130" s="1" t="s">
        <v>74</v>
      </c>
      <c r="AZ130" s="1" t="s">
        <v>74</v>
      </c>
      <c r="BA130" s="1" t="s">
        <v>74</v>
      </c>
      <c r="BB130" s="1" t="s">
        <v>74</v>
      </c>
      <c r="BC130" s="1" t="s">
        <v>74</v>
      </c>
      <c r="BD130" s="1">
        <v>101679.0</v>
      </c>
      <c r="BE130" s="1" t="s">
        <v>2908</v>
      </c>
      <c r="BF130" s="2" t="str">
        <f>HYPERLINK("http://dx.doi.org/10.1016/j.techsoc.2021.101679","http://dx.doi.org/10.1016/j.techsoc.2021.101679")</f>
        <v>http://dx.doi.org/10.1016/j.techsoc.2021.101679</v>
      </c>
      <c r="BG130" s="1" t="s">
        <v>74</v>
      </c>
      <c r="BH130" s="1" t="s">
        <v>781</v>
      </c>
      <c r="BI130" s="1">
        <v>24.0</v>
      </c>
      <c r="BJ130" s="1" t="s">
        <v>2909</v>
      </c>
      <c r="BK130" s="1" t="s">
        <v>203</v>
      </c>
      <c r="BL130" s="1" t="s">
        <v>2910</v>
      </c>
      <c r="BM130" s="1" t="s">
        <v>2911</v>
      </c>
      <c r="BN130" s="1" t="s">
        <v>74</v>
      </c>
      <c r="BO130" s="1" t="s">
        <v>74</v>
      </c>
      <c r="BP130" s="1" t="s">
        <v>74</v>
      </c>
      <c r="BQ130" s="1" t="s">
        <v>74</v>
      </c>
      <c r="BR130" s="1" t="s">
        <v>102</v>
      </c>
      <c r="BS130" s="1" t="s">
        <v>2912</v>
      </c>
      <c r="BT130" s="1" t="str">
        <f>HYPERLINK("https%3A%2F%2Fwww.webofscience.com%2Fwos%2Fwoscc%2Ffull-record%2FWOS:000704511300001","View Full Record in Web of Science")</f>
        <v>View Full Record in Web of Science</v>
      </c>
    </row>
    <row r="131" ht="12.75" customHeight="1">
      <c r="A131" s="1" t="s">
        <v>132</v>
      </c>
      <c r="B131" s="1" t="s">
        <v>2913</v>
      </c>
      <c r="C131" s="1" t="s">
        <v>74</v>
      </c>
      <c r="D131" s="1" t="s">
        <v>74</v>
      </c>
      <c r="E131" s="1" t="s">
        <v>74</v>
      </c>
      <c r="F131" s="1" t="s">
        <v>2914</v>
      </c>
      <c r="G131" s="1" t="s">
        <v>74</v>
      </c>
      <c r="H131" s="1" t="s">
        <v>74</v>
      </c>
      <c r="I131" s="1" t="s">
        <v>2915</v>
      </c>
      <c r="J131" s="1" t="s">
        <v>2916</v>
      </c>
      <c r="K131" s="1" t="s">
        <v>74</v>
      </c>
      <c r="L131" s="1" t="s">
        <v>74</v>
      </c>
      <c r="M131" s="1" t="s">
        <v>80</v>
      </c>
      <c r="N131" s="1" t="s">
        <v>136</v>
      </c>
      <c r="O131" s="1" t="s">
        <v>74</v>
      </c>
      <c r="P131" s="1" t="s">
        <v>74</v>
      </c>
      <c r="Q131" s="1" t="s">
        <v>74</v>
      </c>
      <c r="R131" s="1" t="s">
        <v>74</v>
      </c>
      <c r="S131" s="1" t="s">
        <v>74</v>
      </c>
      <c r="T131" s="1" t="s">
        <v>2917</v>
      </c>
      <c r="U131" s="1" t="s">
        <v>2918</v>
      </c>
      <c r="V131" s="1" t="s">
        <v>2919</v>
      </c>
      <c r="W131" s="1" t="s">
        <v>2920</v>
      </c>
      <c r="X131" s="1" t="s">
        <v>2921</v>
      </c>
      <c r="Y131" s="1" t="s">
        <v>2922</v>
      </c>
      <c r="Z131" s="1" t="s">
        <v>2923</v>
      </c>
      <c r="AA131" s="1" t="s">
        <v>74</v>
      </c>
      <c r="AB131" s="1" t="s">
        <v>2924</v>
      </c>
      <c r="AC131" s="1" t="s">
        <v>2925</v>
      </c>
      <c r="AD131" s="1" t="s">
        <v>2926</v>
      </c>
      <c r="AE131" s="1" t="s">
        <v>2927</v>
      </c>
      <c r="AF131" s="1" t="s">
        <v>74</v>
      </c>
      <c r="AG131" s="1">
        <v>44.0</v>
      </c>
      <c r="AH131" s="1">
        <v>12.0</v>
      </c>
      <c r="AI131" s="1">
        <v>13.0</v>
      </c>
      <c r="AJ131" s="1">
        <v>8.0</v>
      </c>
      <c r="AK131" s="1">
        <v>36.0</v>
      </c>
      <c r="AL131" s="1" t="s">
        <v>2928</v>
      </c>
      <c r="AM131" s="1" t="s">
        <v>1090</v>
      </c>
      <c r="AN131" s="1" t="s">
        <v>2929</v>
      </c>
      <c r="AO131" s="1" t="s">
        <v>2930</v>
      </c>
      <c r="AP131" s="1" t="s">
        <v>2931</v>
      </c>
      <c r="AQ131" s="1" t="s">
        <v>74</v>
      </c>
      <c r="AR131" s="1" t="s">
        <v>2932</v>
      </c>
      <c r="AS131" s="1" t="s">
        <v>2933</v>
      </c>
      <c r="AT131" s="1" t="s">
        <v>2934</v>
      </c>
      <c r="AU131" s="1">
        <v>2022.0</v>
      </c>
      <c r="AV131" s="1">
        <v>29.0</v>
      </c>
      <c r="AW131" s="1">
        <v>10.0</v>
      </c>
      <c r="AX131" s="1" t="s">
        <v>74</v>
      </c>
      <c r="AY131" s="1" t="s">
        <v>74</v>
      </c>
      <c r="AZ131" s="1" t="s">
        <v>74</v>
      </c>
      <c r="BA131" s="1" t="s">
        <v>74</v>
      </c>
      <c r="BB131" s="1">
        <v>1688.0</v>
      </c>
      <c r="BC131" s="1">
        <v>1695.0</v>
      </c>
      <c r="BD131" s="1" t="s">
        <v>74</v>
      </c>
      <c r="BE131" s="1" t="s">
        <v>2935</v>
      </c>
      <c r="BF131" s="2" t="str">
        <f>HYPERLINK("http://dx.doi.org/10.1093/jamia/ocac103","http://dx.doi.org/10.1093/jamia/ocac103")</f>
        <v>http://dx.doi.org/10.1093/jamia/ocac103</v>
      </c>
      <c r="BG131" s="1" t="s">
        <v>74</v>
      </c>
      <c r="BH131" s="1" t="s">
        <v>476</v>
      </c>
      <c r="BI131" s="1">
        <v>8.0</v>
      </c>
      <c r="BJ131" s="1" t="s">
        <v>2936</v>
      </c>
      <c r="BK131" s="1" t="s">
        <v>783</v>
      </c>
      <c r="BL131" s="1" t="s">
        <v>2937</v>
      </c>
      <c r="BM131" s="1" t="s">
        <v>2938</v>
      </c>
      <c r="BN131" s="1">
        <v>3.5751441E7</v>
      </c>
      <c r="BO131" s="1" t="s">
        <v>1997</v>
      </c>
      <c r="BP131" s="1" t="s">
        <v>74</v>
      </c>
      <c r="BQ131" s="1" t="s">
        <v>74</v>
      </c>
      <c r="BR131" s="1" t="s">
        <v>102</v>
      </c>
      <c r="BS131" s="1" t="s">
        <v>2939</v>
      </c>
      <c r="BT131" s="1" t="str">
        <f>HYPERLINK("https%3A%2F%2Fwww.webofscience.com%2Fwos%2Fwoscc%2Ffull-record%2FWOS:000815516700001","View Full Record in Web of Science")</f>
        <v>View Full Record in Web of Science</v>
      </c>
    </row>
    <row r="132" ht="12.75" customHeight="1">
      <c r="A132" s="1" t="s">
        <v>132</v>
      </c>
      <c r="B132" s="1" t="s">
        <v>2940</v>
      </c>
      <c r="C132" s="1" t="s">
        <v>74</v>
      </c>
      <c r="D132" s="1" t="s">
        <v>74</v>
      </c>
      <c r="E132" s="1" t="s">
        <v>74</v>
      </c>
      <c r="F132" s="1" t="s">
        <v>2941</v>
      </c>
      <c r="G132" s="1" t="s">
        <v>74</v>
      </c>
      <c r="H132" s="1" t="s">
        <v>74</v>
      </c>
      <c r="I132" s="1" t="s">
        <v>2942</v>
      </c>
      <c r="J132" s="1" t="s">
        <v>2943</v>
      </c>
      <c r="K132" s="1" t="s">
        <v>74</v>
      </c>
      <c r="L132" s="1" t="s">
        <v>74</v>
      </c>
      <c r="M132" s="1" t="s">
        <v>80</v>
      </c>
      <c r="N132" s="1" t="s">
        <v>136</v>
      </c>
      <c r="O132" s="1" t="s">
        <v>74</v>
      </c>
      <c r="P132" s="1" t="s">
        <v>74</v>
      </c>
      <c r="Q132" s="1" t="s">
        <v>74</v>
      </c>
      <c r="R132" s="1" t="s">
        <v>74</v>
      </c>
      <c r="S132" s="1" t="s">
        <v>74</v>
      </c>
      <c r="T132" s="1" t="s">
        <v>2944</v>
      </c>
      <c r="U132" s="1" t="s">
        <v>74</v>
      </c>
      <c r="V132" s="1" t="s">
        <v>2945</v>
      </c>
      <c r="W132" s="1" t="s">
        <v>2946</v>
      </c>
      <c r="X132" s="1" t="s">
        <v>74</v>
      </c>
      <c r="Y132" s="1" t="s">
        <v>2947</v>
      </c>
      <c r="Z132" s="1" t="s">
        <v>2948</v>
      </c>
      <c r="AA132" s="1" t="s">
        <v>74</v>
      </c>
      <c r="AB132" s="1" t="s">
        <v>2949</v>
      </c>
      <c r="AC132" s="1" t="s">
        <v>2950</v>
      </c>
      <c r="AD132" s="1" t="s">
        <v>2950</v>
      </c>
      <c r="AE132" s="1" t="s">
        <v>2951</v>
      </c>
      <c r="AF132" s="1" t="s">
        <v>74</v>
      </c>
      <c r="AG132" s="1">
        <v>14.0</v>
      </c>
      <c r="AH132" s="1">
        <v>1.0</v>
      </c>
      <c r="AI132" s="1">
        <v>1.0</v>
      </c>
      <c r="AJ132" s="1">
        <v>3.0</v>
      </c>
      <c r="AK132" s="1">
        <v>5.0</v>
      </c>
      <c r="AL132" s="1" t="s">
        <v>2928</v>
      </c>
      <c r="AM132" s="1" t="s">
        <v>1090</v>
      </c>
      <c r="AN132" s="1" t="s">
        <v>2929</v>
      </c>
      <c r="AO132" s="1" t="s">
        <v>2952</v>
      </c>
      <c r="AP132" s="1" t="s">
        <v>2953</v>
      </c>
      <c r="AQ132" s="1" t="s">
        <v>74</v>
      </c>
      <c r="AR132" s="1" t="s">
        <v>2954</v>
      </c>
      <c r="AS132" s="1" t="s">
        <v>2955</v>
      </c>
      <c r="AT132" s="1" t="s">
        <v>2956</v>
      </c>
      <c r="AU132" s="1">
        <v>2024.0</v>
      </c>
      <c r="AV132" s="1">
        <v>53.0</v>
      </c>
      <c r="AW132" s="1">
        <v>3.0</v>
      </c>
      <c r="AX132" s="1" t="s">
        <v>74</v>
      </c>
      <c r="AY132" s="1" t="s">
        <v>74</v>
      </c>
      <c r="AZ132" s="1" t="s">
        <v>74</v>
      </c>
      <c r="BA132" s="1" t="s">
        <v>74</v>
      </c>
      <c r="BB132" s="1">
        <v>173.0</v>
      </c>
      <c r="BC132" s="1">
        <v>177.0</v>
      </c>
      <c r="BD132" s="1" t="s">
        <v>74</v>
      </c>
      <c r="BE132" s="1" t="s">
        <v>2957</v>
      </c>
      <c r="BF132" s="2" t="str">
        <f>HYPERLINK("http://dx.doi.org/10.1093/dmfr/twae005","http://dx.doi.org/10.1093/dmfr/twae005")</f>
        <v>http://dx.doi.org/10.1093/dmfr/twae005</v>
      </c>
      <c r="BG132" s="1" t="s">
        <v>74</v>
      </c>
      <c r="BH132" s="1" t="s">
        <v>2958</v>
      </c>
      <c r="BI132" s="1">
        <v>5.0</v>
      </c>
      <c r="BJ132" s="1" t="s">
        <v>2959</v>
      </c>
      <c r="BK132" s="1" t="s">
        <v>149</v>
      </c>
      <c r="BL132" s="1" t="s">
        <v>2959</v>
      </c>
      <c r="BM132" s="1" t="s">
        <v>2960</v>
      </c>
      <c r="BN132" s="1">
        <v>3.8374464E7</v>
      </c>
      <c r="BO132" s="1" t="s">
        <v>632</v>
      </c>
      <c r="BP132" s="1" t="s">
        <v>74</v>
      </c>
      <c r="BQ132" s="1" t="s">
        <v>74</v>
      </c>
      <c r="BR132" s="1" t="s">
        <v>102</v>
      </c>
      <c r="BS132" s="1" t="s">
        <v>2961</v>
      </c>
      <c r="BT132" s="1" t="str">
        <f>HYPERLINK("https%3A%2F%2Fwww.webofscience.com%2Fwos%2Fwoscc%2Ffull-record%2FWOS:001184014700001","View Full Record in Web of Science")</f>
        <v>View Full Record in Web of Science</v>
      </c>
    </row>
    <row r="133" ht="12.75" customHeight="1">
      <c r="A133" s="1" t="s">
        <v>72</v>
      </c>
      <c r="B133" s="1" t="s">
        <v>2962</v>
      </c>
      <c r="C133" s="1" t="s">
        <v>74</v>
      </c>
      <c r="D133" s="1" t="s">
        <v>2963</v>
      </c>
      <c r="E133" s="1" t="s">
        <v>74</v>
      </c>
      <c r="F133" s="1" t="s">
        <v>2964</v>
      </c>
      <c r="G133" s="1" t="s">
        <v>74</v>
      </c>
      <c r="H133" s="1" t="s">
        <v>74</v>
      </c>
      <c r="I133" s="1" t="s">
        <v>2965</v>
      </c>
      <c r="J133" s="1" t="s">
        <v>2966</v>
      </c>
      <c r="K133" s="1" t="s">
        <v>2386</v>
      </c>
      <c r="L133" s="1" t="s">
        <v>74</v>
      </c>
      <c r="M133" s="1" t="s">
        <v>80</v>
      </c>
      <c r="N133" s="1" t="s">
        <v>81</v>
      </c>
      <c r="O133" s="1" t="s">
        <v>2967</v>
      </c>
      <c r="P133" s="1" t="s">
        <v>2968</v>
      </c>
      <c r="Q133" s="1" t="s">
        <v>2969</v>
      </c>
      <c r="R133" s="1" t="s">
        <v>74</v>
      </c>
      <c r="S133" s="1" t="s">
        <v>74</v>
      </c>
      <c r="T133" s="1" t="s">
        <v>2970</v>
      </c>
      <c r="U133" s="1" t="s">
        <v>2971</v>
      </c>
      <c r="V133" s="1" t="s">
        <v>2972</v>
      </c>
      <c r="W133" s="1" t="s">
        <v>2973</v>
      </c>
      <c r="X133" s="1" t="s">
        <v>2974</v>
      </c>
      <c r="Y133" s="1" t="s">
        <v>2975</v>
      </c>
      <c r="Z133" s="1" t="s">
        <v>2976</v>
      </c>
      <c r="AA133" s="1" t="s">
        <v>2977</v>
      </c>
      <c r="AB133" s="1" t="s">
        <v>2978</v>
      </c>
      <c r="AC133" s="1" t="s">
        <v>74</v>
      </c>
      <c r="AD133" s="1" t="s">
        <v>74</v>
      </c>
      <c r="AE133" s="1" t="s">
        <v>74</v>
      </c>
      <c r="AF133" s="1" t="s">
        <v>74</v>
      </c>
      <c r="AG133" s="1">
        <v>40.0</v>
      </c>
      <c r="AH133" s="1">
        <v>0.0</v>
      </c>
      <c r="AI133" s="1">
        <v>0.0</v>
      </c>
      <c r="AJ133" s="1">
        <v>9.0</v>
      </c>
      <c r="AK133" s="1">
        <v>9.0</v>
      </c>
      <c r="AL133" s="1" t="s">
        <v>223</v>
      </c>
      <c r="AM133" s="1" t="s">
        <v>224</v>
      </c>
      <c r="AN133" s="1" t="s">
        <v>225</v>
      </c>
      <c r="AO133" s="1" t="s">
        <v>2398</v>
      </c>
      <c r="AP133" s="1" t="s">
        <v>2399</v>
      </c>
      <c r="AQ133" s="1" t="s">
        <v>2979</v>
      </c>
      <c r="AR133" s="1" t="s">
        <v>2401</v>
      </c>
      <c r="AS133" s="1" t="s">
        <v>74</v>
      </c>
      <c r="AT133" s="1" t="s">
        <v>74</v>
      </c>
      <c r="AU133" s="1">
        <v>2024.0</v>
      </c>
      <c r="AV133" s="1">
        <v>1100.0</v>
      </c>
      <c r="AW133" s="1" t="s">
        <v>74</v>
      </c>
      <c r="AX133" s="1" t="s">
        <v>74</v>
      </c>
      <c r="AY133" s="1" t="s">
        <v>74</v>
      </c>
      <c r="AZ133" s="1" t="s">
        <v>74</v>
      </c>
      <c r="BA133" s="1" t="s">
        <v>74</v>
      </c>
      <c r="BB133" s="1">
        <v>13.0</v>
      </c>
      <c r="BC133" s="1">
        <v>23.0</v>
      </c>
      <c r="BD133" s="1" t="s">
        <v>74</v>
      </c>
      <c r="BE133" s="1" t="s">
        <v>2980</v>
      </c>
      <c r="BF133" s="2" t="str">
        <f>HYPERLINK("http://dx.doi.org/10.1007/978-3-031-68660-3_2","http://dx.doi.org/10.1007/978-3-031-68660-3_2")</f>
        <v>http://dx.doi.org/10.1007/978-3-031-68660-3_2</v>
      </c>
      <c r="BG133" s="1" t="s">
        <v>74</v>
      </c>
      <c r="BH133" s="1" t="s">
        <v>74</v>
      </c>
      <c r="BI133" s="1">
        <v>11.0</v>
      </c>
      <c r="BJ133" s="1" t="s">
        <v>257</v>
      </c>
      <c r="BK133" s="1" t="s">
        <v>128</v>
      </c>
      <c r="BL133" s="1" t="s">
        <v>232</v>
      </c>
      <c r="BM133" s="1" t="s">
        <v>2981</v>
      </c>
      <c r="BN133" s="1" t="s">
        <v>74</v>
      </c>
      <c r="BO133" s="1" t="s">
        <v>74</v>
      </c>
      <c r="BP133" s="1" t="s">
        <v>74</v>
      </c>
      <c r="BQ133" s="1" t="s">
        <v>74</v>
      </c>
      <c r="BR133" s="1" t="s">
        <v>102</v>
      </c>
      <c r="BS133" s="1" t="s">
        <v>2982</v>
      </c>
      <c r="BT133" s="1" t="str">
        <f>HYPERLINK("https%3A%2F%2Fwww.webofscience.com%2Fwos%2Fwoscc%2Ffull-record%2FWOS:001329105900002","View Full Record in Web of Science")</f>
        <v>View Full Record in Web of Science</v>
      </c>
    </row>
    <row r="134" ht="12.75" customHeight="1">
      <c r="A134" s="1" t="s">
        <v>72</v>
      </c>
      <c r="B134" s="1" t="s">
        <v>2983</v>
      </c>
      <c r="C134" s="1" t="s">
        <v>74</v>
      </c>
      <c r="D134" s="1" t="s">
        <v>2984</v>
      </c>
      <c r="E134" s="1" t="s">
        <v>74</v>
      </c>
      <c r="F134" s="1" t="s">
        <v>2985</v>
      </c>
      <c r="G134" s="1" t="s">
        <v>74</v>
      </c>
      <c r="H134" s="1" t="s">
        <v>74</v>
      </c>
      <c r="I134" s="1" t="s">
        <v>2986</v>
      </c>
      <c r="J134" s="1" t="s">
        <v>2987</v>
      </c>
      <c r="K134" s="1" t="s">
        <v>2988</v>
      </c>
      <c r="L134" s="1" t="s">
        <v>74</v>
      </c>
      <c r="M134" s="1" t="s">
        <v>80</v>
      </c>
      <c r="N134" s="1" t="s">
        <v>81</v>
      </c>
      <c r="O134" s="1" t="s">
        <v>2989</v>
      </c>
      <c r="P134" s="1" t="s">
        <v>2990</v>
      </c>
      <c r="Q134" s="1" t="s">
        <v>2991</v>
      </c>
      <c r="R134" s="1" t="s">
        <v>74</v>
      </c>
      <c r="S134" s="1" t="s">
        <v>74</v>
      </c>
      <c r="T134" s="1" t="s">
        <v>2992</v>
      </c>
      <c r="U134" s="1" t="s">
        <v>74</v>
      </c>
      <c r="V134" s="1" t="s">
        <v>2993</v>
      </c>
      <c r="W134" s="1" t="s">
        <v>2994</v>
      </c>
      <c r="X134" s="1" t="s">
        <v>2995</v>
      </c>
      <c r="Y134" s="1" t="s">
        <v>2996</v>
      </c>
      <c r="Z134" s="1" t="s">
        <v>2997</v>
      </c>
      <c r="AA134" s="1" t="s">
        <v>74</v>
      </c>
      <c r="AB134" s="1" t="s">
        <v>74</v>
      </c>
      <c r="AC134" s="1" t="s">
        <v>74</v>
      </c>
      <c r="AD134" s="1" t="s">
        <v>74</v>
      </c>
      <c r="AE134" s="1" t="s">
        <v>74</v>
      </c>
      <c r="AF134" s="1" t="s">
        <v>74</v>
      </c>
      <c r="AG134" s="1">
        <v>14.0</v>
      </c>
      <c r="AH134" s="1">
        <v>5.0</v>
      </c>
      <c r="AI134" s="1">
        <v>5.0</v>
      </c>
      <c r="AJ134" s="1">
        <v>7.0</v>
      </c>
      <c r="AK134" s="1">
        <v>44.0</v>
      </c>
      <c r="AL134" s="1" t="s">
        <v>236</v>
      </c>
      <c r="AM134" s="1" t="s">
        <v>193</v>
      </c>
      <c r="AN134" s="1" t="s">
        <v>252</v>
      </c>
      <c r="AO134" s="1" t="s">
        <v>2998</v>
      </c>
      <c r="AP134" s="1" t="s">
        <v>74</v>
      </c>
      <c r="AQ134" s="1" t="s">
        <v>2999</v>
      </c>
      <c r="AR134" s="1" t="s">
        <v>3000</v>
      </c>
      <c r="AS134" s="1" t="s">
        <v>74</v>
      </c>
      <c r="AT134" s="1" t="s">
        <v>74</v>
      </c>
      <c r="AU134" s="1">
        <v>2017.0</v>
      </c>
      <c r="AV134" s="1" t="s">
        <v>74</v>
      </c>
      <c r="AW134" s="1" t="s">
        <v>74</v>
      </c>
      <c r="AX134" s="1" t="s">
        <v>74</v>
      </c>
      <c r="AY134" s="1" t="s">
        <v>74</v>
      </c>
      <c r="AZ134" s="1" t="s">
        <v>74</v>
      </c>
      <c r="BA134" s="1" t="s">
        <v>74</v>
      </c>
      <c r="BB134" s="1">
        <v>165.0</v>
      </c>
      <c r="BC134" s="1">
        <v>168.0</v>
      </c>
      <c r="BD134" s="1" t="s">
        <v>74</v>
      </c>
      <c r="BE134" s="1" t="s">
        <v>3001</v>
      </c>
      <c r="BF134" s="2" t="str">
        <f>HYPERLINK("http://dx.doi.org/10.1109/DCABES.2017.43","http://dx.doi.org/10.1109/DCABES.2017.43")</f>
        <v>http://dx.doi.org/10.1109/DCABES.2017.43</v>
      </c>
      <c r="BG134" s="1" t="s">
        <v>74</v>
      </c>
      <c r="BH134" s="1" t="s">
        <v>74</v>
      </c>
      <c r="BI134" s="1">
        <v>4.0</v>
      </c>
      <c r="BJ134" s="1" t="s">
        <v>3002</v>
      </c>
      <c r="BK134" s="1" t="s">
        <v>128</v>
      </c>
      <c r="BL134" s="1" t="s">
        <v>232</v>
      </c>
      <c r="BM134" s="1" t="s">
        <v>3003</v>
      </c>
      <c r="BN134" s="1" t="s">
        <v>74</v>
      </c>
      <c r="BO134" s="1" t="s">
        <v>74</v>
      </c>
      <c r="BP134" s="1" t="s">
        <v>74</v>
      </c>
      <c r="BQ134" s="1" t="s">
        <v>74</v>
      </c>
      <c r="BR134" s="1" t="s">
        <v>102</v>
      </c>
      <c r="BS134" s="1" t="s">
        <v>3004</v>
      </c>
      <c r="BT134" s="1" t="str">
        <f>HYPERLINK("https%3A%2F%2Fwww.webofscience.com%2Fwos%2Fwoscc%2Ffull-record%2FWOS:000426448700037","View Full Record in Web of Science")</f>
        <v>View Full Record in Web of Science</v>
      </c>
    </row>
    <row r="135" ht="12.75" customHeight="1">
      <c r="A135" s="1" t="s">
        <v>132</v>
      </c>
      <c r="B135" s="1" t="s">
        <v>3005</v>
      </c>
      <c r="C135" s="1" t="s">
        <v>74</v>
      </c>
      <c r="D135" s="1" t="s">
        <v>74</v>
      </c>
      <c r="E135" s="1" t="s">
        <v>74</v>
      </c>
      <c r="F135" s="1" t="s">
        <v>3006</v>
      </c>
      <c r="G135" s="1" t="s">
        <v>74</v>
      </c>
      <c r="H135" s="1" t="s">
        <v>74</v>
      </c>
      <c r="I135" s="1" t="s">
        <v>3007</v>
      </c>
      <c r="J135" s="1" t="s">
        <v>3008</v>
      </c>
      <c r="K135" s="1" t="s">
        <v>74</v>
      </c>
      <c r="L135" s="1" t="s">
        <v>74</v>
      </c>
      <c r="M135" s="1" t="s">
        <v>80</v>
      </c>
      <c r="N135" s="1" t="s">
        <v>1010</v>
      </c>
      <c r="O135" s="1" t="s">
        <v>74</v>
      </c>
      <c r="P135" s="1" t="s">
        <v>74</v>
      </c>
      <c r="Q135" s="1" t="s">
        <v>74</v>
      </c>
      <c r="R135" s="1" t="s">
        <v>74</v>
      </c>
      <c r="S135" s="1" t="s">
        <v>74</v>
      </c>
      <c r="T135" s="1" t="s">
        <v>3009</v>
      </c>
      <c r="U135" s="1" t="s">
        <v>3010</v>
      </c>
      <c r="V135" s="1" t="s">
        <v>3011</v>
      </c>
      <c r="W135" s="1" t="s">
        <v>3012</v>
      </c>
      <c r="X135" s="1" t="s">
        <v>3013</v>
      </c>
      <c r="Y135" s="1" t="s">
        <v>3014</v>
      </c>
      <c r="Z135" s="1" t="s">
        <v>3015</v>
      </c>
      <c r="AA135" s="1" t="s">
        <v>74</v>
      </c>
      <c r="AB135" s="1" t="s">
        <v>3016</v>
      </c>
      <c r="AC135" s="1" t="s">
        <v>3017</v>
      </c>
      <c r="AD135" s="1" t="s">
        <v>3017</v>
      </c>
      <c r="AE135" s="1" t="s">
        <v>3018</v>
      </c>
      <c r="AF135" s="1" t="s">
        <v>74</v>
      </c>
      <c r="AG135" s="1">
        <v>34.0</v>
      </c>
      <c r="AH135" s="1">
        <v>10.0</v>
      </c>
      <c r="AI135" s="1">
        <v>10.0</v>
      </c>
      <c r="AJ135" s="1">
        <v>11.0</v>
      </c>
      <c r="AK135" s="1">
        <v>28.0</v>
      </c>
      <c r="AL135" s="1" t="s">
        <v>192</v>
      </c>
      <c r="AM135" s="1" t="s">
        <v>193</v>
      </c>
      <c r="AN135" s="1" t="s">
        <v>194</v>
      </c>
      <c r="AO135" s="1" t="s">
        <v>3019</v>
      </c>
      <c r="AP135" s="1" t="s">
        <v>3020</v>
      </c>
      <c r="AQ135" s="1" t="s">
        <v>74</v>
      </c>
      <c r="AR135" s="1" t="s">
        <v>3021</v>
      </c>
      <c r="AS135" s="1" t="s">
        <v>3022</v>
      </c>
      <c r="AT135" s="1" t="s">
        <v>3023</v>
      </c>
      <c r="AU135" s="1">
        <v>2024.0</v>
      </c>
      <c r="AV135" s="1">
        <v>48.0</v>
      </c>
      <c r="AW135" s="1">
        <v>1.0</v>
      </c>
      <c r="AX135" s="1" t="s">
        <v>74</v>
      </c>
      <c r="AY135" s="1" t="s">
        <v>74</v>
      </c>
      <c r="AZ135" s="1" t="s">
        <v>74</v>
      </c>
      <c r="BA135" s="1" t="s">
        <v>74</v>
      </c>
      <c r="BB135" s="1" t="s">
        <v>74</v>
      </c>
      <c r="BC135" s="1" t="s">
        <v>74</v>
      </c>
      <c r="BD135" s="1">
        <v>19.0</v>
      </c>
      <c r="BE135" s="1" t="s">
        <v>3024</v>
      </c>
      <c r="BF135" s="2" t="str">
        <f>HYPERLINK("http://dx.doi.org/10.1007/s10916-024-02038-2","http://dx.doi.org/10.1007/s10916-024-02038-2")</f>
        <v>http://dx.doi.org/10.1007/s10916-024-02038-2</v>
      </c>
      <c r="BG135" s="1" t="s">
        <v>74</v>
      </c>
      <c r="BH135" s="1" t="s">
        <v>74</v>
      </c>
      <c r="BI135" s="1">
        <v>16.0</v>
      </c>
      <c r="BJ135" s="1" t="s">
        <v>3025</v>
      </c>
      <c r="BK135" s="1" t="s">
        <v>149</v>
      </c>
      <c r="BL135" s="1" t="s">
        <v>3025</v>
      </c>
      <c r="BM135" s="1" t="s">
        <v>3026</v>
      </c>
      <c r="BN135" s="1">
        <v>3.8353755E7</v>
      </c>
      <c r="BO135" s="1" t="s">
        <v>3027</v>
      </c>
      <c r="BP135" s="1" t="s">
        <v>74</v>
      </c>
      <c r="BQ135" s="1" t="s">
        <v>74</v>
      </c>
      <c r="BR135" s="1" t="s">
        <v>102</v>
      </c>
      <c r="BS135" s="1" t="s">
        <v>3028</v>
      </c>
      <c r="BT135" s="1" t="str">
        <f>HYPERLINK("https%3A%2F%2Fwww.webofscience.com%2Fwos%2Fwoscc%2Ffull-record%2FWOS:001161412700002","View Full Record in Web of Science")</f>
        <v>View Full Record in Web of Science</v>
      </c>
    </row>
    <row r="136" ht="12.75" customHeight="1">
      <c r="A136" s="1" t="s">
        <v>132</v>
      </c>
      <c r="B136" s="1" t="s">
        <v>3029</v>
      </c>
      <c r="C136" s="1" t="s">
        <v>74</v>
      </c>
      <c r="D136" s="1" t="s">
        <v>74</v>
      </c>
      <c r="E136" s="1" t="s">
        <v>74</v>
      </c>
      <c r="F136" s="1" t="s">
        <v>3030</v>
      </c>
      <c r="G136" s="1" t="s">
        <v>74</v>
      </c>
      <c r="H136" s="1" t="s">
        <v>74</v>
      </c>
      <c r="I136" s="1" t="s">
        <v>3031</v>
      </c>
      <c r="J136" s="1" t="s">
        <v>3032</v>
      </c>
      <c r="K136" s="1" t="s">
        <v>74</v>
      </c>
      <c r="L136" s="1" t="s">
        <v>74</v>
      </c>
      <c r="M136" s="1" t="s">
        <v>80</v>
      </c>
      <c r="N136" s="1" t="s">
        <v>136</v>
      </c>
      <c r="O136" s="1" t="s">
        <v>74</v>
      </c>
      <c r="P136" s="1" t="s">
        <v>74</v>
      </c>
      <c r="Q136" s="1" t="s">
        <v>74</v>
      </c>
      <c r="R136" s="1" t="s">
        <v>74</v>
      </c>
      <c r="S136" s="1" t="s">
        <v>74</v>
      </c>
      <c r="T136" s="1" t="s">
        <v>3033</v>
      </c>
      <c r="U136" s="1" t="s">
        <v>74</v>
      </c>
      <c r="V136" s="1" t="s">
        <v>3034</v>
      </c>
      <c r="W136" s="1" t="s">
        <v>3035</v>
      </c>
      <c r="X136" s="1" t="s">
        <v>3036</v>
      </c>
      <c r="Y136" s="1" t="s">
        <v>3037</v>
      </c>
      <c r="Z136" s="1" t="s">
        <v>3038</v>
      </c>
      <c r="AA136" s="1" t="s">
        <v>3039</v>
      </c>
      <c r="AB136" s="1" t="s">
        <v>3040</v>
      </c>
      <c r="AC136" s="1" t="s">
        <v>3041</v>
      </c>
      <c r="AD136" s="1" t="s">
        <v>3042</v>
      </c>
      <c r="AE136" s="1" t="s">
        <v>3043</v>
      </c>
      <c r="AF136" s="1" t="s">
        <v>74</v>
      </c>
      <c r="AG136" s="1">
        <v>48.0</v>
      </c>
      <c r="AH136" s="1">
        <v>4.0</v>
      </c>
      <c r="AI136" s="1">
        <v>5.0</v>
      </c>
      <c r="AJ136" s="1">
        <v>4.0</v>
      </c>
      <c r="AK136" s="1">
        <v>22.0</v>
      </c>
      <c r="AL136" s="1" t="s">
        <v>1528</v>
      </c>
      <c r="AM136" s="1" t="s">
        <v>1529</v>
      </c>
      <c r="AN136" s="1" t="s">
        <v>1530</v>
      </c>
      <c r="AO136" s="1" t="s">
        <v>3044</v>
      </c>
      <c r="AP136" s="1" t="s">
        <v>3045</v>
      </c>
      <c r="AQ136" s="1" t="s">
        <v>74</v>
      </c>
      <c r="AR136" s="1" t="s">
        <v>3046</v>
      </c>
      <c r="AS136" s="1" t="s">
        <v>3047</v>
      </c>
      <c r="AT136" s="1" t="s">
        <v>1027</v>
      </c>
      <c r="AU136" s="1">
        <v>2023.0</v>
      </c>
      <c r="AV136" s="1">
        <v>13.0</v>
      </c>
      <c r="AW136" s="1" t="s">
        <v>3048</v>
      </c>
      <c r="AX136" s="1" t="s">
        <v>74</v>
      </c>
      <c r="AY136" s="1" t="s">
        <v>74</v>
      </c>
      <c r="AZ136" s="1" t="s">
        <v>74</v>
      </c>
      <c r="BA136" s="1" t="s">
        <v>74</v>
      </c>
      <c r="BB136" s="1">
        <v>469.0</v>
      </c>
      <c r="BC136" s="1">
        <v>484.0</v>
      </c>
      <c r="BD136" s="1" t="s">
        <v>74</v>
      </c>
      <c r="BE136" s="1" t="s">
        <v>3049</v>
      </c>
      <c r="BF136" s="2" t="str">
        <f>HYPERLINK("http://dx.doi.org/10.1007/s13349-022-00651-8","http://dx.doi.org/10.1007/s13349-022-00651-8")</f>
        <v>http://dx.doi.org/10.1007/s13349-022-00651-8</v>
      </c>
      <c r="BG136" s="1" t="s">
        <v>74</v>
      </c>
      <c r="BH136" s="1" t="s">
        <v>3050</v>
      </c>
      <c r="BI136" s="1">
        <v>16.0</v>
      </c>
      <c r="BJ136" s="1" t="s">
        <v>3051</v>
      </c>
      <c r="BK136" s="1" t="s">
        <v>149</v>
      </c>
      <c r="BL136" s="1" t="s">
        <v>3052</v>
      </c>
      <c r="BM136" s="1" t="s">
        <v>3053</v>
      </c>
      <c r="BN136" s="1" t="s">
        <v>74</v>
      </c>
      <c r="BO136" s="1" t="s">
        <v>74</v>
      </c>
      <c r="BP136" s="1" t="s">
        <v>74</v>
      </c>
      <c r="BQ136" s="1" t="s">
        <v>74</v>
      </c>
      <c r="BR136" s="1" t="s">
        <v>102</v>
      </c>
      <c r="BS136" s="1" t="s">
        <v>3054</v>
      </c>
      <c r="BT136" s="1" t="str">
        <f>HYPERLINK("https%3A%2F%2Fwww.webofscience.com%2Fwos%2Fwoscc%2Ffull-record%2FWOS:000886875100002","View Full Record in Web of Science")</f>
        <v>View Full Record in Web of Science</v>
      </c>
    </row>
    <row r="137" ht="12.75" customHeight="1">
      <c r="A137" s="1" t="s">
        <v>132</v>
      </c>
      <c r="B137" s="1" t="s">
        <v>3055</v>
      </c>
      <c r="C137" s="1" t="s">
        <v>74</v>
      </c>
      <c r="D137" s="1" t="s">
        <v>74</v>
      </c>
      <c r="E137" s="1" t="s">
        <v>74</v>
      </c>
      <c r="F137" s="1" t="s">
        <v>3056</v>
      </c>
      <c r="G137" s="1" t="s">
        <v>74</v>
      </c>
      <c r="H137" s="1" t="s">
        <v>74</v>
      </c>
      <c r="I137" s="1" t="s">
        <v>3057</v>
      </c>
      <c r="J137" s="1" t="s">
        <v>3058</v>
      </c>
      <c r="K137" s="1" t="s">
        <v>74</v>
      </c>
      <c r="L137" s="1" t="s">
        <v>74</v>
      </c>
      <c r="M137" s="1" t="s">
        <v>80</v>
      </c>
      <c r="N137" s="1" t="s">
        <v>1010</v>
      </c>
      <c r="O137" s="1" t="s">
        <v>74</v>
      </c>
      <c r="P137" s="1" t="s">
        <v>74</v>
      </c>
      <c r="Q137" s="1" t="s">
        <v>74</v>
      </c>
      <c r="R137" s="1" t="s">
        <v>74</v>
      </c>
      <c r="S137" s="1" t="s">
        <v>74</v>
      </c>
      <c r="T137" s="1" t="s">
        <v>3059</v>
      </c>
      <c r="U137" s="1" t="s">
        <v>3060</v>
      </c>
      <c r="V137" s="1" t="s">
        <v>3061</v>
      </c>
      <c r="W137" s="1" t="s">
        <v>3062</v>
      </c>
      <c r="X137" s="1" t="s">
        <v>3063</v>
      </c>
      <c r="Y137" s="1" t="s">
        <v>3064</v>
      </c>
      <c r="Z137" s="1" t="s">
        <v>3065</v>
      </c>
      <c r="AA137" s="1" t="s">
        <v>74</v>
      </c>
      <c r="AB137" s="1" t="s">
        <v>74</v>
      </c>
      <c r="AC137" s="1" t="s">
        <v>74</v>
      </c>
      <c r="AD137" s="1" t="s">
        <v>74</v>
      </c>
      <c r="AE137" s="1" t="s">
        <v>74</v>
      </c>
      <c r="AF137" s="1" t="s">
        <v>74</v>
      </c>
      <c r="AG137" s="1">
        <v>90.0</v>
      </c>
      <c r="AH137" s="1">
        <v>1.0</v>
      </c>
      <c r="AI137" s="1">
        <v>2.0</v>
      </c>
      <c r="AJ137" s="1">
        <v>40.0</v>
      </c>
      <c r="AK137" s="1">
        <v>102.0</v>
      </c>
      <c r="AL137" s="1" t="s">
        <v>3066</v>
      </c>
      <c r="AM137" s="1" t="s">
        <v>3067</v>
      </c>
      <c r="AN137" s="1" t="s">
        <v>3068</v>
      </c>
      <c r="AO137" s="1" t="s">
        <v>3069</v>
      </c>
      <c r="AP137" s="1" t="s">
        <v>3070</v>
      </c>
      <c r="AQ137" s="1" t="s">
        <v>74</v>
      </c>
      <c r="AR137" s="1" t="s">
        <v>3071</v>
      </c>
      <c r="AS137" s="1" t="s">
        <v>3072</v>
      </c>
      <c r="AT137" s="1" t="s">
        <v>74</v>
      </c>
      <c r="AU137" s="1">
        <v>2023.0</v>
      </c>
      <c r="AV137" s="1">
        <v>11.0</v>
      </c>
      <c r="AW137" s="1">
        <v>4.0</v>
      </c>
      <c r="AX137" s="1" t="s">
        <v>74</v>
      </c>
      <c r="AY137" s="1" t="s">
        <v>74</v>
      </c>
      <c r="AZ137" s="1" t="s">
        <v>74</v>
      </c>
      <c r="BA137" s="1" t="s">
        <v>74</v>
      </c>
      <c r="BB137" s="1">
        <v>505.0</v>
      </c>
      <c r="BC137" s="1">
        <v>526.0</v>
      </c>
      <c r="BD137" s="1" t="s">
        <v>74</v>
      </c>
      <c r="BE137" s="1" t="s">
        <v>3073</v>
      </c>
      <c r="BF137" s="2" t="str">
        <f>HYPERLINK("http://dx.doi.org/10.30519/ahtr.1264966","http://dx.doi.org/10.30519/ahtr.1264966")</f>
        <v>http://dx.doi.org/10.30519/ahtr.1264966</v>
      </c>
      <c r="BG137" s="1" t="s">
        <v>74</v>
      </c>
      <c r="BH137" s="1" t="s">
        <v>3074</v>
      </c>
      <c r="BI137" s="1">
        <v>22.0</v>
      </c>
      <c r="BJ137" s="1" t="s">
        <v>2100</v>
      </c>
      <c r="BK137" s="1" t="s">
        <v>172</v>
      </c>
      <c r="BL137" s="1" t="s">
        <v>100</v>
      </c>
      <c r="BM137" s="1" t="s">
        <v>3075</v>
      </c>
      <c r="BN137" s="1" t="s">
        <v>74</v>
      </c>
      <c r="BO137" s="1" t="s">
        <v>3076</v>
      </c>
      <c r="BP137" s="1" t="s">
        <v>74</v>
      </c>
      <c r="BQ137" s="1" t="s">
        <v>74</v>
      </c>
      <c r="BR137" s="1" t="s">
        <v>102</v>
      </c>
      <c r="BS137" s="1" t="s">
        <v>3077</v>
      </c>
      <c r="BT137" s="1" t="str">
        <f>HYPERLINK("https%3A%2F%2Fwww.webofscience.com%2Fwos%2Fwoscc%2Ffull-record%2FWOS:001034339000001","View Full Record in Web of Science")</f>
        <v>View Full Record in Web of Science</v>
      </c>
    </row>
    <row r="138" ht="12.75" customHeight="1">
      <c r="A138" s="1" t="s">
        <v>132</v>
      </c>
      <c r="B138" s="1" t="s">
        <v>3078</v>
      </c>
      <c r="C138" s="1" t="s">
        <v>74</v>
      </c>
      <c r="D138" s="1" t="s">
        <v>74</v>
      </c>
      <c r="E138" s="1" t="s">
        <v>74</v>
      </c>
      <c r="F138" s="1" t="s">
        <v>3079</v>
      </c>
      <c r="G138" s="1" t="s">
        <v>74</v>
      </c>
      <c r="H138" s="1" t="s">
        <v>74</v>
      </c>
      <c r="I138" s="1" t="s">
        <v>3080</v>
      </c>
      <c r="J138" s="1" t="s">
        <v>263</v>
      </c>
      <c r="K138" s="1" t="s">
        <v>74</v>
      </c>
      <c r="L138" s="1" t="s">
        <v>74</v>
      </c>
      <c r="M138" s="1" t="s">
        <v>80</v>
      </c>
      <c r="N138" s="1" t="s">
        <v>1010</v>
      </c>
      <c r="O138" s="1" t="s">
        <v>74</v>
      </c>
      <c r="P138" s="1" t="s">
        <v>74</v>
      </c>
      <c r="Q138" s="1" t="s">
        <v>74</v>
      </c>
      <c r="R138" s="1" t="s">
        <v>74</v>
      </c>
      <c r="S138" s="1" t="s">
        <v>74</v>
      </c>
      <c r="T138" s="1" t="s">
        <v>3081</v>
      </c>
      <c r="U138" s="1" t="s">
        <v>1938</v>
      </c>
      <c r="V138" s="1" t="s">
        <v>3082</v>
      </c>
      <c r="W138" s="1" t="s">
        <v>3083</v>
      </c>
      <c r="X138" s="1" t="s">
        <v>74</v>
      </c>
      <c r="Y138" s="1" t="s">
        <v>3084</v>
      </c>
      <c r="Z138" s="1" t="s">
        <v>3085</v>
      </c>
      <c r="AA138" s="1" t="s">
        <v>3086</v>
      </c>
      <c r="AB138" s="1" t="s">
        <v>3087</v>
      </c>
      <c r="AC138" s="1" t="s">
        <v>74</v>
      </c>
      <c r="AD138" s="1" t="s">
        <v>74</v>
      </c>
      <c r="AE138" s="1" t="s">
        <v>74</v>
      </c>
      <c r="AF138" s="1" t="s">
        <v>74</v>
      </c>
      <c r="AG138" s="1">
        <v>38.0</v>
      </c>
      <c r="AH138" s="1">
        <v>1.0</v>
      </c>
      <c r="AI138" s="1">
        <v>1.0</v>
      </c>
      <c r="AJ138" s="1">
        <v>19.0</v>
      </c>
      <c r="AK138" s="1">
        <v>107.0</v>
      </c>
      <c r="AL138" s="1" t="s">
        <v>275</v>
      </c>
      <c r="AM138" s="1" t="s">
        <v>276</v>
      </c>
      <c r="AN138" s="1" t="s">
        <v>277</v>
      </c>
      <c r="AO138" s="1" t="s">
        <v>74</v>
      </c>
      <c r="AP138" s="1" t="s">
        <v>278</v>
      </c>
      <c r="AQ138" s="1" t="s">
        <v>74</v>
      </c>
      <c r="AR138" s="1" t="s">
        <v>279</v>
      </c>
      <c r="AS138" s="1" t="s">
        <v>280</v>
      </c>
      <c r="AT138" s="1" t="s">
        <v>3088</v>
      </c>
      <c r="AU138" s="1">
        <v>2022.0</v>
      </c>
      <c r="AV138" s="1">
        <v>5.0</v>
      </c>
      <c r="AW138" s="1" t="s">
        <v>74</v>
      </c>
      <c r="AX138" s="1" t="s">
        <v>74</v>
      </c>
      <c r="AY138" s="1" t="s">
        <v>74</v>
      </c>
      <c r="AZ138" s="1" t="s">
        <v>74</v>
      </c>
      <c r="BA138" s="1" t="s">
        <v>74</v>
      </c>
      <c r="BB138" s="1" t="s">
        <v>74</v>
      </c>
      <c r="BC138" s="1" t="s">
        <v>74</v>
      </c>
      <c r="BD138" s="1">
        <v>974180.0</v>
      </c>
      <c r="BE138" s="1" t="s">
        <v>3089</v>
      </c>
      <c r="BF138" s="2" t="str">
        <f>HYPERLINK("http://dx.doi.org/10.3389/frai.2022.974180","http://dx.doi.org/10.3389/frai.2022.974180")</f>
        <v>http://dx.doi.org/10.3389/frai.2022.974180</v>
      </c>
      <c r="BG138" s="1" t="s">
        <v>74</v>
      </c>
      <c r="BH138" s="1" t="s">
        <v>74</v>
      </c>
      <c r="BI138" s="1">
        <v>15.0</v>
      </c>
      <c r="BJ138" s="1" t="s">
        <v>282</v>
      </c>
      <c r="BK138" s="1" t="s">
        <v>172</v>
      </c>
      <c r="BL138" s="1" t="s">
        <v>232</v>
      </c>
      <c r="BM138" s="1" t="s">
        <v>3090</v>
      </c>
      <c r="BN138" s="1">
        <v>3.6248621E7</v>
      </c>
      <c r="BO138" s="1" t="s">
        <v>1161</v>
      </c>
      <c r="BP138" s="1" t="s">
        <v>74</v>
      </c>
      <c r="BQ138" s="1" t="s">
        <v>74</v>
      </c>
      <c r="BR138" s="1" t="s">
        <v>102</v>
      </c>
      <c r="BS138" s="1" t="s">
        <v>3091</v>
      </c>
      <c r="BT138" s="1" t="str">
        <f>HYPERLINK("https%3A%2F%2Fwww.webofscience.com%2Fwos%2Fwoscc%2Ffull-record%2FWOS:000917535100001","View Full Record in Web of Science")</f>
        <v>View Full Record in Web of Science</v>
      </c>
    </row>
    <row r="139" ht="12.75" customHeight="1">
      <c r="A139" s="1" t="s">
        <v>132</v>
      </c>
      <c r="B139" s="1" t="s">
        <v>3092</v>
      </c>
      <c r="C139" s="1" t="s">
        <v>74</v>
      </c>
      <c r="D139" s="1" t="s">
        <v>74</v>
      </c>
      <c r="E139" s="1" t="s">
        <v>74</v>
      </c>
      <c r="F139" s="1" t="s">
        <v>3093</v>
      </c>
      <c r="G139" s="1" t="s">
        <v>74</v>
      </c>
      <c r="H139" s="1" t="s">
        <v>74</v>
      </c>
      <c r="I139" s="1" t="s">
        <v>3094</v>
      </c>
      <c r="J139" s="1" t="s">
        <v>3095</v>
      </c>
      <c r="K139" s="1" t="s">
        <v>74</v>
      </c>
      <c r="L139" s="1" t="s">
        <v>74</v>
      </c>
      <c r="M139" s="1" t="s">
        <v>80</v>
      </c>
      <c r="N139" s="1" t="s">
        <v>136</v>
      </c>
      <c r="O139" s="1" t="s">
        <v>74</v>
      </c>
      <c r="P139" s="1" t="s">
        <v>74</v>
      </c>
      <c r="Q139" s="1" t="s">
        <v>74</v>
      </c>
      <c r="R139" s="1" t="s">
        <v>74</v>
      </c>
      <c r="S139" s="1" t="s">
        <v>74</v>
      </c>
      <c r="T139" s="1" t="s">
        <v>3096</v>
      </c>
      <c r="U139" s="1" t="s">
        <v>74</v>
      </c>
      <c r="V139" s="1" t="s">
        <v>3097</v>
      </c>
      <c r="W139" s="1" t="s">
        <v>3098</v>
      </c>
      <c r="X139" s="1" t="s">
        <v>74</v>
      </c>
      <c r="Y139" s="1" t="s">
        <v>3099</v>
      </c>
      <c r="Z139" s="1" t="s">
        <v>74</v>
      </c>
      <c r="AA139" s="1" t="s">
        <v>74</v>
      </c>
      <c r="AB139" s="1" t="s">
        <v>74</v>
      </c>
      <c r="AC139" s="1" t="s">
        <v>74</v>
      </c>
      <c r="AD139" s="1" t="s">
        <v>74</v>
      </c>
      <c r="AE139" s="1" t="s">
        <v>74</v>
      </c>
      <c r="AF139" s="1" t="s">
        <v>74</v>
      </c>
      <c r="AG139" s="1">
        <v>20.0</v>
      </c>
      <c r="AH139" s="1">
        <v>0.0</v>
      </c>
      <c r="AI139" s="1">
        <v>0.0</v>
      </c>
      <c r="AJ139" s="1">
        <v>19.0</v>
      </c>
      <c r="AK139" s="1">
        <v>19.0</v>
      </c>
      <c r="AL139" s="1" t="s">
        <v>3100</v>
      </c>
      <c r="AM139" s="1" t="s">
        <v>3101</v>
      </c>
      <c r="AN139" s="1" t="s">
        <v>3102</v>
      </c>
      <c r="AO139" s="1" t="s">
        <v>3103</v>
      </c>
      <c r="AP139" s="1" t="s">
        <v>3104</v>
      </c>
      <c r="AQ139" s="1" t="s">
        <v>74</v>
      </c>
      <c r="AR139" s="1" t="s">
        <v>3105</v>
      </c>
      <c r="AS139" s="1" t="s">
        <v>3106</v>
      </c>
      <c r="AT139" s="1" t="s">
        <v>1709</v>
      </c>
      <c r="AU139" s="1">
        <v>2024.0</v>
      </c>
      <c r="AV139" s="1">
        <v>28.0</v>
      </c>
      <c r="AW139" s="1">
        <v>3.0</v>
      </c>
      <c r="AX139" s="1" t="s">
        <v>74</v>
      </c>
      <c r="AY139" s="1" t="s">
        <v>74</v>
      </c>
      <c r="AZ139" s="1" t="s">
        <v>74</v>
      </c>
      <c r="BA139" s="1" t="s">
        <v>74</v>
      </c>
      <c r="BB139" s="1">
        <v>9.0</v>
      </c>
      <c r="BC139" s="1">
        <v>33.0</v>
      </c>
      <c r="BD139" s="1" t="s">
        <v>74</v>
      </c>
      <c r="BE139" s="1" t="s">
        <v>3107</v>
      </c>
      <c r="BF139" s="2" t="str">
        <f>HYPERLINK("http://dx.doi.org/10.24059/olj.v28i3.4646","http://dx.doi.org/10.24059/olj.v28i3.4646")</f>
        <v>http://dx.doi.org/10.24059/olj.v28i3.4646</v>
      </c>
      <c r="BG139" s="1" t="s">
        <v>74</v>
      </c>
      <c r="BH139" s="1" t="s">
        <v>74</v>
      </c>
      <c r="BI139" s="1">
        <v>25.0</v>
      </c>
      <c r="BJ139" s="1" t="s">
        <v>171</v>
      </c>
      <c r="BK139" s="1" t="s">
        <v>172</v>
      </c>
      <c r="BL139" s="1" t="s">
        <v>171</v>
      </c>
      <c r="BM139" s="1" t="s">
        <v>3108</v>
      </c>
      <c r="BN139" s="1" t="s">
        <v>74</v>
      </c>
      <c r="BO139" s="1" t="s">
        <v>174</v>
      </c>
      <c r="BP139" s="1" t="s">
        <v>74</v>
      </c>
      <c r="BQ139" s="1" t="s">
        <v>74</v>
      </c>
      <c r="BR139" s="1" t="s">
        <v>102</v>
      </c>
      <c r="BS139" s="1" t="s">
        <v>3109</v>
      </c>
      <c r="BT139" s="1" t="str">
        <f>HYPERLINK("https%3A%2F%2Fwww.webofscience.com%2Fwos%2Fwoscc%2Ffull-record%2FWOS:001314904400001","View Full Record in Web of Science")</f>
        <v>View Full Record in Web of Science</v>
      </c>
    </row>
    <row r="140" ht="12.75" customHeight="1">
      <c r="A140" s="1" t="s">
        <v>132</v>
      </c>
      <c r="B140" s="1" t="s">
        <v>3110</v>
      </c>
      <c r="C140" s="1" t="s">
        <v>74</v>
      </c>
      <c r="D140" s="1" t="s">
        <v>74</v>
      </c>
      <c r="E140" s="1" t="s">
        <v>74</v>
      </c>
      <c r="F140" s="1" t="s">
        <v>3111</v>
      </c>
      <c r="G140" s="1" t="s">
        <v>74</v>
      </c>
      <c r="H140" s="1" t="s">
        <v>74</v>
      </c>
      <c r="I140" s="1" t="s">
        <v>3112</v>
      </c>
      <c r="J140" s="1" t="s">
        <v>3113</v>
      </c>
      <c r="K140" s="1" t="s">
        <v>74</v>
      </c>
      <c r="L140" s="1" t="s">
        <v>74</v>
      </c>
      <c r="M140" s="1" t="s">
        <v>80</v>
      </c>
      <c r="N140" s="1" t="s">
        <v>136</v>
      </c>
      <c r="O140" s="1" t="s">
        <v>74</v>
      </c>
      <c r="P140" s="1" t="s">
        <v>74</v>
      </c>
      <c r="Q140" s="1" t="s">
        <v>74</v>
      </c>
      <c r="R140" s="1" t="s">
        <v>74</v>
      </c>
      <c r="S140" s="1" t="s">
        <v>74</v>
      </c>
      <c r="T140" s="1" t="s">
        <v>3114</v>
      </c>
      <c r="U140" s="1" t="s">
        <v>3115</v>
      </c>
      <c r="V140" s="1" t="s">
        <v>3116</v>
      </c>
      <c r="W140" s="1" t="s">
        <v>3117</v>
      </c>
      <c r="X140" s="1" t="s">
        <v>3118</v>
      </c>
      <c r="Y140" s="1" t="s">
        <v>3119</v>
      </c>
      <c r="Z140" s="1" t="s">
        <v>3120</v>
      </c>
      <c r="AA140" s="1" t="s">
        <v>3121</v>
      </c>
      <c r="AB140" s="1" t="s">
        <v>74</v>
      </c>
      <c r="AC140" s="1" t="s">
        <v>74</v>
      </c>
      <c r="AD140" s="1" t="s">
        <v>74</v>
      </c>
      <c r="AE140" s="1" t="s">
        <v>74</v>
      </c>
      <c r="AF140" s="1" t="s">
        <v>74</v>
      </c>
      <c r="AG140" s="1">
        <v>68.0</v>
      </c>
      <c r="AH140" s="1">
        <v>0.0</v>
      </c>
      <c r="AI140" s="1">
        <v>0.0</v>
      </c>
      <c r="AJ140" s="1">
        <v>11.0</v>
      </c>
      <c r="AK140" s="1">
        <v>17.0</v>
      </c>
      <c r="AL140" s="1" t="s">
        <v>571</v>
      </c>
      <c r="AM140" s="1" t="s">
        <v>572</v>
      </c>
      <c r="AN140" s="1" t="s">
        <v>573</v>
      </c>
      <c r="AO140" s="1" t="s">
        <v>3122</v>
      </c>
      <c r="AP140" s="1" t="s">
        <v>3123</v>
      </c>
      <c r="AQ140" s="1" t="s">
        <v>74</v>
      </c>
      <c r="AR140" s="1" t="s">
        <v>3124</v>
      </c>
      <c r="AS140" s="1" t="s">
        <v>3125</v>
      </c>
      <c r="AT140" s="1" t="s">
        <v>3126</v>
      </c>
      <c r="AU140" s="1">
        <v>2024.0</v>
      </c>
      <c r="AV140" s="1">
        <v>44.0</v>
      </c>
      <c r="AW140" s="1" t="s">
        <v>3127</v>
      </c>
      <c r="AX140" s="1" t="s">
        <v>74</v>
      </c>
      <c r="AY140" s="1" t="s">
        <v>74</v>
      </c>
      <c r="AZ140" s="1" t="s">
        <v>74</v>
      </c>
      <c r="BA140" s="1" t="s">
        <v>74</v>
      </c>
      <c r="BB140" s="1">
        <v>826.0</v>
      </c>
      <c r="BC140" s="1">
        <v>839.0</v>
      </c>
      <c r="BD140" s="1" t="s">
        <v>74</v>
      </c>
      <c r="BE140" s="1" t="s">
        <v>3128</v>
      </c>
      <c r="BF140" s="2" t="str">
        <f>HYPERLINK("http://dx.doi.org/10.1108/IJSSP-02-2024-0086","http://dx.doi.org/10.1108/IJSSP-02-2024-0086")</f>
        <v>http://dx.doi.org/10.1108/IJSSP-02-2024-0086</v>
      </c>
      <c r="BG140" s="1" t="s">
        <v>74</v>
      </c>
      <c r="BH140" s="1" t="s">
        <v>3129</v>
      </c>
      <c r="BI140" s="1">
        <v>14.0</v>
      </c>
      <c r="BJ140" s="1" t="s">
        <v>3130</v>
      </c>
      <c r="BK140" s="1" t="s">
        <v>172</v>
      </c>
      <c r="BL140" s="1" t="s">
        <v>3130</v>
      </c>
      <c r="BM140" s="1" t="s">
        <v>3131</v>
      </c>
      <c r="BN140" s="1" t="s">
        <v>74</v>
      </c>
      <c r="BO140" s="1" t="s">
        <v>74</v>
      </c>
      <c r="BP140" s="1" t="s">
        <v>74</v>
      </c>
      <c r="BQ140" s="1" t="s">
        <v>74</v>
      </c>
      <c r="BR140" s="1" t="s">
        <v>102</v>
      </c>
      <c r="BS140" s="1" t="s">
        <v>3132</v>
      </c>
      <c r="BT140" s="1" t="str">
        <f>HYPERLINK("https%3A%2F%2Fwww.webofscience.com%2Fwos%2Fwoscc%2Ffull-record%2FWOS:001214379000001","View Full Record in Web of Science")</f>
        <v>View Full Record in Web of Science</v>
      </c>
    </row>
    <row r="141" ht="12.75" customHeight="1">
      <c r="A141" s="1" t="s">
        <v>72</v>
      </c>
      <c r="B141" s="1" t="s">
        <v>3133</v>
      </c>
      <c r="C141" s="1" t="s">
        <v>74</v>
      </c>
      <c r="D141" s="1" t="s">
        <v>74</v>
      </c>
      <c r="E141" s="1" t="s">
        <v>3134</v>
      </c>
      <c r="F141" s="1" t="s">
        <v>3135</v>
      </c>
      <c r="G141" s="1" t="s">
        <v>74</v>
      </c>
      <c r="H141" s="1" t="s">
        <v>74</v>
      </c>
      <c r="I141" s="1" t="s">
        <v>3136</v>
      </c>
      <c r="J141" s="1" t="s">
        <v>3137</v>
      </c>
      <c r="K141" s="1" t="s">
        <v>74</v>
      </c>
      <c r="L141" s="1" t="s">
        <v>74</v>
      </c>
      <c r="M141" s="1" t="s">
        <v>80</v>
      </c>
      <c r="N141" s="1" t="s">
        <v>81</v>
      </c>
      <c r="O141" s="1" t="s">
        <v>3138</v>
      </c>
      <c r="P141" s="1" t="s">
        <v>3139</v>
      </c>
      <c r="Q141" s="1" t="s">
        <v>3140</v>
      </c>
      <c r="R141" s="1" t="s">
        <v>3141</v>
      </c>
      <c r="S141" s="1" t="s">
        <v>74</v>
      </c>
      <c r="T141" s="1" t="s">
        <v>3142</v>
      </c>
      <c r="U141" s="1" t="s">
        <v>74</v>
      </c>
      <c r="V141" s="1" t="s">
        <v>3143</v>
      </c>
      <c r="W141" s="1" t="s">
        <v>3144</v>
      </c>
      <c r="X141" s="1" t="s">
        <v>3145</v>
      </c>
      <c r="Y141" s="1" t="s">
        <v>3146</v>
      </c>
      <c r="Z141" s="1" t="s">
        <v>3147</v>
      </c>
      <c r="AA141" s="1" t="s">
        <v>3148</v>
      </c>
      <c r="AB141" s="1" t="s">
        <v>74</v>
      </c>
      <c r="AC141" s="1" t="s">
        <v>3149</v>
      </c>
      <c r="AD141" s="1" t="s">
        <v>3149</v>
      </c>
      <c r="AE141" s="1" t="s">
        <v>3150</v>
      </c>
      <c r="AF141" s="1" t="s">
        <v>74</v>
      </c>
      <c r="AG141" s="1">
        <v>8.0</v>
      </c>
      <c r="AH141" s="1">
        <v>5.0</v>
      </c>
      <c r="AI141" s="1">
        <v>5.0</v>
      </c>
      <c r="AJ141" s="1">
        <v>6.0</v>
      </c>
      <c r="AK141" s="1">
        <v>48.0</v>
      </c>
      <c r="AL141" s="1" t="s">
        <v>1426</v>
      </c>
      <c r="AM141" s="1" t="s">
        <v>193</v>
      </c>
      <c r="AN141" s="1" t="s">
        <v>3151</v>
      </c>
      <c r="AO141" s="1" t="s">
        <v>74</v>
      </c>
      <c r="AP141" s="1" t="s">
        <v>74</v>
      </c>
      <c r="AQ141" s="1" t="s">
        <v>3152</v>
      </c>
      <c r="AR141" s="1" t="s">
        <v>74</v>
      </c>
      <c r="AS141" s="1" t="s">
        <v>74</v>
      </c>
      <c r="AT141" s="1" t="s">
        <v>74</v>
      </c>
      <c r="AU141" s="1">
        <v>2019.0</v>
      </c>
      <c r="AV141" s="1" t="s">
        <v>74</v>
      </c>
      <c r="AW141" s="1" t="s">
        <v>74</v>
      </c>
      <c r="AX141" s="1" t="s">
        <v>74</v>
      </c>
      <c r="AY141" s="1" t="s">
        <v>74</v>
      </c>
      <c r="AZ141" s="1" t="s">
        <v>74</v>
      </c>
      <c r="BA141" s="1" t="s">
        <v>74</v>
      </c>
      <c r="BB141" s="1">
        <v>533.0</v>
      </c>
      <c r="BC141" s="1">
        <v>534.0</v>
      </c>
      <c r="BD141" s="1" t="s">
        <v>74</v>
      </c>
      <c r="BE141" s="1" t="s">
        <v>3153</v>
      </c>
      <c r="BF141" s="2" t="str">
        <f>HYPERLINK("http://dx.doi.org/10.1145/3306618.3314311","http://dx.doi.org/10.1145/3306618.3314311")</f>
        <v>http://dx.doi.org/10.1145/3306618.3314311</v>
      </c>
      <c r="BG141" s="1" t="s">
        <v>74</v>
      </c>
      <c r="BH141" s="1" t="s">
        <v>74</v>
      </c>
      <c r="BI141" s="1">
        <v>2.0</v>
      </c>
      <c r="BJ141" s="1" t="s">
        <v>1214</v>
      </c>
      <c r="BK141" s="1" t="s">
        <v>128</v>
      </c>
      <c r="BL141" s="1" t="s">
        <v>232</v>
      </c>
      <c r="BM141" s="1" t="s">
        <v>3154</v>
      </c>
      <c r="BN141" s="1" t="s">
        <v>74</v>
      </c>
      <c r="BO141" s="1" t="s">
        <v>74</v>
      </c>
      <c r="BP141" s="1" t="s">
        <v>74</v>
      </c>
      <c r="BQ141" s="1" t="s">
        <v>74</v>
      </c>
      <c r="BR141" s="1" t="s">
        <v>102</v>
      </c>
      <c r="BS141" s="1" t="s">
        <v>3155</v>
      </c>
      <c r="BT141" s="1" t="str">
        <f>HYPERLINK("https%3A%2F%2Fwww.webofscience.com%2Fwos%2Fwoscc%2Ffull-record%2FWOS:000556121100078","View Full Record in Web of Science")</f>
        <v>View Full Record in Web of Science</v>
      </c>
    </row>
    <row r="142" ht="12.75" customHeight="1">
      <c r="A142" s="1" t="s">
        <v>132</v>
      </c>
      <c r="B142" s="1" t="s">
        <v>3156</v>
      </c>
      <c r="C142" s="1" t="s">
        <v>74</v>
      </c>
      <c r="D142" s="1" t="s">
        <v>74</v>
      </c>
      <c r="E142" s="1" t="s">
        <v>74</v>
      </c>
      <c r="F142" s="1" t="s">
        <v>3157</v>
      </c>
      <c r="G142" s="1" t="s">
        <v>74</v>
      </c>
      <c r="H142" s="1" t="s">
        <v>74</v>
      </c>
      <c r="I142" s="1" t="s">
        <v>3158</v>
      </c>
      <c r="J142" s="1" t="s">
        <v>3159</v>
      </c>
      <c r="K142" s="1" t="s">
        <v>74</v>
      </c>
      <c r="L142" s="1" t="s">
        <v>74</v>
      </c>
      <c r="M142" s="1" t="s">
        <v>80</v>
      </c>
      <c r="N142" s="1" t="s">
        <v>136</v>
      </c>
      <c r="O142" s="1" t="s">
        <v>74</v>
      </c>
      <c r="P142" s="1" t="s">
        <v>74</v>
      </c>
      <c r="Q142" s="1" t="s">
        <v>74</v>
      </c>
      <c r="R142" s="1" t="s">
        <v>74</v>
      </c>
      <c r="S142" s="1" t="s">
        <v>74</v>
      </c>
      <c r="T142" s="1" t="s">
        <v>3160</v>
      </c>
      <c r="U142" s="1" t="s">
        <v>3161</v>
      </c>
      <c r="V142" s="1" t="s">
        <v>3162</v>
      </c>
      <c r="W142" s="1" t="s">
        <v>3163</v>
      </c>
      <c r="X142" s="1" t="s">
        <v>3164</v>
      </c>
      <c r="Y142" s="1" t="s">
        <v>3165</v>
      </c>
      <c r="Z142" s="1" t="s">
        <v>3166</v>
      </c>
      <c r="AA142" s="1" t="s">
        <v>3167</v>
      </c>
      <c r="AB142" s="1" t="s">
        <v>3168</v>
      </c>
      <c r="AC142" s="1" t="s">
        <v>3169</v>
      </c>
      <c r="AD142" s="1" t="s">
        <v>3170</v>
      </c>
      <c r="AE142" s="1" t="s">
        <v>3171</v>
      </c>
      <c r="AF142" s="1" t="s">
        <v>74</v>
      </c>
      <c r="AG142" s="1">
        <v>117.0</v>
      </c>
      <c r="AH142" s="1">
        <v>27.0</v>
      </c>
      <c r="AI142" s="1">
        <v>27.0</v>
      </c>
      <c r="AJ142" s="1">
        <v>31.0</v>
      </c>
      <c r="AK142" s="1">
        <v>120.0</v>
      </c>
      <c r="AL142" s="1" t="s">
        <v>192</v>
      </c>
      <c r="AM142" s="1" t="s">
        <v>864</v>
      </c>
      <c r="AN142" s="1" t="s">
        <v>865</v>
      </c>
      <c r="AO142" s="1" t="s">
        <v>3172</v>
      </c>
      <c r="AP142" s="1" t="s">
        <v>3173</v>
      </c>
      <c r="AQ142" s="1" t="s">
        <v>74</v>
      </c>
      <c r="AR142" s="1" t="s">
        <v>3174</v>
      </c>
      <c r="AS142" s="1" t="s">
        <v>3175</v>
      </c>
      <c r="AT142" s="1" t="s">
        <v>199</v>
      </c>
      <c r="AU142" s="1">
        <v>2023.0</v>
      </c>
      <c r="AV142" s="1">
        <v>56.0</v>
      </c>
      <c r="AW142" s="1">
        <v>11.0</v>
      </c>
      <c r="AX142" s="1" t="s">
        <v>74</v>
      </c>
      <c r="AY142" s="1" t="s">
        <v>74</v>
      </c>
      <c r="AZ142" s="1" t="s">
        <v>74</v>
      </c>
      <c r="BA142" s="1" t="s">
        <v>74</v>
      </c>
      <c r="BB142" s="1">
        <v>12799.0</v>
      </c>
      <c r="BC142" s="1">
        <v>12831.0</v>
      </c>
      <c r="BD142" s="1" t="s">
        <v>74</v>
      </c>
      <c r="BE142" s="1" t="s">
        <v>3176</v>
      </c>
      <c r="BF142" s="2" t="str">
        <f>HYPERLINK("http://dx.doi.org/10.1007/s10462-023-10420-8","http://dx.doi.org/10.1007/s10462-023-10420-8")</f>
        <v>http://dx.doi.org/10.1007/s10462-023-10420-8</v>
      </c>
      <c r="BG142" s="1" t="s">
        <v>74</v>
      </c>
      <c r="BH142" s="1" t="s">
        <v>330</v>
      </c>
      <c r="BI142" s="1">
        <v>33.0</v>
      </c>
      <c r="BJ142" s="1" t="s">
        <v>1214</v>
      </c>
      <c r="BK142" s="1" t="s">
        <v>149</v>
      </c>
      <c r="BL142" s="1" t="s">
        <v>232</v>
      </c>
      <c r="BM142" s="1" t="s">
        <v>3177</v>
      </c>
      <c r="BN142" s="1">
        <v>3.7362899E7</v>
      </c>
      <c r="BO142" s="1" t="s">
        <v>3178</v>
      </c>
      <c r="BP142" s="1" t="s">
        <v>74</v>
      </c>
      <c r="BQ142" s="1" t="s">
        <v>74</v>
      </c>
      <c r="BR142" s="1" t="s">
        <v>102</v>
      </c>
      <c r="BS142" s="1" t="s">
        <v>3179</v>
      </c>
      <c r="BT142" s="1" t="str">
        <f>HYPERLINK("https%3A%2F%2Fwww.webofscience.com%2Fwos%2Fwoscc%2Ffull-record%2FWOS:000960980500002","View Full Record in Web of Science")</f>
        <v>View Full Record in Web of Science</v>
      </c>
    </row>
    <row r="143" ht="12.75" customHeight="1">
      <c r="A143" s="1" t="s">
        <v>132</v>
      </c>
      <c r="B143" s="1" t="s">
        <v>3180</v>
      </c>
      <c r="C143" s="1" t="s">
        <v>74</v>
      </c>
      <c r="D143" s="1" t="s">
        <v>74</v>
      </c>
      <c r="E143" s="1" t="s">
        <v>74</v>
      </c>
      <c r="F143" s="1" t="s">
        <v>3181</v>
      </c>
      <c r="G143" s="1" t="s">
        <v>74</v>
      </c>
      <c r="H143" s="1" t="s">
        <v>74</v>
      </c>
      <c r="I143" s="1" t="s">
        <v>3182</v>
      </c>
      <c r="J143" s="1" t="s">
        <v>3183</v>
      </c>
      <c r="K143" s="1" t="s">
        <v>74</v>
      </c>
      <c r="L143" s="1" t="s">
        <v>74</v>
      </c>
      <c r="M143" s="1" t="s">
        <v>80</v>
      </c>
      <c r="N143" s="1" t="s">
        <v>136</v>
      </c>
      <c r="O143" s="1" t="s">
        <v>74</v>
      </c>
      <c r="P143" s="1" t="s">
        <v>74</v>
      </c>
      <c r="Q143" s="1" t="s">
        <v>74</v>
      </c>
      <c r="R143" s="1" t="s">
        <v>74</v>
      </c>
      <c r="S143" s="1" t="s">
        <v>74</v>
      </c>
      <c r="T143" s="1" t="s">
        <v>3184</v>
      </c>
      <c r="U143" s="1" t="s">
        <v>74</v>
      </c>
      <c r="V143" s="1" t="s">
        <v>3185</v>
      </c>
      <c r="W143" s="1" t="s">
        <v>3186</v>
      </c>
      <c r="X143" s="1" t="s">
        <v>3187</v>
      </c>
      <c r="Y143" s="1" t="s">
        <v>3188</v>
      </c>
      <c r="Z143" s="1" t="s">
        <v>3189</v>
      </c>
      <c r="AA143" s="1" t="s">
        <v>3190</v>
      </c>
      <c r="AB143" s="1" t="s">
        <v>3191</v>
      </c>
      <c r="AC143" s="1" t="s">
        <v>3192</v>
      </c>
      <c r="AD143" s="1" t="s">
        <v>3193</v>
      </c>
      <c r="AE143" s="1" t="s">
        <v>3194</v>
      </c>
      <c r="AF143" s="1" t="s">
        <v>74</v>
      </c>
      <c r="AG143" s="1">
        <v>41.0</v>
      </c>
      <c r="AH143" s="1">
        <v>12.0</v>
      </c>
      <c r="AI143" s="1">
        <v>12.0</v>
      </c>
      <c r="AJ143" s="1">
        <v>72.0</v>
      </c>
      <c r="AK143" s="1">
        <v>260.0</v>
      </c>
      <c r="AL143" s="1" t="s">
        <v>1571</v>
      </c>
      <c r="AM143" s="1" t="s">
        <v>1572</v>
      </c>
      <c r="AN143" s="1" t="s">
        <v>1573</v>
      </c>
      <c r="AO143" s="1" t="s">
        <v>3195</v>
      </c>
      <c r="AP143" s="1" t="s">
        <v>3196</v>
      </c>
      <c r="AQ143" s="1" t="s">
        <v>74</v>
      </c>
      <c r="AR143" s="1" t="s">
        <v>3197</v>
      </c>
      <c r="AS143" s="1" t="s">
        <v>3198</v>
      </c>
      <c r="AT143" s="1" t="s">
        <v>199</v>
      </c>
      <c r="AU143" s="1">
        <v>2024.0</v>
      </c>
      <c r="AV143" s="1">
        <v>19.0</v>
      </c>
      <c r="AW143" s="1">
        <v>3.0</v>
      </c>
      <c r="AX143" s="1" t="s">
        <v>74</v>
      </c>
      <c r="AY143" s="1" t="s">
        <v>74</v>
      </c>
      <c r="AZ143" s="1" t="s">
        <v>74</v>
      </c>
      <c r="BA143" s="1" t="s">
        <v>74</v>
      </c>
      <c r="BB143" s="1">
        <v>349.0</v>
      </c>
      <c r="BC143" s="1">
        <v>361.0</v>
      </c>
      <c r="BD143" s="1" t="s">
        <v>74</v>
      </c>
      <c r="BE143" s="1" t="s">
        <v>3199</v>
      </c>
      <c r="BF143" s="2" t="str">
        <f>HYPERLINK("http://dx.doi.org/10.1177/17461979231160674","http://dx.doi.org/10.1177/17461979231160674")</f>
        <v>http://dx.doi.org/10.1177/17461979231160674</v>
      </c>
      <c r="BG143" s="1" t="s">
        <v>74</v>
      </c>
      <c r="BH143" s="1" t="s">
        <v>3200</v>
      </c>
      <c r="BI143" s="1">
        <v>13.0</v>
      </c>
      <c r="BJ143" s="1" t="s">
        <v>171</v>
      </c>
      <c r="BK143" s="1" t="s">
        <v>172</v>
      </c>
      <c r="BL143" s="1" t="s">
        <v>171</v>
      </c>
      <c r="BM143" s="1" t="s">
        <v>3201</v>
      </c>
      <c r="BN143" s="1" t="s">
        <v>74</v>
      </c>
      <c r="BO143" s="1" t="s">
        <v>74</v>
      </c>
      <c r="BP143" s="1" t="s">
        <v>74</v>
      </c>
      <c r="BQ143" s="1" t="s">
        <v>74</v>
      </c>
      <c r="BR143" s="1" t="s">
        <v>102</v>
      </c>
      <c r="BS143" s="1" t="s">
        <v>3202</v>
      </c>
      <c r="BT143" s="1" t="str">
        <f>HYPERLINK("https%3A%2F%2Fwww.webofscience.com%2Fwos%2Fwoscc%2Ffull-record%2FWOS:000962997400001","View Full Record in Web of Science")</f>
        <v>View Full Record in Web of Science</v>
      </c>
    </row>
    <row r="144" ht="12.75" customHeight="1">
      <c r="A144" s="1" t="s">
        <v>132</v>
      </c>
      <c r="B144" s="1" t="s">
        <v>3203</v>
      </c>
      <c r="C144" s="1" t="s">
        <v>74</v>
      </c>
      <c r="D144" s="1" t="s">
        <v>74</v>
      </c>
      <c r="E144" s="1" t="s">
        <v>74</v>
      </c>
      <c r="F144" s="1" t="s">
        <v>3204</v>
      </c>
      <c r="G144" s="1" t="s">
        <v>74</v>
      </c>
      <c r="H144" s="1" t="s">
        <v>74</v>
      </c>
      <c r="I144" s="1" t="s">
        <v>3205</v>
      </c>
      <c r="J144" s="1" t="s">
        <v>3206</v>
      </c>
      <c r="K144" s="1" t="s">
        <v>74</v>
      </c>
      <c r="L144" s="1" t="s">
        <v>74</v>
      </c>
      <c r="M144" s="1" t="s">
        <v>80</v>
      </c>
      <c r="N144" s="1" t="s">
        <v>136</v>
      </c>
      <c r="O144" s="1" t="s">
        <v>74</v>
      </c>
      <c r="P144" s="1" t="s">
        <v>74</v>
      </c>
      <c r="Q144" s="1" t="s">
        <v>74</v>
      </c>
      <c r="R144" s="1" t="s">
        <v>74</v>
      </c>
      <c r="S144" s="1" t="s">
        <v>74</v>
      </c>
      <c r="T144" s="1" t="s">
        <v>3207</v>
      </c>
      <c r="U144" s="1" t="s">
        <v>74</v>
      </c>
      <c r="V144" s="1" t="s">
        <v>3208</v>
      </c>
      <c r="W144" s="1" t="s">
        <v>3209</v>
      </c>
      <c r="X144" s="1" t="s">
        <v>74</v>
      </c>
      <c r="Y144" s="1" t="s">
        <v>3210</v>
      </c>
      <c r="Z144" s="1" t="s">
        <v>3211</v>
      </c>
      <c r="AA144" s="1" t="s">
        <v>74</v>
      </c>
      <c r="AB144" s="1" t="s">
        <v>3212</v>
      </c>
      <c r="AC144" s="1" t="s">
        <v>74</v>
      </c>
      <c r="AD144" s="1" t="s">
        <v>74</v>
      </c>
      <c r="AE144" s="1" t="s">
        <v>74</v>
      </c>
      <c r="AF144" s="1" t="s">
        <v>74</v>
      </c>
      <c r="AG144" s="1">
        <v>152.0</v>
      </c>
      <c r="AH144" s="1">
        <v>7.0</v>
      </c>
      <c r="AI144" s="1">
        <v>7.0</v>
      </c>
      <c r="AJ144" s="1">
        <v>6.0</v>
      </c>
      <c r="AK144" s="1">
        <v>39.0</v>
      </c>
      <c r="AL144" s="1" t="s">
        <v>595</v>
      </c>
      <c r="AM144" s="1" t="s">
        <v>467</v>
      </c>
      <c r="AN144" s="1" t="s">
        <v>596</v>
      </c>
      <c r="AO144" s="1" t="s">
        <v>3213</v>
      </c>
      <c r="AP144" s="1" t="s">
        <v>3214</v>
      </c>
      <c r="AQ144" s="1" t="s">
        <v>74</v>
      </c>
      <c r="AR144" s="1" t="s">
        <v>3215</v>
      </c>
      <c r="AS144" s="1" t="s">
        <v>3216</v>
      </c>
      <c r="AT144" s="1" t="s">
        <v>3217</v>
      </c>
      <c r="AU144" s="1">
        <v>2022.0</v>
      </c>
      <c r="AV144" s="1">
        <v>26.0</v>
      </c>
      <c r="AW144" s="1">
        <v>5.0</v>
      </c>
      <c r="AX144" s="1" t="s">
        <v>74</v>
      </c>
      <c r="AY144" s="1" t="s">
        <v>74</v>
      </c>
      <c r="AZ144" s="1" t="s">
        <v>74</v>
      </c>
      <c r="BA144" s="1" t="s">
        <v>74</v>
      </c>
      <c r="BB144" s="1">
        <v>757.0</v>
      </c>
      <c r="BC144" s="1">
        <v>791.0</v>
      </c>
      <c r="BD144" s="1" t="s">
        <v>74</v>
      </c>
      <c r="BE144" s="1" t="s">
        <v>3218</v>
      </c>
      <c r="BF144" s="2" t="str">
        <f>HYPERLINK("http://dx.doi.org/10.1080/13642987.2021.1968376","http://dx.doi.org/10.1080/13642987.2021.1968376")</f>
        <v>http://dx.doi.org/10.1080/13642987.2021.1968376</v>
      </c>
      <c r="BG144" s="1" t="s">
        <v>74</v>
      </c>
      <c r="BH144" s="1" t="s">
        <v>3219</v>
      </c>
      <c r="BI144" s="1">
        <v>35.0</v>
      </c>
      <c r="BJ144" s="1" t="s">
        <v>915</v>
      </c>
      <c r="BK144" s="1" t="s">
        <v>203</v>
      </c>
      <c r="BL144" s="1" t="s">
        <v>916</v>
      </c>
      <c r="BM144" s="1" t="s">
        <v>3220</v>
      </c>
      <c r="BN144" s="1" t="s">
        <v>74</v>
      </c>
      <c r="BO144" s="1" t="s">
        <v>306</v>
      </c>
      <c r="BP144" s="1" t="s">
        <v>74</v>
      </c>
      <c r="BQ144" s="1" t="s">
        <v>74</v>
      </c>
      <c r="BR144" s="1" t="s">
        <v>102</v>
      </c>
      <c r="BS144" s="1" t="s">
        <v>3221</v>
      </c>
      <c r="BT144" s="1" t="str">
        <f>HYPERLINK("https%3A%2F%2Fwww.webofscience.com%2Fwos%2Fwoscc%2Ffull-record%2FWOS:000686024400001","View Full Record in Web of Science")</f>
        <v>View Full Record in Web of Science</v>
      </c>
    </row>
    <row r="145" ht="12.75" customHeight="1">
      <c r="A145" s="1" t="s">
        <v>132</v>
      </c>
      <c r="B145" s="1" t="s">
        <v>3222</v>
      </c>
      <c r="C145" s="1" t="s">
        <v>74</v>
      </c>
      <c r="D145" s="1" t="s">
        <v>74</v>
      </c>
      <c r="E145" s="1" t="s">
        <v>74</v>
      </c>
      <c r="F145" s="1" t="s">
        <v>3223</v>
      </c>
      <c r="G145" s="1" t="s">
        <v>74</v>
      </c>
      <c r="H145" s="1" t="s">
        <v>74</v>
      </c>
      <c r="I145" s="1" t="s">
        <v>3224</v>
      </c>
      <c r="J145" s="1" t="s">
        <v>3225</v>
      </c>
      <c r="K145" s="1" t="s">
        <v>74</v>
      </c>
      <c r="L145" s="1" t="s">
        <v>74</v>
      </c>
      <c r="M145" s="1" t="s">
        <v>80</v>
      </c>
      <c r="N145" s="1" t="s">
        <v>136</v>
      </c>
      <c r="O145" s="1" t="s">
        <v>74</v>
      </c>
      <c r="P145" s="1" t="s">
        <v>74</v>
      </c>
      <c r="Q145" s="1" t="s">
        <v>74</v>
      </c>
      <c r="R145" s="1" t="s">
        <v>74</v>
      </c>
      <c r="S145" s="1" t="s">
        <v>74</v>
      </c>
      <c r="T145" s="1" t="s">
        <v>3226</v>
      </c>
      <c r="U145" s="1" t="s">
        <v>3227</v>
      </c>
      <c r="V145" s="1" t="s">
        <v>3228</v>
      </c>
      <c r="W145" s="1" t="s">
        <v>3229</v>
      </c>
      <c r="X145" s="1" t="s">
        <v>74</v>
      </c>
      <c r="Y145" s="1" t="s">
        <v>3230</v>
      </c>
      <c r="Z145" s="1" t="s">
        <v>3231</v>
      </c>
      <c r="AA145" s="1" t="s">
        <v>3232</v>
      </c>
      <c r="AB145" s="1" t="s">
        <v>74</v>
      </c>
      <c r="AC145" s="1" t="s">
        <v>74</v>
      </c>
      <c r="AD145" s="1" t="s">
        <v>74</v>
      </c>
      <c r="AE145" s="1" t="s">
        <v>74</v>
      </c>
      <c r="AF145" s="1" t="s">
        <v>74</v>
      </c>
      <c r="AG145" s="1">
        <v>36.0</v>
      </c>
      <c r="AH145" s="1">
        <v>9.0</v>
      </c>
      <c r="AI145" s="1">
        <v>9.0</v>
      </c>
      <c r="AJ145" s="1">
        <v>6.0</v>
      </c>
      <c r="AK145" s="1">
        <v>60.0</v>
      </c>
      <c r="AL145" s="1" t="s">
        <v>571</v>
      </c>
      <c r="AM145" s="1" t="s">
        <v>1768</v>
      </c>
      <c r="AN145" s="1" t="s">
        <v>1769</v>
      </c>
      <c r="AO145" s="1" t="s">
        <v>3233</v>
      </c>
      <c r="AP145" s="1" t="s">
        <v>3234</v>
      </c>
      <c r="AQ145" s="1" t="s">
        <v>74</v>
      </c>
      <c r="AR145" s="1" t="s">
        <v>3235</v>
      </c>
      <c r="AS145" s="1" t="s">
        <v>3236</v>
      </c>
      <c r="AT145" s="1" t="s">
        <v>3237</v>
      </c>
      <c r="AU145" s="1">
        <v>2021.0</v>
      </c>
      <c r="AV145" s="1">
        <v>19.0</v>
      </c>
      <c r="AW145" s="1">
        <v>2.0</v>
      </c>
      <c r="AX145" s="1" t="s">
        <v>74</v>
      </c>
      <c r="AY145" s="1" t="s">
        <v>74</v>
      </c>
      <c r="AZ145" s="1" t="s">
        <v>74</v>
      </c>
      <c r="BA145" s="1" t="s">
        <v>74</v>
      </c>
      <c r="BB145" s="1">
        <v>249.0</v>
      </c>
      <c r="BC145" s="1">
        <v>267.0</v>
      </c>
      <c r="BD145" s="1" t="s">
        <v>74</v>
      </c>
      <c r="BE145" s="1" t="s">
        <v>3238</v>
      </c>
      <c r="BF145" s="2" t="str">
        <f>HYPERLINK("http://dx.doi.org/10.1108/JICES-03-2020-0034","http://dx.doi.org/10.1108/JICES-03-2020-0034")</f>
        <v>http://dx.doi.org/10.1108/JICES-03-2020-0034</v>
      </c>
      <c r="BG145" s="1" t="s">
        <v>74</v>
      </c>
      <c r="BH145" s="1" t="s">
        <v>3239</v>
      </c>
      <c r="BI145" s="1">
        <v>19.0</v>
      </c>
      <c r="BJ145" s="1" t="s">
        <v>3240</v>
      </c>
      <c r="BK145" s="1" t="s">
        <v>172</v>
      </c>
      <c r="BL145" s="1" t="s">
        <v>100</v>
      </c>
      <c r="BM145" s="1" t="s">
        <v>3241</v>
      </c>
      <c r="BN145" s="1" t="s">
        <v>74</v>
      </c>
      <c r="BO145" s="1" t="s">
        <v>74</v>
      </c>
      <c r="BP145" s="1" t="s">
        <v>74</v>
      </c>
      <c r="BQ145" s="1" t="s">
        <v>74</v>
      </c>
      <c r="BR145" s="1" t="s">
        <v>102</v>
      </c>
      <c r="BS145" s="1" t="s">
        <v>3242</v>
      </c>
      <c r="BT145" s="1" t="str">
        <f>HYPERLINK("https%3A%2F%2Fwww.webofscience.com%2Fwos%2Fwoscc%2Ffull-record%2FWOS:000596030900001","View Full Record in Web of Science")</f>
        <v>View Full Record in Web of Science</v>
      </c>
    </row>
    <row r="146" ht="12.75" customHeight="1">
      <c r="A146" s="1" t="s">
        <v>132</v>
      </c>
      <c r="B146" s="1" t="s">
        <v>3243</v>
      </c>
      <c r="C146" s="1" t="s">
        <v>74</v>
      </c>
      <c r="D146" s="1" t="s">
        <v>74</v>
      </c>
      <c r="E146" s="1" t="s">
        <v>74</v>
      </c>
      <c r="F146" s="1" t="s">
        <v>3244</v>
      </c>
      <c r="G146" s="1" t="s">
        <v>74</v>
      </c>
      <c r="H146" s="1" t="s">
        <v>74</v>
      </c>
      <c r="I146" s="1" t="s">
        <v>3245</v>
      </c>
      <c r="J146" s="1" t="s">
        <v>3246</v>
      </c>
      <c r="K146" s="1" t="s">
        <v>74</v>
      </c>
      <c r="L146" s="1" t="s">
        <v>74</v>
      </c>
      <c r="M146" s="1" t="s">
        <v>80</v>
      </c>
      <c r="N146" s="1" t="s">
        <v>1010</v>
      </c>
      <c r="O146" s="1" t="s">
        <v>74</v>
      </c>
      <c r="P146" s="1" t="s">
        <v>74</v>
      </c>
      <c r="Q146" s="1" t="s">
        <v>74</v>
      </c>
      <c r="R146" s="1" t="s">
        <v>74</v>
      </c>
      <c r="S146" s="1" t="s">
        <v>74</v>
      </c>
      <c r="T146" s="1" t="s">
        <v>3247</v>
      </c>
      <c r="U146" s="1" t="s">
        <v>3248</v>
      </c>
      <c r="V146" s="1" t="s">
        <v>3249</v>
      </c>
      <c r="W146" s="1" t="s">
        <v>3250</v>
      </c>
      <c r="X146" s="1" t="s">
        <v>3251</v>
      </c>
      <c r="Y146" s="1" t="s">
        <v>3252</v>
      </c>
      <c r="Z146" s="1" t="s">
        <v>3253</v>
      </c>
      <c r="AA146" s="1" t="s">
        <v>74</v>
      </c>
      <c r="AB146" s="1" t="s">
        <v>3254</v>
      </c>
      <c r="AC146" s="1" t="s">
        <v>74</v>
      </c>
      <c r="AD146" s="1" t="s">
        <v>74</v>
      </c>
      <c r="AE146" s="1" t="s">
        <v>74</v>
      </c>
      <c r="AF146" s="1" t="s">
        <v>74</v>
      </c>
      <c r="AG146" s="1">
        <v>49.0</v>
      </c>
      <c r="AH146" s="1">
        <v>2.0</v>
      </c>
      <c r="AI146" s="1">
        <v>2.0</v>
      </c>
      <c r="AJ146" s="1">
        <v>19.0</v>
      </c>
      <c r="AK146" s="1">
        <v>21.0</v>
      </c>
      <c r="AL146" s="1" t="s">
        <v>321</v>
      </c>
      <c r="AM146" s="1" t="s">
        <v>322</v>
      </c>
      <c r="AN146" s="1" t="s">
        <v>323</v>
      </c>
      <c r="AO146" s="1" t="s">
        <v>3255</v>
      </c>
      <c r="AP146" s="1" t="s">
        <v>3256</v>
      </c>
      <c r="AQ146" s="1" t="s">
        <v>74</v>
      </c>
      <c r="AR146" s="1" t="s">
        <v>3257</v>
      </c>
      <c r="AS146" s="1" t="s">
        <v>3258</v>
      </c>
      <c r="AT146" s="1" t="s">
        <v>302</v>
      </c>
      <c r="AU146" s="1">
        <v>2024.0</v>
      </c>
      <c r="AV146" s="1">
        <v>58.0</v>
      </c>
      <c r="AW146" s="1" t="s">
        <v>74</v>
      </c>
      <c r="AX146" s="1" t="s">
        <v>74</v>
      </c>
      <c r="AY146" s="1" t="s">
        <v>74</v>
      </c>
      <c r="AZ146" s="1" t="s">
        <v>74</v>
      </c>
      <c r="BA146" s="1" t="s">
        <v>74</v>
      </c>
      <c r="BB146" s="1" t="s">
        <v>74</v>
      </c>
      <c r="BC146" s="1" t="s">
        <v>74</v>
      </c>
      <c r="BD146" s="1">
        <v>101840.0</v>
      </c>
      <c r="BE146" s="1" t="s">
        <v>3259</v>
      </c>
      <c r="BF146" s="2" t="str">
        <f>HYPERLINK("http://dx.doi.org/10.1016/j.copsyc.2024.101840","http://dx.doi.org/10.1016/j.copsyc.2024.101840")</f>
        <v>http://dx.doi.org/10.1016/j.copsyc.2024.101840</v>
      </c>
      <c r="BG146" s="1" t="s">
        <v>74</v>
      </c>
      <c r="BH146" s="1" t="s">
        <v>1929</v>
      </c>
      <c r="BI146" s="1">
        <v>6.0</v>
      </c>
      <c r="BJ146" s="1" t="s">
        <v>3260</v>
      </c>
      <c r="BK146" s="1" t="s">
        <v>203</v>
      </c>
      <c r="BL146" s="1" t="s">
        <v>3261</v>
      </c>
      <c r="BM146" s="1" t="s">
        <v>3262</v>
      </c>
      <c r="BN146" s="1">
        <v>3.8986169E7</v>
      </c>
      <c r="BO146" s="1" t="s">
        <v>74</v>
      </c>
      <c r="BP146" s="1" t="s">
        <v>74</v>
      </c>
      <c r="BQ146" s="1" t="s">
        <v>74</v>
      </c>
      <c r="BR146" s="1" t="s">
        <v>102</v>
      </c>
      <c r="BS146" s="1" t="s">
        <v>3263</v>
      </c>
      <c r="BT146" s="1" t="str">
        <f>HYPERLINK("https%3A%2F%2Fwww.webofscience.com%2Fwos%2Fwoscc%2Ffull-record%2FWOS:001333732000001","View Full Record in Web of Science")</f>
        <v>View Full Record in Web of Science</v>
      </c>
    </row>
    <row r="147" ht="12.75" customHeight="1">
      <c r="A147" s="1" t="s">
        <v>132</v>
      </c>
      <c r="B147" s="1" t="s">
        <v>3264</v>
      </c>
      <c r="C147" s="1" t="s">
        <v>74</v>
      </c>
      <c r="D147" s="1" t="s">
        <v>74</v>
      </c>
      <c r="E147" s="1" t="s">
        <v>74</v>
      </c>
      <c r="F147" s="1" t="s">
        <v>3265</v>
      </c>
      <c r="G147" s="1" t="s">
        <v>74</v>
      </c>
      <c r="H147" s="1" t="s">
        <v>74</v>
      </c>
      <c r="I147" s="1" t="s">
        <v>3266</v>
      </c>
      <c r="J147" s="1" t="s">
        <v>3267</v>
      </c>
      <c r="K147" s="1" t="s">
        <v>74</v>
      </c>
      <c r="L147" s="1" t="s">
        <v>74</v>
      </c>
      <c r="M147" s="1" t="s">
        <v>80</v>
      </c>
      <c r="N147" s="1" t="s">
        <v>1010</v>
      </c>
      <c r="O147" s="1" t="s">
        <v>74</v>
      </c>
      <c r="P147" s="1" t="s">
        <v>74</v>
      </c>
      <c r="Q147" s="1" t="s">
        <v>74</v>
      </c>
      <c r="R147" s="1" t="s">
        <v>74</v>
      </c>
      <c r="S147" s="1" t="s">
        <v>74</v>
      </c>
      <c r="T147" s="1" t="s">
        <v>3268</v>
      </c>
      <c r="U147" s="1" t="s">
        <v>3269</v>
      </c>
      <c r="V147" s="1" t="s">
        <v>3270</v>
      </c>
      <c r="W147" s="1" t="s">
        <v>3271</v>
      </c>
      <c r="X147" s="1" t="s">
        <v>3272</v>
      </c>
      <c r="Y147" s="1" t="s">
        <v>3273</v>
      </c>
      <c r="Z147" s="1" t="s">
        <v>3274</v>
      </c>
      <c r="AA147" s="1" t="s">
        <v>74</v>
      </c>
      <c r="AB147" s="1" t="s">
        <v>74</v>
      </c>
      <c r="AC147" s="1" t="s">
        <v>74</v>
      </c>
      <c r="AD147" s="1" t="s">
        <v>74</v>
      </c>
      <c r="AE147" s="1" t="s">
        <v>74</v>
      </c>
      <c r="AF147" s="1" t="s">
        <v>74</v>
      </c>
      <c r="AG147" s="1">
        <v>89.0</v>
      </c>
      <c r="AH147" s="1">
        <v>0.0</v>
      </c>
      <c r="AI147" s="1">
        <v>0.0</v>
      </c>
      <c r="AJ147" s="1">
        <v>0.0</v>
      </c>
      <c r="AK147" s="1">
        <v>0.0</v>
      </c>
      <c r="AL147" s="1" t="s">
        <v>3275</v>
      </c>
      <c r="AM147" s="1" t="s">
        <v>3276</v>
      </c>
      <c r="AN147" s="1" t="s">
        <v>3277</v>
      </c>
      <c r="AO147" s="1" t="s">
        <v>3278</v>
      </c>
      <c r="AP147" s="1" t="s">
        <v>74</v>
      </c>
      <c r="AQ147" s="1" t="s">
        <v>74</v>
      </c>
      <c r="AR147" s="1" t="s">
        <v>3279</v>
      </c>
      <c r="AS147" s="1" t="s">
        <v>3280</v>
      </c>
      <c r="AT147" s="1" t="s">
        <v>74</v>
      </c>
      <c r="AU147" s="1">
        <v>2024.0</v>
      </c>
      <c r="AV147" s="1">
        <v>35.0</v>
      </c>
      <c r="AW147" s="1">
        <v>4.0</v>
      </c>
      <c r="AX147" s="1" t="s">
        <v>74</v>
      </c>
      <c r="AY147" s="1" t="s">
        <v>74</v>
      </c>
      <c r="AZ147" s="1" t="s">
        <v>74</v>
      </c>
      <c r="BA147" s="1" t="s">
        <v>74</v>
      </c>
      <c r="BB147" s="1">
        <v>457.0</v>
      </c>
      <c r="BC147" s="1">
        <v>466.0</v>
      </c>
      <c r="BD147" s="1" t="s">
        <v>74</v>
      </c>
      <c r="BE147" s="1" t="s">
        <v>3281</v>
      </c>
      <c r="BF147" s="2" t="str">
        <f>HYPERLINK("http://dx.doi.org/10.12996/gmj.2024.4182","http://dx.doi.org/10.12996/gmj.2024.4182")</f>
        <v>http://dx.doi.org/10.12996/gmj.2024.4182</v>
      </c>
      <c r="BG147" s="1" t="s">
        <v>74</v>
      </c>
      <c r="BH147" s="1" t="s">
        <v>74</v>
      </c>
      <c r="BI147" s="1">
        <v>10.0</v>
      </c>
      <c r="BJ147" s="1" t="s">
        <v>1158</v>
      </c>
      <c r="BK147" s="1" t="s">
        <v>172</v>
      </c>
      <c r="BL147" s="1" t="s">
        <v>1159</v>
      </c>
      <c r="BM147" s="1" t="s">
        <v>3282</v>
      </c>
      <c r="BN147" s="1" t="s">
        <v>74</v>
      </c>
      <c r="BO147" s="1" t="s">
        <v>174</v>
      </c>
      <c r="BP147" s="1" t="s">
        <v>74</v>
      </c>
      <c r="BQ147" s="1" t="s">
        <v>74</v>
      </c>
      <c r="BR147" s="1" t="s">
        <v>102</v>
      </c>
      <c r="BS147" s="1" t="s">
        <v>3283</v>
      </c>
      <c r="BT147" s="1" t="str">
        <f>HYPERLINK("https%3A%2F%2Fwww.webofscience.com%2Fwos%2Fwoscc%2Ffull-record%2FWOS:001337072400019","View Full Record in Web of Science")</f>
        <v>View Full Record in Web of Science</v>
      </c>
    </row>
    <row r="148" ht="12.75" customHeight="1">
      <c r="A148" s="1" t="s">
        <v>72</v>
      </c>
      <c r="B148" s="1" t="s">
        <v>3284</v>
      </c>
      <c r="C148" s="1" t="s">
        <v>74</v>
      </c>
      <c r="D148" s="1" t="s">
        <v>3285</v>
      </c>
      <c r="E148" s="1" t="s">
        <v>74</v>
      </c>
      <c r="F148" s="1" t="s">
        <v>3286</v>
      </c>
      <c r="G148" s="1" t="s">
        <v>74</v>
      </c>
      <c r="H148" s="1" t="s">
        <v>74</v>
      </c>
      <c r="I148" s="1" t="s">
        <v>3287</v>
      </c>
      <c r="J148" s="1" t="s">
        <v>3288</v>
      </c>
      <c r="K148" s="1" t="s">
        <v>74</v>
      </c>
      <c r="L148" s="1" t="s">
        <v>74</v>
      </c>
      <c r="M148" s="1" t="s">
        <v>80</v>
      </c>
      <c r="N148" s="1" t="s">
        <v>81</v>
      </c>
      <c r="O148" s="1" t="s">
        <v>3289</v>
      </c>
      <c r="P148" s="1" t="s">
        <v>3290</v>
      </c>
      <c r="Q148" s="1" t="s">
        <v>3291</v>
      </c>
      <c r="R148" s="1" t="s">
        <v>3292</v>
      </c>
      <c r="S148" s="1" t="s">
        <v>3293</v>
      </c>
      <c r="T148" s="1" t="s">
        <v>3294</v>
      </c>
      <c r="U148" s="1" t="s">
        <v>74</v>
      </c>
      <c r="V148" s="1" t="s">
        <v>3295</v>
      </c>
      <c r="W148" s="1" t="s">
        <v>3296</v>
      </c>
      <c r="X148" s="1" t="s">
        <v>3297</v>
      </c>
      <c r="Y148" s="1" t="s">
        <v>3298</v>
      </c>
      <c r="Z148" s="1" t="s">
        <v>3299</v>
      </c>
      <c r="AA148" s="1" t="s">
        <v>74</v>
      </c>
      <c r="AB148" s="1" t="s">
        <v>74</v>
      </c>
      <c r="AC148" s="1" t="s">
        <v>74</v>
      </c>
      <c r="AD148" s="1" t="s">
        <v>74</v>
      </c>
      <c r="AE148" s="1" t="s">
        <v>74</v>
      </c>
      <c r="AF148" s="1" t="s">
        <v>74</v>
      </c>
      <c r="AG148" s="1">
        <v>12.0</v>
      </c>
      <c r="AH148" s="1">
        <v>0.0</v>
      </c>
      <c r="AI148" s="1">
        <v>0.0</v>
      </c>
      <c r="AJ148" s="1">
        <v>1.0</v>
      </c>
      <c r="AK148" s="1">
        <v>7.0</v>
      </c>
      <c r="AL148" s="1" t="s">
        <v>3300</v>
      </c>
      <c r="AM148" s="1" t="s">
        <v>3301</v>
      </c>
      <c r="AN148" s="1" t="s">
        <v>3302</v>
      </c>
      <c r="AO148" s="1" t="s">
        <v>74</v>
      </c>
      <c r="AP148" s="1" t="s">
        <v>74</v>
      </c>
      <c r="AQ148" s="1" t="s">
        <v>3303</v>
      </c>
      <c r="AR148" s="1" t="s">
        <v>74</v>
      </c>
      <c r="AS148" s="1" t="s">
        <v>74</v>
      </c>
      <c r="AT148" s="1" t="s">
        <v>74</v>
      </c>
      <c r="AU148" s="1">
        <v>2022.0</v>
      </c>
      <c r="AV148" s="1" t="s">
        <v>74</v>
      </c>
      <c r="AW148" s="1" t="s">
        <v>74</v>
      </c>
      <c r="AX148" s="1" t="s">
        <v>74</v>
      </c>
      <c r="AY148" s="1" t="s">
        <v>74</v>
      </c>
      <c r="AZ148" s="1" t="s">
        <v>74</v>
      </c>
      <c r="BA148" s="1" t="s">
        <v>74</v>
      </c>
      <c r="BB148" s="1">
        <v>348.0</v>
      </c>
      <c r="BC148" s="1">
        <v>353.0</v>
      </c>
      <c r="BD148" s="1" t="s">
        <v>74</v>
      </c>
      <c r="BE148" s="1" t="s">
        <v>74</v>
      </c>
      <c r="BF148" s="1" t="s">
        <v>74</v>
      </c>
      <c r="BG148" s="1" t="s">
        <v>74</v>
      </c>
      <c r="BH148" s="1" t="s">
        <v>74</v>
      </c>
      <c r="BI148" s="1">
        <v>6.0</v>
      </c>
      <c r="BJ148" s="1" t="s">
        <v>3304</v>
      </c>
      <c r="BK148" s="1" t="s">
        <v>405</v>
      </c>
      <c r="BL148" s="1" t="s">
        <v>3305</v>
      </c>
      <c r="BM148" s="1" t="s">
        <v>3306</v>
      </c>
      <c r="BN148" s="1" t="s">
        <v>74</v>
      </c>
      <c r="BO148" s="1" t="s">
        <v>74</v>
      </c>
      <c r="BP148" s="1" t="s">
        <v>74</v>
      </c>
      <c r="BQ148" s="1" t="s">
        <v>74</v>
      </c>
      <c r="BR148" s="1" t="s">
        <v>102</v>
      </c>
      <c r="BS148" s="1" t="s">
        <v>3307</v>
      </c>
      <c r="BT148" s="1" t="str">
        <f>HYPERLINK("https%3A%2F%2Fwww.webofscience.com%2Fwos%2Fwoscc%2Ffull-record%2FWOS:000936355000055","View Full Record in Web of Science")</f>
        <v>View Full Record in Web of Science</v>
      </c>
    </row>
    <row r="149" ht="12.75" customHeight="1">
      <c r="A149" s="1" t="s">
        <v>72</v>
      </c>
      <c r="B149" s="1" t="s">
        <v>3308</v>
      </c>
      <c r="C149" s="1" t="s">
        <v>74</v>
      </c>
      <c r="D149" s="1" t="s">
        <v>74</v>
      </c>
      <c r="E149" s="1" t="s">
        <v>1738</v>
      </c>
      <c r="F149" s="1" t="s">
        <v>3309</v>
      </c>
      <c r="G149" s="1" t="s">
        <v>74</v>
      </c>
      <c r="H149" s="1" t="s">
        <v>74</v>
      </c>
      <c r="I149" s="1" t="s">
        <v>3310</v>
      </c>
      <c r="J149" s="1" t="s">
        <v>3311</v>
      </c>
      <c r="K149" s="1" t="s">
        <v>74</v>
      </c>
      <c r="L149" s="1" t="s">
        <v>74</v>
      </c>
      <c r="M149" s="1" t="s">
        <v>80</v>
      </c>
      <c r="N149" s="1" t="s">
        <v>81</v>
      </c>
      <c r="O149" s="1" t="s">
        <v>3312</v>
      </c>
      <c r="P149" s="1" t="s">
        <v>3313</v>
      </c>
      <c r="Q149" s="1" t="s">
        <v>243</v>
      </c>
      <c r="R149" s="1" t="s">
        <v>74</v>
      </c>
      <c r="S149" s="1" t="s">
        <v>74</v>
      </c>
      <c r="T149" s="1" t="s">
        <v>3314</v>
      </c>
      <c r="U149" s="1" t="s">
        <v>74</v>
      </c>
      <c r="V149" s="1" t="s">
        <v>3315</v>
      </c>
      <c r="W149" s="1" t="s">
        <v>3316</v>
      </c>
      <c r="X149" s="1" t="s">
        <v>3317</v>
      </c>
      <c r="Y149" s="1" t="s">
        <v>3318</v>
      </c>
      <c r="Z149" s="1" t="s">
        <v>3319</v>
      </c>
      <c r="AA149" s="1" t="s">
        <v>3320</v>
      </c>
      <c r="AB149" s="1" t="s">
        <v>74</v>
      </c>
      <c r="AC149" s="1" t="s">
        <v>74</v>
      </c>
      <c r="AD149" s="1" t="s">
        <v>74</v>
      </c>
      <c r="AE149" s="1" t="s">
        <v>74</v>
      </c>
      <c r="AF149" s="1" t="s">
        <v>74</v>
      </c>
      <c r="AG149" s="1">
        <v>29.0</v>
      </c>
      <c r="AH149" s="1">
        <v>0.0</v>
      </c>
      <c r="AI149" s="1">
        <v>0.0</v>
      </c>
      <c r="AJ149" s="1">
        <v>5.0</v>
      </c>
      <c r="AK149" s="1">
        <v>5.0</v>
      </c>
      <c r="AL149" s="1" t="s">
        <v>1426</v>
      </c>
      <c r="AM149" s="1" t="s">
        <v>193</v>
      </c>
      <c r="AN149" s="1" t="s">
        <v>1427</v>
      </c>
      <c r="AO149" s="1" t="s">
        <v>74</v>
      </c>
      <c r="AP149" s="1" t="s">
        <v>74</v>
      </c>
      <c r="AQ149" s="1" t="s">
        <v>3321</v>
      </c>
      <c r="AR149" s="1" t="s">
        <v>74</v>
      </c>
      <c r="AS149" s="1" t="s">
        <v>74</v>
      </c>
      <c r="AT149" s="1" t="s">
        <v>74</v>
      </c>
      <c r="AU149" s="1">
        <v>2023.0</v>
      </c>
      <c r="AV149" s="1" t="s">
        <v>74</v>
      </c>
      <c r="AW149" s="1" t="s">
        <v>74</v>
      </c>
      <c r="AX149" s="1" t="s">
        <v>74</v>
      </c>
      <c r="AY149" s="1" t="s">
        <v>74</v>
      </c>
      <c r="AZ149" s="1" t="s">
        <v>74</v>
      </c>
      <c r="BA149" s="1" t="s">
        <v>74</v>
      </c>
      <c r="BB149" s="1">
        <v>923.0</v>
      </c>
      <c r="BC149" s="1">
        <v>926.0</v>
      </c>
      <c r="BD149" s="1" t="s">
        <v>74</v>
      </c>
      <c r="BE149" s="1" t="s">
        <v>3322</v>
      </c>
      <c r="BF149" s="2" t="str">
        <f>HYPERLINK("http://dx.doi.org/10.1145/3644116.3644274","http://dx.doi.org/10.1145/3644116.3644274")</f>
        <v>http://dx.doi.org/10.1145/3644116.3644274</v>
      </c>
      <c r="BG149" s="1" t="s">
        <v>74</v>
      </c>
      <c r="BH149" s="1" t="s">
        <v>74</v>
      </c>
      <c r="BI149" s="1">
        <v>4.0</v>
      </c>
      <c r="BJ149" s="1" t="s">
        <v>3323</v>
      </c>
      <c r="BK149" s="1" t="s">
        <v>128</v>
      </c>
      <c r="BL149" s="1" t="s">
        <v>1325</v>
      </c>
      <c r="BM149" s="1" t="s">
        <v>3324</v>
      </c>
      <c r="BN149" s="1" t="s">
        <v>74</v>
      </c>
      <c r="BO149" s="1" t="s">
        <v>74</v>
      </c>
      <c r="BP149" s="1" t="s">
        <v>74</v>
      </c>
      <c r="BQ149" s="1" t="s">
        <v>74</v>
      </c>
      <c r="BR149" s="1" t="s">
        <v>102</v>
      </c>
      <c r="BS149" s="1" t="s">
        <v>3325</v>
      </c>
      <c r="BT149" s="1" t="str">
        <f>HYPERLINK("https%3A%2F%2Fwww.webofscience.com%2Fwos%2Fwoscc%2Ffull-record%2FWOS:001213963600153","View Full Record in Web of Science")</f>
        <v>View Full Record in Web of Science</v>
      </c>
    </row>
    <row r="150" ht="12.75" customHeight="1">
      <c r="A150" s="1" t="s">
        <v>132</v>
      </c>
      <c r="B150" s="1" t="s">
        <v>3326</v>
      </c>
      <c r="C150" s="1" t="s">
        <v>74</v>
      </c>
      <c r="D150" s="1" t="s">
        <v>74</v>
      </c>
      <c r="E150" s="1" t="s">
        <v>74</v>
      </c>
      <c r="F150" s="1" t="s">
        <v>3327</v>
      </c>
      <c r="G150" s="1" t="s">
        <v>74</v>
      </c>
      <c r="H150" s="1" t="s">
        <v>74</v>
      </c>
      <c r="I150" s="1" t="s">
        <v>3328</v>
      </c>
      <c r="J150" s="1" t="s">
        <v>3329</v>
      </c>
      <c r="K150" s="1" t="s">
        <v>74</v>
      </c>
      <c r="L150" s="1" t="s">
        <v>74</v>
      </c>
      <c r="M150" s="1" t="s">
        <v>80</v>
      </c>
      <c r="N150" s="1" t="s">
        <v>136</v>
      </c>
      <c r="O150" s="1" t="s">
        <v>74</v>
      </c>
      <c r="P150" s="1" t="s">
        <v>74</v>
      </c>
      <c r="Q150" s="1" t="s">
        <v>74</v>
      </c>
      <c r="R150" s="1" t="s">
        <v>74</v>
      </c>
      <c r="S150" s="1" t="s">
        <v>74</v>
      </c>
      <c r="T150" s="1" t="s">
        <v>3330</v>
      </c>
      <c r="U150" s="1" t="s">
        <v>3331</v>
      </c>
      <c r="V150" s="1" t="s">
        <v>3332</v>
      </c>
      <c r="W150" s="1" t="s">
        <v>3333</v>
      </c>
      <c r="X150" s="1" t="s">
        <v>3334</v>
      </c>
      <c r="Y150" s="1" t="s">
        <v>3335</v>
      </c>
      <c r="Z150" s="1" t="s">
        <v>3336</v>
      </c>
      <c r="AA150" s="1" t="s">
        <v>74</v>
      </c>
      <c r="AB150" s="1" t="s">
        <v>3337</v>
      </c>
      <c r="AC150" s="1" t="s">
        <v>3338</v>
      </c>
      <c r="AD150" s="1" t="s">
        <v>3339</v>
      </c>
      <c r="AE150" s="1" t="s">
        <v>3340</v>
      </c>
      <c r="AF150" s="1" t="s">
        <v>74</v>
      </c>
      <c r="AG150" s="1">
        <v>27.0</v>
      </c>
      <c r="AH150" s="1">
        <v>3.0</v>
      </c>
      <c r="AI150" s="1">
        <v>3.0</v>
      </c>
      <c r="AJ150" s="1">
        <v>128.0</v>
      </c>
      <c r="AK150" s="1">
        <v>128.0</v>
      </c>
      <c r="AL150" s="1" t="s">
        <v>3341</v>
      </c>
      <c r="AM150" s="1" t="s">
        <v>2426</v>
      </c>
      <c r="AN150" s="1" t="s">
        <v>3342</v>
      </c>
      <c r="AO150" s="1" t="s">
        <v>3343</v>
      </c>
      <c r="AP150" s="1" t="s">
        <v>3344</v>
      </c>
      <c r="AQ150" s="1" t="s">
        <v>74</v>
      </c>
      <c r="AR150" s="1" t="s">
        <v>3345</v>
      </c>
      <c r="AS150" s="1" t="s">
        <v>3346</v>
      </c>
      <c r="AT150" s="1" t="s">
        <v>1709</v>
      </c>
      <c r="AU150" s="1">
        <v>2024.0</v>
      </c>
      <c r="AV150" s="1">
        <v>67.0</v>
      </c>
      <c r="AW150" s="1" t="s">
        <v>74</v>
      </c>
      <c r="AX150" s="1" t="s">
        <v>3347</v>
      </c>
      <c r="AY150" s="1" t="s">
        <v>74</v>
      </c>
      <c r="AZ150" s="1" t="s">
        <v>74</v>
      </c>
      <c r="BA150" s="1" t="s">
        <v>74</v>
      </c>
      <c r="BB150" s="1" t="s">
        <v>74</v>
      </c>
      <c r="BC150" s="1" t="s">
        <v>74</v>
      </c>
      <c r="BD150" s="1">
        <v>105954.0</v>
      </c>
      <c r="BE150" s="1" t="s">
        <v>3348</v>
      </c>
      <c r="BF150" s="2" t="str">
        <f>HYPERLINK("http://dx.doi.org/10.1016/j.frl.2024.105954","http://dx.doi.org/10.1016/j.frl.2024.105954")</f>
        <v>http://dx.doi.org/10.1016/j.frl.2024.105954</v>
      </c>
      <c r="BG150" s="1" t="s">
        <v>74</v>
      </c>
      <c r="BH150" s="1" t="s">
        <v>3349</v>
      </c>
      <c r="BI150" s="1">
        <v>10.0</v>
      </c>
      <c r="BJ150" s="1" t="s">
        <v>3350</v>
      </c>
      <c r="BK150" s="1" t="s">
        <v>203</v>
      </c>
      <c r="BL150" s="1" t="s">
        <v>204</v>
      </c>
      <c r="BM150" s="1" t="s">
        <v>3351</v>
      </c>
      <c r="BN150" s="1" t="s">
        <v>74</v>
      </c>
      <c r="BO150" s="1" t="s">
        <v>74</v>
      </c>
      <c r="BP150" s="1" t="s">
        <v>74</v>
      </c>
      <c r="BQ150" s="1" t="s">
        <v>74</v>
      </c>
      <c r="BR150" s="1" t="s">
        <v>102</v>
      </c>
      <c r="BS150" s="1" t="s">
        <v>3352</v>
      </c>
      <c r="BT150" s="1" t="str">
        <f>HYPERLINK("https%3A%2F%2Fwww.webofscience.com%2Fwos%2Fwoscc%2Ffull-record%2FWOS:001297746400001","View Full Record in Web of Science")</f>
        <v>View Full Record in Web of Science</v>
      </c>
    </row>
    <row r="151" ht="12.75" customHeight="1">
      <c r="A151" s="1" t="s">
        <v>132</v>
      </c>
      <c r="B151" s="1" t="s">
        <v>3353</v>
      </c>
      <c r="C151" s="1" t="s">
        <v>74</v>
      </c>
      <c r="D151" s="1" t="s">
        <v>74</v>
      </c>
      <c r="E151" s="1" t="s">
        <v>74</v>
      </c>
      <c r="F151" s="1" t="s">
        <v>3354</v>
      </c>
      <c r="G151" s="1" t="s">
        <v>74</v>
      </c>
      <c r="H151" s="1" t="s">
        <v>74</v>
      </c>
      <c r="I151" s="1" t="s">
        <v>3355</v>
      </c>
      <c r="J151" s="1" t="s">
        <v>3356</v>
      </c>
      <c r="K151" s="1" t="s">
        <v>74</v>
      </c>
      <c r="L151" s="1" t="s">
        <v>74</v>
      </c>
      <c r="M151" s="1" t="s">
        <v>80</v>
      </c>
      <c r="N151" s="1" t="s">
        <v>136</v>
      </c>
      <c r="O151" s="1" t="s">
        <v>74</v>
      </c>
      <c r="P151" s="1" t="s">
        <v>74</v>
      </c>
      <c r="Q151" s="1" t="s">
        <v>74</v>
      </c>
      <c r="R151" s="1" t="s">
        <v>74</v>
      </c>
      <c r="S151" s="1" t="s">
        <v>74</v>
      </c>
      <c r="T151" s="1" t="s">
        <v>3357</v>
      </c>
      <c r="U151" s="1" t="s">
        <v>3358</v>
      </c>
      <c r="V151" s="1" t="s">
        <v>3359</v>
      </c>
      <c r="W151" s="1" t="s">
        <v>3360</v>
      </c>
      <c r="X151" s="1" t="s">
        <v>3361</v>
      </c>
      <c r="Y151" s="1" t="s">
        <v>3362</v>
      </c>
      <c r="Z151" s="1" t="s">
        <v>3363</v>
      </c>
      <c r="AA151" s="1" t="s">
        <v>3364</v>
      </c>
      <c r="AB151" s="1" t="s">
        <v>74</v>
      </c>
      <c r="AC151" s="1" t="s">
        <v>3365</v>
      </c>
      <c r="AD151" s="1" t="s">
        <v>3366</v>
      </c>
      <c r="AE151" s="1" t="s">
        <v>3367</v>
      </c>
      <c r="AF151" s="1" t="s">
        <v>74</v>
      </c>
      <c r="AG151" s="1">
        <v>50.0</v>
      </c>
      <c r="AH151" s="1">
        <v>55.0</v>
      </c>
      <c r="AI151" s="1">
        <v>55.0</v>
      </c>
      <c r="AJ151" s="1">
        <v>229.0</v>
      </c>
      <c r="AK151" s="1">
        <v>546.0</v>
      </c>
      <c r="AL151" s="1" t="s">
        <v>2745</v>
      </c>
      <c r="AM151" s="1" t="s">
        <v>2746</v>
      </c>
      <c r="AN151" s="1" t="s">
        <v>2747</v>
      </c>
      <c r="AO151" s="1" t="s">
        <v>3368</v>
      </c>
      <c r="AP151" s="1" t="s">
        <v>3369</v>
      </c>
      <c r="AQ151" s="1" t="s">
        <v>74</v>
      </c>
      <c r="AR151" s="1" t="s">
        <v>3370</v>
      </c>
      <c r="AS151" s="1" t="s">
        <v>3371</v>
      </c>
      <c r="AT151" s="1" t="s">
        <v>1364</v>
      </c>
      <c r="AU151" s="1">
        <v>2023.0</v>
      </c>
      <c r="AV151" s="1">
        <v>82.0</v>
      </c>
      <c r="AW151" s="1" t="s">
        <v>74</v>
      </c>
      <c r="AX151" s="1" t="s">
        <v>74</v>
      </c>
      <c r="AY151" s="1" t="s">
        <v>74</v>
      </c>
      <c r="AZ151" s="1" t="s">
        <v>74</v>
      </c>
      <c r="BA151" s="1" t="s">
        <v>74</v>
      </c>
      <c r="BB151" s="1" t="s">
        <v>74</v>
      </c>
      <c r="BC151" s="1" t="s">
        <v>74</v>
      </c>
      <c r="BD151" s="1">
        <v>103507.0</v>
      </c>
      <c r="BE151" s="1" t="s">
        <v>3372</v>
      </c>
      <c r="BF151" s="2" t="str">
        <f>HYPERLINK("http://dx.doi.org/10.1016/j.resourpol.2023.103507","http://dx.doi.org/10.1016/j.resourpol.2023.103507")</f>
        <v>http://dx.doi.org/10.1016/j.resourpol.2023.103507</v>
      </c>
      <c r="BG151" s="1" t="s">
        <v>74</v>
      </c>
      <c r="BH151" s="1" t="s">
        <v>3200</v>
      </c>
      <c r="BI151" s="1">
        <v>12.0</v>
      </c>
      <c r="BJ151" s="1" t="s">
        <v>1002</v>
      </c>
      <c r="BK151" s="1" t="s">
        <v>203</v>
      </c>
      <c r="BL151" s="1" t="s">
        <v>894</v>
      </c>
      <c r="BM151" s="1" t="s">
        <v>3373</v>
      </c>
      <c r="BN151" s="1" t="s">
        <v>74</v>
      </c>
      <c r="BO151" s="1" t="s">
        <v>74</v>
      </c>
      <c r="BP151" s="1" t="s">
        <v>74</v>
      </c>
      <c r="BQ151" s="1" t="s">
        <v>74</v>
      </c>
      <c r="BR151" s="1" t="s">
        <v>102</v>
      </c>
      <c r="BS151" s="1" t="s">
        <v>3374</v>
      </c>
      <c r="BT151" s="1" t="str">
        <f>HYPERLINK("https%3A%2F%2Fwww.webofscience.com%2Fwos%2Fwoscc%2Ffull-record%2FWOS:000974938500001","View Full Record in Web of Science")</f>
        <v>View Full Record in Web of Science</v>
      </c>
    </row>
    <row r="152" ht="12.75" customHeight="1">
      <c r="A152" s="1" t="s">
        <v>132</v>
      </c>
      <c r="B152" s="1" t="s">
        <v>3375</v>
      </c>
      <c r="C152" s="1" t="s">
        <v>74</v>
      </c>
      <c r="D152" s="1" t="s">
        <v>74</v>
      </c>
      <c r="E152" s="1" t="s">
        <v>74</v>
      </c>
      <c r="F152" s="1" t="s">
        <v>3376</v>
      </c>
      <c r="G152" s="1" t="s">
        <v>74</v>
      </c>
      <c r="H152" s="1" t="s">
        <v>74</v>
      </c>
      <c r="I152" s="1" t="s">
        <v>3377</v>
      </c>
      <c r="J152" s="1" t="s">
        <v>3378</v>
      </c>
      <c r="K152" s="1" t="s">
        <v>74</v>
      </c>
      <c r="L152" s="1" t="s">
        <v>74</v>
      </c>
      <c r="M152" s="1" t="s">
        <v>3379</v>
      </c>
      <c r="N152" s="1" t="s">
        <v>136</v>
      </c>
      <c r="O152" s="1" t="s">
        <v>74</v>
      </c>
      <c r="P152" s="1" t="s">
        <v>74</v>
      </c>
      <c r="Q152" s="1" t="s">
        <v>74</v>
      </c>
      <c r="R152" s="1" t="s">
        <v>74</v>
      </c>
      <c r="S152" s="1" t="s">
        <v>74</v>
      </c>
      <c r="T152" s="1" t="s">
        <v>3380</v>
      </c>
      <c r="U152" s="1" t="s">
        <v>74</v>
      </c>
      <c r="V152" s="1" t="s">
        <v>3381</v>
      </c>
      <c r="W152" s="1" t="s">
        <v>3382</v>
      </c>
      <c r="X152" s="1" t="s">
        <v>74</v>
      </c>
      <c r="Y152" s="1" t="s">
        <v>3383</v>
      </c>
      <c r="Z152" s="1" t="s">
        <v>3384</v>
      </c>
      <c r="AA152" s="1" t="s">
        <v>74</v>
      </c>
      <c r="AB152" s="1" t="s">
        <v>74</v>
      </c>
      <c r="AC152" s="1" t="s">
        <v>74</v>
      </c>
      <c r="AD152" s="1" t="s">
        <v>74</v>
      </c>
      <c r="AE152" s="1" t="s">
        <v>74</v>
      </c>
      <c r="AF152" s="1" t="s">
        <v>74</v>
      </c>
      <c r="AG152" s="1">
        <v>23.0</v>
      </c>
      <c r="AH152" s="1">
        <v>0.0</v>
      </c>
      <c r="AI152" s="1">
        <v>0.0</v>
      </c>
      <c r="AJ152" s="1">
        <v>6.0</v>
      </c>
      <c r="AK152" s="1">
        <v>6.0</v>
      </c>
      <c r="AL152" s="1" t="s">
        <v>3385</v>
      </c>
      <c r="AM152" s="1" t="s">
        <v>3386</v>
      </c>
      <c r="AN152" s="1" t="s">
        <v>3387</v>
      </c>
      <c r="AO152" s="1" t="s">
        <v>3388</v>
      </c>
      <c r="AP152" s="1" t="s">
        <v>74</v>
      </c>
      <c r="AQ152" s="1" t="s">
        <v>74</v>
      </c>
      <c r="AR152" s="1" t="s">
        <v>3378</v>
      </c>
      <c r="AS152" s="1" t="s">
        <v>3389</v>
      </c>
      <c r="AT152" s="1" t="s">
        <v>1709</v>
      </c>
      <c r="AU152" s="1">
        <v>2024.0</v>
      </c>
      <c r="AV152" s="1">
        <v>134.0</v>
      </c>
      <c r="AW152" s="1">
        <v>3.0</v>
      </c>
      <c r="AX152" s="1" t="s">
        <v>74</v>
      </c>
      <c r="AY152" s="1" t="s">
        <v>74</v>
      </c>
      <c r="AZ152" s="1" t="s">
        <v>74</v>
      </c>
      <c r="BA152" s="1" t="s">
        <v>74</v>
      </c>
      <c r="BB152" s="1">
        <v>251.0</v>
      </c>
      <c r="BC152" s="1">
        <v>267.0</v>
      </c>
      <c r="BD152" s="1" t="s">
        <v>74</v>
      </c>
      <c r="BE152" s="1" t="s">
        <v>3390</v>
      </c>
      <c r="BF152" s="2" t="str">
        <f>HYPERLINK("http://dx.doi.org/10.53371/61178","http://dx.doi.org/10.53371/61178")</f>
        <v>http://dx.doi.org/10.53371/61178</v>
      </c>
      <c r="BG152" s="1" t="s">
        <v>74</v>
      </c>
      <c r="BH152" s="1" t="s">
        <v>74</v>
      </c>
      <c r="BI152" s="1">
        <v>17.0</v>
      </c>
      <c r="BJ152" s="1" t="s">
        <v>1255</v>
      </c>
      <c r="BK152" s="1" t="s">
        <v>3391</v>
      </c>
      <c r="BL152" s="1" t="s">
        <v>1256</v>
      </c>
      <c r="BM152" s="1" t="s">
        <v>3392</v>
      </c>
      <c r="BN152" s="1" t="s">
        <v>74</v>
      </c>
      <c r="BO152" s="1" t="s">
        <v>74</v>
      </c>
      <c r="BP152" s="1" t="s">
        <v>74</v>
      </c>
      <c r="BQ152" s="1" t="s">
        <v>74</v>
      </c>
      <c r="BR152" s="1" t="s">
        <v>102</v>
      </c>
      <c r="BS152" s="1" t="s">
        <v>3393</v>
      </c>
      <c r="BT152" s="1" t="str">
        <f>HYPERLINK("https%3A%2F%2Fwww.webofscience.com%2Fwos%2Fwoscc%2Ffull-record%2FWOS:001337400800004","View Full Record in Web of Science")</f>
        <v>View Full Record in Web of Science</v>
      </c>
    </row>
    <row r="153" ht="12.75" customHeight="1">
      <c r="A153" s="1" t="s">
        <v>132</v>
      </c>
      <c r="B153" s="1" t="s">
        <v>3394</v>
      </c>
      <c r="C153" s="1" t="s">
        <v>74</v>
      </c>
      <c r="D153" s="1" t="s">
        <v>74</v>
      </c>
      <c r="E153" s="1" t="s">
        <v>74</v>
      </c>
      <c r="F153" s="1" t="s">
        <v>3395</v>
      </c>
      <c r="G153" s="1" t="s">
        <v>74</v>
      </c>
      <c r="H153" s="1" t="s">
        <v>74</v>
      </c>
      <c r="I153" s="1" t="s">
        <v>3396</v>
      </c>
      <c r="J153" s="1" t="s">
        <v>1288</v>
      </c>
      <c r="K153" s="1" t="s">
        <v>74</v>
      </c>
      <c r="L153" s="1" t="s">
        <v>74</v>
      </c>
      <c r="M153" s="1" t="s">
        <v>80</v>
      </c>
      <c r="N153" s="1" t="s">
        <v>136</v>
      </c>
      <c r="O153" s="1" t="s">
        <v>74</v>
      </c>
      <c r="P153" s="1" t="s">
        <v>74</v>
      </c>
      <c r="Q153" s="1" t="s">
        <v>74</v>
      </c>
      <c r="R153" s="1" t="s">
        <v>74</v>
      </c>
      <c r="S153" s="1" t="s">
        <v>74</v>
      </c>
      <c r="T153" s="1" t="s">
        <v>3397</v>
      </c>
      <c r="U153" s="1" t="s">
        <v>3398</v>
      </c>
      <c r="V153" s="1" t="s">
        <v>3399</v>
      </c>
      <c r="W153" s="1" t="s">
        <v>3400</v>
      </c>
      <c r="X153" s="1" t="s">
        <v>3401</v>
      </c>
      <c r="Y153" s="1" t="s">
        <v>3402</v>
      </c>
      <c r="Z153" s="1" t="s">
        <v>3403</v>
      </c>
      <c r="AA153" s="1" t="s">
        <v>3404</v>
      </c>
      <c r="AB153" s="1" t="s">
        <v>3405</v>
      </c>
      <c r="AC153" s="1" t="s">
        <v>74</v>
      </c>
      <c r="AD153" s="1" t="s">
        <v>74</v>
      </c>
      <c r="AE153" s="1" t="s">
        <v>74</v>
      </c>
      <c r="AF153" s="1" t="s">
        <v>74</v>
      </c>
      <c r="AG153" s="1">
        <v>71.0</v>
      </c>
      <c r="AH153" s="1">
        <v>2.0</v>
      </c>
      <c r="AI153" s="1">
        <v>2.0</v>
      </c>
      <c r="AJ153" s="1">
        <v>46.0</v>
      </c>
      <c r="AK153" s="1">
        <v>49.0</v>
      </c>
      <c r="AL153" s="1" t="s">
        <v>1294</v>
      </c>
      <c r="AM153" s="1" t="s">
        <v>1295</v>
      </c>
      <c r="AN153" s="1" t="s">
        <v>1296</v>
      </c>
      <c r="AO153" s="1" t="s">
        <v>1297</v>
      </c>
      <c r="AP153" s="1" t="s">
        <v>1298</v>
      </c>
      <c r="AQ153" s="1" t="s">
        <v>74</v>
      </c>
      <c r="AR153" s="1" t="s">
        <v>1299</v>
      </c>
      <c r="AS153" s="1" t="s">
        <v>1300</v>
      </c>
      <c r="AT153" s="1" t="s">
        <v>1364</v>
      </c>
      <c r="AU153" s="1">
        <v>2024.0</v>
      </c>
      <c r="AV153" s="1">
        <v>26.0</v>
      </c>
      <c r="AW153" s="1">
        <v>66.0</v>
      </c>
      <c r="AX153" s="1" t="s">
        <v>74</v>
      </c>
      <c r="AY153" s="1" t="s">
        <v>74</v>
      </c>
      <c r="AZ153" s="1" t="s">
        <v>74</v>
      </c>
      <c r="BA153" s="1" t="s">
        <v>74</v>
      </c>
      <c r="BB153" s="1" t="s">
        <v>74</v>
      </c>
      <c r="BC153" s="1" t="s">
        <v>74</v>
      </c>
      <c r="BD153" s="1" t="s">
        <v>74</v>
      </c>
      <c r="BE153" s="1" t="s">
        <v>3406</v>
      </c>
      <c r="BF153" s="2" t="str">
        <f>HYPERLINK("http://dx.doi.org/10.24818/EA/2024/66/475","http://dx.doi.org/10.24818/EA/2024/66/475")</f>
        <v>http://dx.doi.org/10.24818/EA/2024/66/475</v>
      </c>
      <c r="BG153" s="1" t="s">
        <v>74</v>
      </c>
      <c r="BH153" s="1" t="s">
        <v>74</v>
      </c>
      <c r="BI153" s="1">
        <v>283.0</v>
      </c>
      <c r="BJ153" s="1" t="s">
        <v>1303</v>
      </c>
      <c r="BK153" s="1" t="s">
        <v>203</v>
      </c>
      <c r="BL153" s="1" t="s">
        <v>204</v>
      </c>
      <c r="BM153" s="1" t="s">
        <v>3407</v>
      </c>
      <c r="BN153" s="1" t="s">
        <v>74</v>
      </c>
      <c r="BO153" s="1" t="s">
        <v>174</v>
      </c>
      <c r="BP153" s="1" t="s">
        <v>74</v>
      </c>
      <c r="BQ153" s="1" t="s">
        <v>74</v>
      </c>
      <c r="BR153" s="1" t="s">
        <v>102</v>
      </c>
      <c r="BS153" s="1" t="s">
        <v>3408</v>
      </c>
      <c r="BT153" s="1" t="str">
        <f>HYPERLINK("https%3A%2F%2Fwww.webofscience.com%2Fwos%2Fwoscc%2Ffull-record%2FWOS:001248217500005","View Full Record in Web of Science")</f>
        <v>View Full Record in Web of Science</v>
      </c>
    </row>
    <row r="154" ht="12.75" customHeight="1">
      <c r="A154" s="1" t="s">
        <v>132</v>
      </c>
      <c r="B154" s="1" t="s">
        <v>3409</v>
      </c>
      <c r="C154" s="1" t="s">
        <v>74</v>
      </c>
      <c r="D154" s="1" t="s">
        <v>74</v>
      </c>
      <c r="E154" s="1" t="s">
        <v>74</v>
      </c>
      <c r="F154" s="1" t="s">
        <v>3410</v>
      </c>
      <c r="G154" s="1" t="s">
        <v>74</v>
      </c>
      <c r="H154" s="1" t="s">
        <v>74</v>
      </c>
      <c r="I154" s="1" t="s">
        <v>3411</v>
      </c>
      <c r="J154" s="1" t="s">
        <v>3412</v>
      </c>
      <c r="K154" s="1" t="s">
        <v>74</v>
      </c>
      <c r="L154" s="1" t="s">
        <v>74</v>
      </c>
      <c r="M154" s="1" t="s">
        <v>80</v>
      </c>
      <c r="N154" s="1" t="s">
        <v>136</v>
      </c>
      <c r="O154" s="1" t="s">
        <v>74</v>
      </c>
      <c r="P154" s="1" t="s">
        <v>74</v>
      </c>
      <c r="Q154" s="1" t="s">
        <v>74</v>
      </c>
      <c r="R154" s="1" t="s">
        <v>74</v>
      </c>
      <c r="S154" s="1" t="s">
        <v>74</v>
      </c>
      <c r="T154" s="1" t="s">
        <v>3413</v>
      </c>
      <c r="U154" s="1" t="s">
        <v>74</v>
      </c>
      <c r="V154" s="1" t="s">
        <v>3414</v>
      </c>
      <c r="W154" s="1" t="s">
        <v>3415</v>
      </c>
      <c r="X154" s="1" t="s">
        <v>74</v>
      </c>
      <c r="Y154" s="1" t="s">
        <v>3416</v>
      </c>
      <c r="Z154" s="1" t="s">
        <v>3417</v>
      </c>
      <c r="AA154" s="1" t="s">
        <v>74</v>
      </c>
      <c r="AB154" s="1" t="s">
        <v>3418</v>
      </c>
      <c r="AC154" s="1" t="s">
        <v>3419</v>
      </c>
      <c r="AD154" s="1" t="s">
        <v>3420</v>
      </c>
      <c r="AE154" s="1" t="s">
        <v>3421</v>
      </c>
      <c r="AF154" s="1" t="s">
        <v>74</v>
      </c>
      <c r="AG154" s="1">
        <v>54.0</v>
      </c>
      <c r="AH154" s="1">
        <v>4.0</v>
      </c>
      <c r="AI154" s="1">
        <v>5.0</v>
      </c>
      <c r="AJ154" s="1">
        <v>17.0</v>
      </c>
      <c r="AK154" s="1">
        <v>23.0</v>
      </c>
      <c r="AL154" s="1" t="s">
        <v>1970</v>
      </c>
      <c r="AM154" s="1" t="s">
        <v>1658</v>
      </c>
      <c r="AN154" s="1" t="s">
        <v>1971</v>
      </c>
      <c r="AO154" s="1" t="s">
        <v>74</v>
      </c>
      <c r="AP154" s="1" t="s">
        <v>3422</v>
      </c>
      <c r="AQ154" s="1" t="s">
        <v>74</v>
      </c>
      <c r="AR154" s="1" t="s">
        <v>3423</v>
      </c>
      <c r="AS154" s="1" t="s">
        <v>3424</v>
      </c>
      <c r="AT154" s="1" t="s">
        <v>328</v>
      </c>
      <c r="AU154" s="1">
        <v>2024.0</v>
      </c>
      <c r="AV154" s="1">
        <v>4.0</v>
      </c>
      <c r="AW154" s="1">
        <v>2.0</v>
      </c>
      <c r="AX154" s="1" t="s">
        <v>74</v>
      </c>
      <c r="AY154" s="1" t="s">
        <v>74</v>
      </c>
      <c r="AZ154" s="1" t="s">
        <v>74</v>
      </c>
      <c r="BA154" s="1" t="s">
        <v>74</v>
      </c>
      <c r="BB154" s="1">
        <v>349.0</v>
      </c>
      <c r="BC154" s="1">
        <v>379.0</v>
      </c>
      <c r="BD154" s="1" t="s">
        <v>74</v>
      </c>
      <c r="BE154" s="1" t="s">
        <v>3425</v>
      </c>
      <c r="BF154" s="2" t="str">
        <f>HYPERLINK("http://dx.doi.org/10.3390/futuretransp4020018","http://dx.doi.org/10.3390/futuretransp4020018")</f>
        <v>http://dx.doi.org/10.3390/futuretransp4020018</v>
      </c>
      <c r="BG154" s="1" t="s">
        <v>74</v>
      </c>
      <c r="BH154" s="1" t="s">
        <v>74</v>
      </c>
      <c r="BI154" s="1">
        <v>31.0</v>
      </c>
      <c r="BJ154" s="1" t="s">
        <v>3426</v>
      </c>
      <c r="BK154" s="1" t="s">
        <v>172</v>
      </c>
      <c r="BL154" s="1" t="s">
        <v>3427</v>
      </c>
      <c r="BM154" s="1" t="s">
        <v>3428</v>
      </c>
      <c r="BN154" s="1" t="s">
        <v>74</v>
      </c>
      <c r="BO154" s="1" t="s">
        <v>2204</v>
      </c>
      <c r="BP154" s="1" t="s">
        <v>74</v>
      </c>
      <c r="BQ154" s="1" t="s">
        <v>74</v>
      </c>
      <c r="BR154" s="1" t="s">
        <v>102</v>
      </c>
      <c r="BS154" s="1" t="s">
        <v>3429</v>
      </c>
      <c r="BT154" s="1" t="str">
        <f>HYPERLINK("https%3A%2F%2Fwww.webofscience.com%2Fwos%2Fwoscc%2Ffull-record%2FWOS:001256526700001","View Full Record in Web of Science")</f>
        <v>View Full Record in Web of Science</v>
      </c>
    </row>
    <row r="155" ht="12.75" customHeight="1">
      <c r="A155" s="1" t="s">
        <v>132</v>
      </c>
      <c r="B155" s="1" t="s">
        <v>3430</v>
      </c>
      <c r="C155" s="1" t="s">
        <v>74</v>
      </c>
      <c r="D155" s="1" t="s">
        <v>74</v>
      </c>
      <c r="E155" s="1" t="s">
        <v>74</v>
      </c>
      <c r="F155" s="1" t="s">
        <v>3431</v>
      </c>
      <c r="G155" s="1" t="s">
        <v>74</v>
      </c>
      <c r="H155" s="1" t="s">
        <v>74</v>
      </c>
      <c r="I155" s="1" t="s">
        <v>3432</v>
      </c>
      <c r="J155" s="1" t="s">
        <v>3433</v>
      </c>
      <c r="K155" s="1" t="s">
        <v>74</v>
      </c>
      <c r="L155" s="1" t="s">
        <v>74</v>
      </c>
      <c r="M155" s="1" t="s">
        <v>80</v>
      </c>
      <c r="N155" s="1" t="s">
        <v>136</v>
      </c>
      <c r="O155" s="1" t="s">
        <v>74</v>
      </c>
      <c r="P155" s="1" t="s">
        <v>74</v>
      </c>
      <c r="Q155" s="1" t="s">
        <v>74</v>
      </c>
      <c r="R155" s="1" t="s">
        <v>74</v>
      </c>
      <c r="S155" s="1" t="s">
        <v>74</v>
      </c>
      <c r="T155" s="1" t="s">
        <v>3434</v>
      </c>
      <c r="U155" s="1" t="s">
        <v>3435</v>
      </c>
      <c r="V155" s="1" t="s">
        <v>3436</v>
      </c>
      <c r="W155" s="1" t="s">
        <v>3437</v>
      </c>
      <c r="X155" s="1" t="s">
        <v>3438</v>
      </c>
      <c r="Y155" s="1" t="s">
        <v>3439</v>
      </c>
      <c r="Z155" s="1" t="s">
        <v>3440</v>
      </c>
      <c r="AA155" s="1" t="s">
        <v>3441</v>
      </c>
      <c r="AB155" s="1" t="s">
        <v>3442</v>
      </c>
      <c r="AC155" s="1" t="s">
        <v>3443</v>
      </c>
      <c r="AD155" s="1" t="s">
        <v>3444</v>
      </c>
      <c r="AE155" s="1" t="s">
        <v>3445</v>
      </c>
      <c r="AF155" s="1" t="s">
        <v>74</v>
      </c>
      <c r="AG155" s="1">
        <v>84.0</v>
      </c>
      <c r="AH155" s="1">
        <v>32.0</v>
      </c>
      <c r="AI155" s="1">
        <v>43.0</v>
      </c>
      <c r="AJ155" s="1">
        <v>0.0</v>
      </c>
      <c r="AK155" s="1">
        <v>37.0</v>
      </c>
      <c r="AL155" s="1" t="s">
        <v>3446</v>
      </c>
      <c r="AM155" s="1" t="s">
        <v>3447</v>
      </c>
      <c r="AN155" s="1" t="s">
        <v>3448</v>
      </c>
      <c r="AO155" s="1" t="s">
        <v>3449</v>
      </c>
      <c r="AP155" s="1" t="s">
        <v>3450</v>
      </c>
      <c r="AQ155" s="1" t="s">
        <v>74</v>
      </c>
      <c r="AR155" s="1" t="s">
        <v>3451</v>
      </c>
      <c r="AS155" s="1" t="s">
        <v>3452</v>
      </c>
      <c r="AT155" s="1" t="s">
        <v>199</v>
      </c>
      <c r="AU155" s="1">
        <v>2020.0</v>
      </c>
      <c r="AV155" s="1">
        <v>47.0</v>
      </c>
      <c r="AW155" s="1">
        <v>11.0</v>
      </c>
      <c r="AX155" s="1" t="s">
        <v>74</v>
      </c>
      <c r="AY155" s="1" t="s">
        <v>74</v>
      </c>
      <c r="AZ155" s="1" t="s">
        <v>74</v>
      </c>
      <c r="BA155" s="1" t="s">
        <v>74</v>
      </c>
      <c r="BB155" s="1" t="s">
        <v>74</v>
      </c>
      <c r="BC155" s="1" t="s">
        <v>74</v>
      </c>
      <c r="BD155" s="1">
        <v>115104.0</v>
      </c>
      <c r="BE155" s="1" t="s">
        <v>3453</v>
      </c>
      <c r="BF155" s="2" t="str">
        <f>HYPERLINK("http://dx.doi.org/10.1088/1361-6471/abb1f9","http://dx.doi.org/10.1088/1361-6471/abb1f9")</f>
        <v>http://dx.doi.org/10.1088/1361-6471/abb1f9</v>
      </c>
      <c r="BG155" s="1" t="s">
        <v>74</v>
      </c>
      <c r="BH155" s="1" t="s">
        <v>74</v>
      </c>
      <c r="BI155" s="1">
        <v>12.0</v>
      </c>
      <c r="BJ155" s="1" t="s">
        <v>3454</v>
      </c>
      <c r="BK155" s="1" t="s">
        <v>149</v>
      </c>
      <c r="BL155" s="1" t="s">
        <v>3455</v>
      </c>
      <c r="BM155" s="1" t="s">
        <v>3456</v>
      </c>
      <c r="BN155" s="1" t="s">
        <v>74</v>
      </c>
      <c r="BO155" s="1" t="s">
        <v>556</v>
      </c>
      <c r="BP155" s="1" t="s">
        <v>74</v>
      </c>
      <c r="BQ155" s="1" t="s">
        <v>74</v>
      </c>
      <c r="BR155" s="1" t="s">
        <v>102</v>
      </c>
      <c r="BS155" s="1" t="s">
        <v>3457</v>
      </c>
      <c r="BT155" s="1" t="str">
        <f>HYPERLINK("https%3A%2F%2Fwww.webofscience.com%2Fwos%2Fwoscc%2Ffull-record%2FWOS:000576896300001","View Full Record in Web of Science")</f>
        <v>View Full Record in Web of Science</v>
      </c>
    </row>
    <row r="156" ht="12.75" customHeight="1">
      <c r="A156" s="1" t="s">
        <v>72</v>
      </c>
      <c r="B156" s="1" t="s">
        <v>3458</v>
      </c>
      <c r="C156" s="1" t="s">
        <v>74</v>
      </c>
      <c r="D156" s="1" t="s">
        <v>74</v>
      </c>
      <c r="E156" s="1" t="s">
        <v>236</v>
      </c>
      <c r="F156" s="1" t="s">
        <v>3459</v>
      </c>
      <c r="G156" s="1" t="s">
        <v>74</v>
      </c>
      <c r="H156" s="1" t="s">
        <v>74</v>
      </c>
      <c r="I156" s="1" t="s">
        <v>3460</v>
      </c>
      <c r="J156" s="1" t="s">
        <v>3461</v>
      </c>
      <c r="K156" s="1" t="s">
        <v>3462</v>
      </c>
      <c r="L156" s="1" t="s">
        <v>74</v>
      </c>
      <c r="M156" s="1" t="s">
        <v>80</v>
      </c>
      <c r="N156" s="1" t="s">
        <v>81</v>
      </c>
      <c r="O156" s="1" t="s">
        <v>3463</v>
      </c>
      <c r="P156" s="1" t="s">
        <v>3464</v>
      </c>
      <c r="Q156" s="1" t="s">
        <v>667</v>
      </c>
      <c r="R156" s="1" t="s">
        <v>3465</v>
      </c>
      <c r="S156" s="1" t="s">
        <v>74</v>
      </c>
      <c r="T156" s="1" t="s">
        <v>3466</v>
      </c>
      <c r="U156" s="1" t="s">
        <v>74</v>
      </c>
      <c r="V156" s="1" t="s">
        <v>3467</v>
      </c>
      <c r="W156" s="1" t="s">
        <v>3468</v>
      </c>
      <c r="X156" s="1" t="s">
        <v>3469</v>
      </c>
      <c r="Y156" s="1" t="s">
        <v>3470</v>
      </c>
      <c r="Z156" s="1" t="s">
        <v>3471</v>
      </c>
      <c r="AA156" s="1" t="s">
        <v>74</v>
      </c>
      <c r="AB156" s="1" t="s">
        <v>74</v>
      </c>
      <c r="AC156" s="1" t="s">
        <v>3472</v>
      </c>
      <c r="AD156" s="1" t="s">
        <v>3473</v>
      </c>
      <c r="AE156" s="1" t="s">
        <v>3474</v>
      </c>
      <c r="AF156" s="1" t="s">
        <v>74</v>
      </c>
      <c r="AG156" s="1">
        <v>15.0</v>
      </c>
      <c r="AH156" s="1">
        <v>0.0</v>
      </c>
      <c r="AI156" s="1">
        <v>0.0</v>
      </c>
      <c r="AJ156" s="1">
        <v>5.0</v>
      </c>
      <c r="AK156" s="1">
        <v>34.0</v>
      </c>
      <c r="AL156" s="1" t="s">
        <v>236</v>
      </c>
      <c r="AM156" s="1" t="s">
        <v>193</v>
      </c>
      <c r="AN156" s="1" t="s">
        <v>252</v>
      </c>
      <c r="AO156" s="1" t="s">
        <v>3475</v>
      </c>
      <c r="AP156" s="1" t="s">
        <v>74</v>
      </c>
      <c r="AQ156" s="1" t="s">
        <v>3476</v>
      </c>
      <c r="AR156" s="1" t="s">
        <v>3477</v>
      </c>
      <c r="AS156" s="1" t="s">
        <v>74</v>
      </c>
      <c r="AT156" s="1" t="s">
        <v>74</v>
      </c>
      <c r="AU156" s="1">
        <v>2020.0</v>
      </c>
      <c r="AV156" s="1" t="s">
        <v>74</v>
      </c>
      <c r="AW156" s="1" t="s">
        <v>74</v>
      </c>
      <c r="AX156" s="1" t="s">
        <v>74</v>
      </c>
      <c r="AY156" s="1" t="s">
        <v>74</v>
      </c>
      <c r="AZ156" s="1" t="s">
        <v>74</v>
      </c>
      <c r="BA156" s="1" t="s">
        <v>74</v>
      </c>
      <c r="BB156" s="1">
        <v>886.0</v>
      </c>
      <c r="BC156" s="1">
        <v>890.0</v>
      </c>
      <c r="BD156" s="1" t="s">
        <v>74</v>
      </c>
      <c r="BE156" s="1" t="s">
        <v>74</v>
      </c>
      <c r="BF156" s="1" t="s">
        <v>74</v>
      </c>
      <c r="BG156" s="1" t="s">
        <v>74</v>
      </c>
      <c r="BH156" s="1" t="s">
        <v>74</v>
      </c>
      <c r="BI156" s="1">
        <v>5.0</v>
      </c>
      <c r="BJ156" s="1" t="s">
        <v>3478</v>
      </c>
      <c r="BK156" s="1" t="s">
        <v>128</v>
      </c>
      <c r="BL156" s="1" t="s">
        <v>1619</v>
      </c>
      <c r="BM156" s="1" t="s">
        <v>3479</v>
      </c>
      <c r="BN156" s="1" t="s">
        <v>74</v>
      </c>
      <c r="BO156" s="1" t="s">
        <v>74</v>
      </c>
      <c r="BP156" s="1" t="s">
        <v>74</v>
      </c>
      <c r="BQ156" s="1" t="s">
        <v>74</v>
      </c>
      <c r="BR156" s="1" t="s">
        <v>102</v>
      </c>
      <c r="BS156" s="1" t="s">
        <v>3480</v>
      </c>
      <c r="BT156" s="1" t="str">
        <f>HYPERLINK("https%3A%2F%2Fwww.webofscience.com%2Fwos%2Fwoscc%2Ffull-record%2FWOS:001058923200160","View Full Record in Web of Science")</f>
        <v>View Full Record in Web of Science</v>
      </c>
    </row>
    <row r="157" ht="12.75" customHeight="1">
      <c r="A157" s="1" t="s">
        <v>72</v>
      </c>
      <c r="B157" s="1" t="s">
        <v>3481</v>
      </c>
      <c r="C157" s="1" t="s">
        <v>74</v>
      </c>
      <c r="D157" s="1" t="s">
        <v>3482</v>
      </c>
      <c r="E157" s="1" t="s">
        <v>74</v>
      </c>
      <c r="F157" s="1" t="s">
        <v>3483</v>
      </c>
      <c r="G157" s="1" t="s">
        <v>74</v>
      </c>
      <c r="H157" s="1" t="s">
        <v>74</v>
      </c>
      <c r="I157" s="1" t="s">
        <v>3484</v>
      </c>
      <c r="J157" s="1" t="s">
        <v>3485</v>
      </c>
      <c r="K157" s="1" t="s">
        <v>2386</v>
      </c>
      <c r="L157" s="1" t="s">
        <v>74</v>
      </c>
      <c r="M157" s="1" t="s">
        <v>80</v>
      </c>
      <c r="N157" s="1" t="s">
        <v>81</v>
      </c>
      <c r="O157" s="1" t="s">
        <v>3486</v>
      </c>
      <c r="P157" s="1" t="s">
        <v>3487</v>
      </c>
      <c r="Q157" s="1" t="s">
        <v>3488</v>
      </c>
      <c r="R157" s="1" t="s">
        <v>3489</v>
      </c>
      <c r="S157" s="1" t="s">
        <v>74</v>
      </c>
      <c r="T157" s="1" t="s">
        <v>3490</v>
      </c>
      <c r="U157" s="1" t="s">
        <v>74</v>
      </c>
      <c r="V157" s="1" t="s">
        <v>3491</v>
      </c>
      <c r="W157" s="1" t="s">
        <v>3492</v>
      </c>
      <c r="X157" s="1" t="s">
        <v>3493</v>
      </c>
      <c r="Y157" s="1" t="s">
        <v>3494</v>
      </c>
      <c r="Z157" s="1" t="s">
        <v>3495</v>
      </c>
      <c r="AA157" s="1" t="s">
        <v>3496</v>
      </c>
      <c r="AB157" s="1" t="s">
        <v>3497</v>
      </c>
      <c r="AC157" s="1" t="s">
        <v>74</v>
      </c>
      <c r="AD157" s="1" t="s">
        <v>74</v>
      </c>
      <c r="AE157" s="1" t="s">
        <v>74</v>
      </c>
      <c r="AF157" s="1" t="s">
        <v>74</v>
      </c>
      <c r="AG157" s="1">
        <v>27.0</v>
      </c>
      <c r="AH157" s="1">
        <v>0.0</v>
      </c>
      <c r="AI157" s="1">
        <v>0.0</v>
      </c>
      <c r="AJ157" s="1">
        <v>6.0</v>
      </c>
      <c r="AK157" s="1">
        <v>6.0</v>
      </c>
      <c r="AL157" s="1" t="s">
        <v>223</v>
      </c>
      <c r="AM157" s="1" t="s">
        <v>224</v>
      </c>
      <c r="AN157" s="1" t="s">
        <v>225</v>
      </c>
      <c r="AO157" s="1" t="s">
        <v>2398</v>
      </c>
      <c r="AP157" s="1" t="s">
        <v>2399</v>
      </c>
      <c r="AQ157" s="1" t="s">
        <v>3498</v>
      </c>
      <c r="AR157" s="1" t="s">
        <v>2401</v>
      </c>
      <c r="AS157" s="1" t="s">
        <v>74</v>
      </c>
      <c r="AT157" s="1" t="s">
        <v>74</v>
      </c>
      <c r="AU157" s="1">
        <v>2024.0</v>
      </c>
      <c r="AV157" s="1">
        <v>996.0</v>
      </c>
      <c r="AW157" s="1" t="s">
        <v>74</v>
      </c>
      <c r="AX157" s="1" t="s">
        <v>74</v>
      </c>
      <c r="AY157" s="1" t="s">
        <v>74</v>
      </c>
      <c r="AZ157" s="1" t="s">
        <v>74</v>
      </c>
      <c r="BA157" s="1" t="s">
        <v>74</v>
      </c>
      <c r="BB157" s="1">
        <v>252.0</v>
      </c>
      <c r="BC157" s="1">
        <v>270.0</v>
      </c>
      <c r="BD157" s="1" t="s">
        <v>74</v>
      </c>
      <c r="BE157" s="1" t="s">
        <v>3499</v>
      </c>
      <c r="BF157" s="2" t="str">
        <f>HYPERLINK("http://dx.doi.org/10.1007/978-3-031-60549-9_20","http://dx.doi.org/10.1007/978-3-031-60549-9_20")</f>
        <v>http://dx.doi.org/10.1007/978-3-031-60549-9_20</v>
      </c>
      <c r="BG157" s="1" t="s">
        <v>74</v>
      </c>
      <c r="BH157" s="1" t="s">
        <v>74</v>
      </c>
      <c r="BI157" s="1">
        <v>19.0</v>
      </c>
      <c r="BJ157" s="1" t="s">
        <v>3500</v>
      </c>
      <c r="BK157" s="1" t="s">
        <v>405</v>
      </c>
      <c r="BL157" s="1" t="s">
        <v>3501</v>
      </c>
      <c r="BM157" s="1" t="s">
        <v>3502</v>
      </c>
      <c r="BN157" s="1" t="s">
        <v>74</v>
      </c>
      <c r="BO157" s="1" t="s">
        <v>74</v>
      </c>
      <c r="BP157" s="1" t="s">
        <v>74</v>
      </c>
      <c r="BQ157" s="1" t="s">
        <v>74</v>
      </c>
      <c r="BR157" s="1" t="s">
        <v>102</v>
      </c>
      <c r="BS157" s="1" t="s">
        <v>3503</v>
      </c>
      <c r="BT157" s="1" t="str">
        <f>HYPERLINK("https%3A%2F%2Fwww.webofscience.com%2Fwos%2Fwoscc%2Ffull-record%2FWOS:001291160000020","View Full Record in Web of Science")</f>
        <v>View Full Record in Web of Science</v>
      </c>
    </row>
    <row r="158" ht="12.75" customHeight="1">
      <c r="A158" s="1" t="s">
        <v>72</v>
      </c>
      <c r="B158" s="1" t="s">
        <v>3504</v>
      </c>
      <c r="C158" s="1" t="s">
        <v>74</v>
      </c>
      <c r="D158" s="1" t="s">
        <v>105</v>
      </c>
      <c r="E158" s="1" t="s">
        <v>74</v>
      </c>
      <c r="F158" s="1" t="s">
        <v>3505</v>
      </c>
      <c r="G158" s="1" t="s">
        <v>74</v>
      </c>
      <c r="H158" s="1" t="s">
        <v>74</v>
      </c>
      <c r="I158" s="1" t="s">
        <v>3506</v>
      </c>
      <c r="J158" s="1" t="s">
        <v>108</v>
      </c>
      <c r="K158" s="1" t="s">
        <v>74</v>
      </c>
      <c r="L158" s="1" t="s">
        <v>74</v>
      </c>
      <c r="M158" s="1" t="s">
        <v>80</v>
      </c>
      <c r="N158" s="1" t="s">
        <v>81</v>
      </c>
      <c r="O158" s="1" t="s">
        <v>109</v>
      </c>
      <c r="P158" s="1" t="s">
        <v>110</v>
      </c>
      <c r="Q158" s="1" t="s">
        <v>111</v>
      </c>
      <c r="R158" s="1" t="s">
        <v>112</v>
      </c>
      <c r="S158" s="1" t="s">
        <v>113</v>
      </c>
      <c r="T158" s="1" t="s">
        <v>3507</v>
      </c>
      <c r="U158" s="1" t="s">
        <v>74</v>
      </c>
      <c r="V158" s="1" t="s">
        <v>3508</v>
      </c>
      <c r="W158" s="1" t="s">
        <v>3509</v>
      </c>
      <c r="X158" s="1" t="s">
        <v>74</v>
      </c>
      <c r="Y158" s="1" t="s">
        <v>3510</v>
      </c>
      <c r="Z158" s="1" t="s">
        <v>3511</v>
      </c>
      <c r="AA158" s="1" t="s">
        <v>74</v>
      </c>
      <c r="AB158" s="1" t="s">
        <v>74</v>
      </c>
      <c r="AC158" s="1" t="s">
        <v>74</v>
      </c>
      <c r="AD158" s="1" t="s">
        <v>74</v>
      </c>
      <c r="AE158" s="1" t="s">
        <v>74</v>
      </c>
      <c r="AF158" s="1" t="s">
        <v>74</v>
      </c>
      <c r="AG158" s="1">
        <v>10.0</v>
      </c>
      <c r="AH158" s="1">
        <v>0.0</v>
      </c>
      <c r="AI158" s="1">
        <v>0.0</v>
      </c>
      <c r="AJ158" s="1">
        <v>1.0</v>
      </c>
      <c r="AK158" s="1">
        <v>5.0</v>
      </c>
      <c r="AL158" s="1" t="s">
        <v>122</v>
      </c>
      <c r="AM158" s="1" t="s">
        <v>123</v>
      </c>
      <c r="AN158" s="1" t="s">
        <v>124</v>
      </c>
      <c r="AO158" s="1" t="s">
        <v>74</v>
      </c>
      <c r="AP158" s="1" t="s">
        <v>74</v>
      </c>
      <c r="AQ158" s="1" t="s">
        <v>125</v>
      </c>
      <c r="AR158" s="1" t="s">
        <v>74</v>
      </c>
      <c r="AS158" s="1" t="s">
        <v>74</v>
      </c>
      <c r="AT158" s="1" t="s">
        <v>74</v>
      </c>
      <c r="AU158" s="1">
        <v>2021.0</v>
      </c>
      <c r="AV158" s="1" t="s">
        <v>74</v>
      </c>
      <c r="AW158" s="1" t="s">
        <v>74</v>
      </c>
      <c r="AX158" s="1" t="s">
        <v>74</v>
      </c>
      <c r="AY158" s="1" t="s">
        <v>74</v>
      </c>
      <c r="AZ158" s="1" t="s">
        <v>74</v>
      </c>
      <c r="BA158" s="1" t="s">
        <v>74</v>
      </c>
      <c r="BB158" s="1">
        <v>229.0</v>
      </c>
      <c r="BC158" s="1">
        <v>237.0</v>
      </c>
      <c r="BD158" s="1" t="s">
        <v>74</v>
      </c>
      <c r="BE158" s="1" t="s">
        <v>3512</v>
      </c>
      <c r="BF158" s="2" t="str">
        <f>HYPERLINK("http://dx.doi.org/10.34190/EAIR.21.040","http://dx.doi.org/10.34190/EAIR.21.040")</f>
        <v>http://dx.doi.org/10.34190/EAIR.21.040</v>
      </c>
      <c r="BG158" s="1" t="s">
        <v>74</v>
      </c>
      <c r="BH158" s="1" t="s">
        <v>74</v>
      </c>
      <c r="BI158" s="1">
        <v>9.0</v>
      </c>
      <c r="BJ158" s="1" t="s">
        <v>127</v>
      </c>
      <c r="BK158" s="1" t="s">
        <v>128</v>
      </c>
      <c r="BL158" s="1" t="s">
        <v>129</v>
      </c>
      <c r="BM158" s="1" t="s">
        <v>130</v>
      </c>
      <c r="BN158" s="1" t="s">
        <v>74</v>
      </c>
      <c r="BO158" s="1" t="s">
        <v>74</v>
      </c>
      <c r="BP158" s="1" t="s">
        <v>74</v>
      </c>
      <c r="BQ158" s="1" t="s">
        <v>74</v>
      </c>
      <c r="BR158" s="1" t="s">
        <v>102</v>
      </c>
      <c r="BS158" s="1" t="s">
        <v>3513</v>
      </c>
      <c r="BT158" s="1" t="str">
        <f>HYPERLINK("https%3A%2F%2Fwww.webofscience.com%2Fwos%2Fwoscc%2Ffull-record%2FWOS:000838033200029","View Full Record in Web of Science")</f>
        <v>View Full Record in Web of Science</v>
      </c>
    </row>
    <row r="159" ht="12.75" customHeight="1">
      <c r="A159" s="1" t="s">
        <v>132</v>
      </c>
      <c r="B159" s="1" t="s">
        <v>3514</v>
      </c>
      <c r="C159" s="1" t="s">
        <v>74</v>
      </c>
      <c r="D159" s="1" t="s">
        <v>74</v>
      </c>
      <c r="E159" s="1" t="s">
        <v>74</v>
      </c>
      <c r="F159" s="1" t="s">
        <v>3515</v>
      </c>
      <c r="G159" s="1" t="s">
        <v>74</v>
      </c>
      <c r="H159" s="1" t="s">
        <v>74</v>
      </c>
      <c r="I159" s="1" t="s">
        <v>3516</v>
      </c>
      <c r="J159" s="1" t="s">
        <v>3517</v>
      </c>
      <c r="K159" s="1" t="s">
        <v>74</v>
      </c>
      <c r="L159" s="1" t="s">
        <v>74</v>
      </c>
      <c r="M159" s="1" t="s">
        <v>80</v>
      </c>
      <c r="N159" s="1" t="s">
        <v>136</v>
      </c>
      <c r="O159" s="1" t="s">
        <v>74</v>
      </c>
      <c r="P159" s="1" t="s">
        <v>74</v>
      </c>
      <c r="Q159" s="1" t="s">
        <v>74</v>
      </c>
      <c r="R159" s="1" t="s">
        <v>74</v>
      </c>
      <c r="S159" s="1" t="s">
        <v>74</v>
      </c>
      <c r="T159" s="1" t="s">
        <v>3518</v>
      </c>
      <c r="U159" s="1" t="s">
        <v>3519</v>
      </c>
      <c r="V159" s="1" t="s">
        <v>3520</v>
      </c>
      <c r="W159" s="1" t="s">
        <v>3521</v>
      </c>
      <c r="X159" s="1" t="s">
        <v>3522</v>
      </c>
      <c r="Y159" s="1" t="s">
        <v>3523</v>
      </c>
      <c r="Z159" s="1" t="s">
        <v>3524</v>
      </c>
      <c r="AA159" s="1" t="s">
        <v>74</v>
      </c>
      <c r="AB159" s="1" t="s">
        <v>3525</v>
      </c>
      <c r="AC159" s="1" t="s">
        <v>74</v>
      </c>
      <c r="AD159" s="1" t="s">
        <v>74</v>
      </c>
      <c r="AE159" s="1" t="s">
        <v>74</v>
      </c>
      <c r="AF159" s="1" t="s">
        <v>74</v>
      </c>
      <c r="AG159" s="1">
        <v>73.0</v>
      </c>
      <c r="AH159" s="1">
        <v>0.0</v>
      </c>
      <c r="AI159" s="1">
        <v>0.0</v>
      </c>
      <c r="AJ159" s="1">
        <v>9.0</v>
      </c>
      <c r="AK159" s="1">
        <v>74.0</v>
      </c>
      <c r="AL159" s="1" t="s">
        <v>3526</v>
      </c>
      <c r="AM159" s="1" t="s">
        <v>3527</v>
      </c>
      <c r="AN159" s="1" t="s">
        <v>3528</v>
      </c>
      <c r="AO159" s="1" t="s">
        <v>3529</v>
      </c>
      <c r="AP159" s="1" t="s">
        <v>3530</v>
      </c>
      <c r="AQ159" s="1" t="s">
        <v>74</v>
      </c>
      <c r="AR159" s="1" t="s">
        <v>3531</v>
      </c>
      <c r="AS159" s="1" t="s">
        <v>3532</v>
      </c>
      <c r="AT159" s="1" t="s">
        <v>74</v>
      </c>
      <c r="AU159" s="1">
        <v>2021.0</v>
      </c>
      <c r="AV159" s="1">
        <v>64.0</v>
      </c>
      <c r="AW159" s="1">
        <v>1.0</v>
      </c>
      <c r="AX159" s="1" t="s">
        <v>74</v>
      </c>
      <c r="AY159" s="1" t="s">
        <v>74</v>
      </c>
      <c r="AZ159" s="1" t="s">
        <v>74</v>
      </c>
      <c r="BA159" s="1" t="s">
        <v>74</v>
      </c>
      <c r="BB159" s="1" t="s">
        <v>74</v>
      </c>
      <c r="BC159" s="1" t="s">
        <v>74</v>
      </c>
      <c r="BD159" s="1" t="s">
        <v>3533</v>
      </c>
      <c r="BE159" s="1" t="s">
        <v>3534</v>
      </c>
      <c r="BF159" s="2" t="str">
        <f>HYPERLINK("http://dx.doi.org/10.1590/0034-7329202100103","http://dx.doi.org/10.1590/0034-7329202100103")</f>
        <v>http://dx.doi.org/10.1590/0034-7329202100103</v>
      </c>
      <c r="BG159" s="1" t="s">
        <v>74</v>
      </c>
      <c r="BH159" s="1" t="s">
        <v>74</v>
      </c>
      <c r="BI159" s="1">
        <v>24.0</v>
      </c>
      <c r="BJ159" s="1" t="s">
        <v>3535</v>
      </c>
      <c r="BK159" s="1" t="s">
        <v>203</v>
      </c>
      <c r="BL159" s="1" t="s">
        <v>3536</v>
      </c>
      <c r="BM159" s="1" t="s">
        <v>3537</v>
      </c>
      <c r="BN159" s="1" t="s">
        <v>74</v>
      </c>
      <c r="BO159" s="1" t="s">
        <v>3538</v>
      </c>
      <c r="BP159" s="1" t="s">
        <v>74</v>
      </c>
      <c r="BQ159" s="1" t="s">
        <v>74</v>
      </c>
      <c r="BR159" s="1" t="s">
        <v>102</v>
      </c>
      <c r="BS159" s="1" t="s">
        <v>3539</v>
      </c>
      <c r="BT159" s="1" t="str">
        <f>HYPERLINK("https%3A%2F%2Fwww.webofscience.com%2Fwos%2Fwoscc%2Ffull-record%2FWOS:000651638100001","View Full Record in Web of Science")</f>
        <v>View Full Record in Web of Science</v>
      </c>
    </row>
    <row r="160" ht="12.75" customHeight="1">
      <c r="A160" s="1" t="s">
        <v>132</v>
      </c>
      <c r="B160" s="1" t="s">
        <v>3540</v>
      </c>
      <c r="C160" s="1" t="s">
        <v>74</v>
      </c>
      <c r="D160" s="1" t="s">
        <v>74</v>
      </c>
      <c r="E160" s="1" t="s">
        <v>74</v>
      </c>
      <c r="F160" s="1" t="s">
        <v>3541</v>
      </c>
      <c r="G160" s="1" t="s">
        <v>74</v>
      </c>
      <c r="H160" s="1" t="s">
        <v>74</v>
      </c>
      <c r="I160" s="1" t="s">
        <v>3542</v>
      </c>
      <c r="J160" s="1" t="s">
        <v>3543</v>
      </c>
      <c r="K160" s="1" t="s">
        <v>74</v>
      </c>
      <c r="L160" s="1" t="s">
        <v>74</v>
      </c>
      <c r="M160" s="1" t="s">
        <v>80</v>
      </c>
      <c r="N160" s="1" t="s">
        <v>136</v>
      </c>
      <c r="O160" s="1" t="s">
        <v>74</v>
      </c>
      <c r="P160" s="1" t="s">
        <v>74</v>
      </c>
      <c r="Q160" s="1" t="s">
        <v>74</v>
      </c>
      <c r="R160" s="1" t="s">
        <v>74</v>
      </c>
      <c r="S160" s="1" t="s">
        <v>74</v>
      </c>
      <c r="T160" s="1" t="s">
        <v>3544</v>
      </c>
      <c r="U160" s="1" t="s">
        <v>74</v>
      </c>
      <c r="V160" s="1" t="s">
        <v>3545</v>
      </c>
      <c r="W160" s="1" t="s">
        <v>3546</v>
      </c>
      <c r="X160" s="1" t="s">
        <v>3547</v>
      </c>
      <c r="Y160" s="1" t="s">
        <v>3548</v>
      </c>
      <c r="Z160" s="1" t="s">
        <v>3549</v>
      </c>
      <c r="AA160" s="1" t="s">
        <v>74</v>
      </c>
      <c r="AB160" s="1" t="s">
        <v>3550</v>
      </c>
      <c r="AC160" s="1" t="s">
        <v>74</v>
      </c>
      <c r="AD160" s="1" t="s">
        <v>74</v>
      </c>
      <c r="AE160" s="1" t="s">
        <v>74</v>
      </c>
      <c r="AF160" s="1" t="s">
        <v>74</v>
      </c>
      <c r="AG160" s="1">
        <v>13.0</v>
      </c>
      <c r="AH160" s="1">
        <v>2.0</v>
      </c>
      <c r="AI160" s="1">
        <v>2.0</v>
      </c>
      <c r="AJ160" s="1">
        <v>3.0</v>
      </c>
      <c r="AK160" s="1">
        <v>3.0</v>
      </c>
      <c r="AL160" s="1" t="s">
        <v>3551</v>
      </c>
      <c r="AM160" s="1" t="s">
        <v>193</v>
      </c>
      <c r="AN160" s="1" t="s">
        <v>3552</v>
      </c>
      <c r="AO160" s="1" t="s">
        <v>3553</v>
      </c>
      <c r="AP160" s="1" t="s">
        <v>3554</v>
      </c>
      <c r="AQ160" s="1" t="s">
        <v>74</v>
      </c>
      <c r="AR160" s="1" t="s">
        <v>3555</v>
      </c>
      <c r="AS160" s="1" t="s">
        <v>3556</v>
      </c>
      <c r="AT160" s="1" t="s">
        <v>199</v>
      </c>
      <c r="AU160" s="1">
        <v>2024.0</v>
      </c>
      <c r="AV160" s="1">
        <v>31.0</v>
      </c>
      <c r="AW160" s="1">
        <v>11.0</v>
      </c>
      <c r="AX160" s="1" t="s">
        <v>74</v>
      </c>
      <c r="AY160" s="1" t="s">
        <v>74</v>
      </c>
      <c r="AZ160" s="1" t="s">
        <v>74</v>
      </c>
      <c r="BA160" s="1" t="s">
        <v>74</v>
      </c>
      <c r="BB160" s="1">
        <v>4709.0</v>
      </c>
      <c r="BC160" s="1">
        <v>4714.0</v>
      </c>
      <c r="BD160" s="1" t="s">
        <v>74</v>
      </c>
      <c r="BE160" s="1" t="s">
        <v>3557</v>
      </c>
      <c r="BF160" s="2" t="str">
        <f>HYPERLINK("http://dx.doi.org/10.1016/j.acra.2024.05.041","http://dx.doi.org/10.1016/j.acra.2024.05.041")</f>
        <v>http://dx.doi.org/10.1016/j.acra.2024.05.041</v>
      </c>
      <c r="BG160" s="1" t="s">
        <v>74</v>
      </c>
      <c r="BH160" s="1" t="s">
        <v>2753</v>
      </c>
      <c r="BI160" s="1">
        <v>6.0</v>
      </c>
      <c r="BJ160" s="1" t="s">
        <v>656</v>
      </c>
      <c r="BK160" s="1" t="s">
        <v>149</v>
      </c>
      <c r="BL160" s="1" t="s">
        <v>656</v>
      </c>
      <c r="BM160" s="1" t="s">
        <v>3558</v>
      </c>
      <c r="BN160" s="1">
        <v>3.8906781E7</v>
      </c>
      <c r="BO160" s="1" t="s">
        <v>74</v>
      </c>
      <c r="BP160" s="1" t="s">
        <v>74</v>
      </c>
      <c r="BQ160" s="1" t="s">
        <v>74</v>
      </c>
      <c r="BR160" s="1" t="s">
        <v>102</v>
      </c>
      <c r="BS160" s="1" t="s">
        <v>3559</v>
      </c>
      <c r="BT160" s="1" t="str">
        <f>HYPERLINK("https%3A%2F%2Fwww.webofscience.com%2Fwos%2Fwoscc%2Ffull-record%2FWOS:001347171300001","View Full Record in Web of Science")</f>
        <v>View Full Record in Web of Science</v>
      </c>
    </row>
    <row r="161" ht="12.75" customHeight="1">
      <c r="A161" s="1" t="s">
        <v>72</v>
      </c>
      <c r="B161" s="1" t="s">
        <v>3560</v>
      </c>
      <c r="C161" s="1" t="s">
        <v>74</v>
      </c>
      <c r="D161" s="1" t="s">
        <v>74</v>
      </c>
      <c r="E161" s="1" t="s">
        <v>3561</v>
      </c>
      <c r="F161" s="1" t="s">
        <v>3562</v>
      </c>
      <c r="G161" s="1" t="s">
        <v>74</v>
      </c>
      <c r="H161" s="1" t="s">
        <v>74</v>
      </c>
      <c r="I161" s="1" t="s">
        <v>3563</v>
      </c>
      <c r="J161" s="1" t="s">
        <v>3564</v>
      </c>
      <c r="K161" s="1" t="s">
        <v>74</v>
      </c>
      <c r="L161" s="1" t="s">
        <v>74</v>
      </c>
      <c r="M161" s="1" t="s">
        <v>80</v>
      </c>
      <c r="N161" s="1" t="s">
        <v>81</v>
      </c>
      <c r="O161" s="1" t="s">
        <v>3565</v>
      </c>
      <c r="P161" s="1" t="s">
        <v>3566</v>
      </c>
      <c r="Q161" s="1" t="s">
        <v>3567</v>
      </c>
      <c r="R161" s="1" t="s">
        <v>3568</v>
      </c>
      <c r="S161" s="1" t="s">
        <v>74</v>
      </c>
      <c r="T161" s="1" t="s">
        <v>3569</v>
      </c>
      <c r="U161" s="1" t="s">
        <v>74</v>
      </c>
      <c r="V161" s="1" t="s">
        <v>3570</v>
      </c>
      <c r="W161" s="1" t="s">
        <v>3571</v>
      </c>
      <c r="X161" s="1" t="s">
        <v>705</v>
      </c>
      <c r="Y161" s="1" t="s">
        <v>3572</v>
      </c>
      <c r="Z161" s="1" t="s">
        <v>74</v>
      </c>
      <c r="AA161" s="1" t="s">
        <v>74</v>
      </c>
      <c r="AB161" s="1" t="s">
        <v>74</v>
      </c>
      <c r="AC161" s="1" t="s">
        <v>74</v>
      </c>
      <c r="AD161" s="1" t="s">
        <v>74</v>
      </c>
      <c r="AE161" s="1" t="s">
        <v>74</v>
      </c>
      <c r="AF161" s="1" t="s">
        <v>74</v>
      </c>
      <c r="AG161" s="1">
        <v>39.0</v>
      </c>
      <c r="AH161" s="1">
        <v>1.0</v>
      </c>
      <c r="AI161" s="1">
        <v>1.0</v>
      </c>
      <c r="AJ161" s="1">
        <v>10.0</v>
      </c>
      <c r="AK161" s="1">
        <v>51.0</v>
      </c>
      <c r="AL161" s="1" t="s">
        <v>3573</v>
      </c>
      <c r="AM161" s="1" t="s">
        <v>3574</v>
      </c>
      <c r="AN161" s="1" t="s">
        <v>3575</v>
      </c>
      <c r="AO161" s="1" t="s">
        <v>74</v>
      </c>
      <c r="AP161" s="1" t="s">
        <v>74</v>
      </c>
      <c r="AQ161" s="1" t="s">
        <v>3576</v>
      </c>
      <c r="AR161" s="1" t="s">
        <v>74</v>
      </c>
      <c r="AS161" s="1" t="s">
        <v>74</v>
      </c>
      <c r="AT161" s="1" t="s">
        <v>74</v>
      </c>
      <c r="AU161" s="1">
        <v>2019.0</v>
      </c>
      <c r="AV161" s="1" t="s">
        <v>74</v>
      </c>
      <c r="AW161" s="1" t="s">
        <v>74</v>
      </c>
      <c r="AX161" s="1" t="s">
        <v>74</v>
      </c>
      <c r="AY161" s="1" t="s">
        <v>74</v>
      </c>
      <c r="AZ161" s="1" t="s">
        <v>74</v>
      </c>
      <c r="BA161" s="1" t="s">
        <v>74</v>
      </c>
      <c r="BB161" s="1">
        <v>141.0</v>
      </c>
      <c r="BC161" s="1">
        <v>148.0</v>
      </c>
      <c r="BD161" s="1" t="s">
        <v>74</v>
      </c>
      <c r="BE161" s="1" t="s">
        <v>74</v>
      </c>
      <c r="BF161" s="1" t="s">
        <v>74</v>
      </c>
      <c r="BG161" s="1" t="s">
        <v>74</v>
      </c>
      <c r="BH161" s="1" t="s">
        <v>74</v>
      </c>
      <c r="BI161" s="1">
        <v>8.0</v>
      </c>
      <c r="BJ161" s="1" t="s">
        <v>171</v>
      </c>
      <c r="BK161" s="1" t="s">
        <v>99</v>
      </c>
      <c r="BL161" s="1" t="s">
        <v>171</v>
      </c>
      <c r="BM161" s="1" t="s">
        <v>3577</v>
      </c>
      <c r="BN161" s="1" t="s">
        <v>74</v>
      </c>
      <c r="BO161" s="1" t="s">
        <v>74</v>
      </c>
      <c r="BP161" s="1" t="s">
        <v>74</v>
      </c>
      <c r="BQ161" s="1" t="s">
        <v>74</v>
      </c>
      <c r="BR161" s="1" t="s">
        <v>102</v>
      </c>
      <c r="BS161" s="1" t="s">
        <v>3578</v>
      </c>
      <c r="BT161" s="1" t="str">
        <f>HYPERLINK("https%3A%2F%2Fwww.webofscience.com%2Fwos%2Fwoscc%2Ffull-record%2FWOS:000494943300022","View Full Record in Web of Science")</f>
        <v>View Full Record in Web of Science</v>
      </c>
    </row>
    <row r="162" ht="12.75" customHeight="1">
      <c r="A162" s="1" t="s">
        <v>132</v>
      </c>
      <c r="B162" s="1" t="s">
        <v>3579</v>
      </c>
      <c r="C162" s="1" t="s">
        <v>74</v>
      </c>
      <c r="D162" s="1" t="s">
        <v>74</v>
      </c>
      <c r="E162" s="1" t="s">
        <v>74</v>
      </c>
      <c r="F162" s="1" t="s">
        <v>3580</v>
      </c>
      <c r="G162" s="1" t="s">
        <v>74</v>
      </c>
      <c r="H162" s="1" t="s">
        <v>74</v>
      </c>
      <c r="I162" s="1" t="s">
        <v>3581</v>
      </c>
      <c r="J162" s="1" t="s">
        <v>217</v>
      </c>
      <c r="K162" s="1" t="s">
        <v>74</v>
      </c>
      <c r="L162" s="1" t="s">
        <v>74</v>
      </c>
      <c r="M162" s="1" t="s">
        <v>80</v>
      </c>
      <c r="N162" s="1" t="s">
        <v>136</v>
      </c>
      <c r="O162" s="1" t="s">
        <v>74</v>
      </c>
      <c r="P162" s="1" t="s">
        <v>74</v>
      </c>
      <c r="Q162" s="1" t="s">
        <v>74</v>
      </c>
      <c r="R162" s="1" t="s">
        <v>74</v>
      </c>
      <c r="S162" s="1" t="s">
        <v>74</v>
      </c>
      <c r="T162" s="1" t="s">
        <v>3582</v>
      </c>
      <c r="U162" s="1" t="s">
        <v>74</v>
      </c>
      <c r="V162" s="1" t="s">
        <v>3583</v>
      </c>
      <c r="W162" s="1" t="s">
        <v>3584</v>
      </c>
      <c r="X162" s="1" t="s">
        <v>3585</v>
      </c>
      <c r="Y162" s="1" t="s">
        <v>3586</v>
      </c>
      <c r="Z162" s="1" t="s">
        <v>3587</v>
      </c>
      <c r="AA162" s="1" t="s">
        <v>74</v>
      </c>
      <c r="AB162" s="1" t="s">
        <v>3588</v>
      </c>
      <c r="AC162" s="1" t="s">
        <v>74</v>
      </c>
      <c r="AD162" s="1" t="s">
        <v>74</v>
      </c>
      <c r="AE162" s="1" t="s">
        <v>74</v>
      </c>
      <c r="AF162" s="1" t="s">
        <v>74</v>
      </c>
      <c r="AG162" s="1">
        <v>37.0</v>
      </c>
      <c r="AH162" s="1">
        <v>9.0</v>
      </c>
      <c r="AI162" s="1">
        <v>9.0</v>
      </c>
      <c r="AJ162" s="1">
        <v>6.0</v>
      </c>
      <c r="AK162" s="1">
        <v>18.0</v>
      </c>
      <c r="AL162" s="1" t="s">
        <v>1970</v>
      </c>
      <c r="AM162" s="1" t="s">
        <v>1658</v>
      </c>
      <c r="AN162" s="1" t="s">
        <v>1971</v>
      </c>
      <c r="AO162" s="1" t="s">
        <v>74</v>
      </c>
      <c r="AP162" s="1" t="s">
        <v>3589</v>
      </c>
      <c r="AQ162" s="1" t="s">
        <v>74</v>
      </c>
      <c r="AR162" s="1" t="s">
        <v>3590</v>
      </c>
      <c r="AS162" s="1" t="s">
        <v>217</v>
      </c>
      <c r="AT162" s="1" t="s">
        <v>328</v>
      </c>
      <c r="AU162" s="1">
        <v>2020.0</v>
      </c>
      <c r="AV162" s="1">
        <v>1.0</v>
      </c>
      <c r="AW162" s="1">
        <v>2.0</v>
      </c>
      <c r="AX162" s="1" t="s">
        <v>74</v>
      </c>
      <c r="AY162" s="1" t="s">
        <v>74</v>
      </c>
      <c r="AZ162" s="1" t="s">
        <v>74</v>
      </c>
      <c r="BA162" s="1" t="s">
        <v>74</v>
      </c>
      <c r="BB162" s="1" t="s">
        <v>74</v>
      </c>
      <c r="BC162" s="1" t="s">
        <v>74</v>
      </c>
      <c r="BD162" s="1">
        <v>12.0</v>
      </c>
      <c r="BE162" s="1" t="s">
        <v>3591</v>
      </c>
      <c r="BF162" s="2" t="str">
        <f>HYPERLINK("http://dx.doi.org/10.3390/ai1020012","http://dx.doi.org/10.3390/ai1020012")</f>
        <v>http://dx.doi.org/10.3390/ai1020012</v>
      </c>
      <c r="BG162" s="1" t="s">
        <v>74</v>
      </c>
      <c r="BH162" s="1" t="s">
        <v>74</v>
      </c>
      <c r="BI162" s="1">
        <v>6.0</v>
      </c>
      <c r="BJ162" s="1" t="s">
        <v>257</v>
      </c>
      <c r="BK162" s="1" t="s">
        <v>172</v>
      </c>
      <c r="BL162" s="1" t="s">
        <v>232</v>
      </c>
      <c r="BM162" s="1" t="s">
        <v>3592</v>
      </c>
      <c r="BN162" s="1" t="s">
        <v>74</v>
      </c>
      <c r="BO162" s="1" t="s">
        <v>174</v>
      </c>
      <c r="BP162" s="1" t="s">
        <v>74</v>
      </c>
      <c r="BQ162" s="1" t="s">
        <v>74</v>
      </c>
      <c r="BR162" s="1" t="s">
        <v>102</v>
      </c>
      <c r="BS162" s="1" t="s">
        <v>3593</v>
      </c>
      <c r="BT162" s="1" t="str">
        <f>HYPERLINK("https%3A%2F%2Fwww.webofscience.com%2Fwos%2Fwoscc%2Ffull-record%2FWOS:001002955000001","View Full Record in Web of Science")</f>
        <v>View Full Record in Web of Science</v>
      </c>
    </row>
    <row r="163" ht="12.75" customHeight="1">
      <c r="A163" s="1" t="s">
        <v>132</v>
      </c>
      <c r="B163" s="1" t="s">
        <v>3594</v>
      </c>
      <c r="C163" s="1" t="s">
        <v>74</v>
      </c>
      <c r="D163" s="1" t="s">
        <v>74</v>
      </c>
      <c r="E163" s="1" t="s">
        <v>74</v>
      </c>
      <c r="F163" s="1" t="s">
        <v>3595</v>
      </c>
      <c r="G163" s="1" t="s">
        <v>74</v>
      </c>
      <c r="H163" s="1" t="s">
        <v>74</v>
      </c>
      <c r="I163" s="1" t="s">
        <v>3596</v>
      </c>
      <c r="J163" s="1" t="s">
        <v>3597</v>
      </c>
      <c r="K163" s="1" t="s">
        <v>74</v>
      </c>
      <c r="L163" s="1" t="s">
        <v>74</v>
      </c>
      <c r="M163" s="1" t="s">
        <v>80</v>
      </c>
      <c r="N163" s="1" t="s">
        <v>338</v>
      </c>
      <c r="O163" s="1" t="s">
        <v>74</v>
      </c>
      <c r="P163" s="1" t="s">
        <v>74</v>
      </c>
      <c r="Q163" s="1" t="s">
        <v>74</v>
      </c>
      <c r="R163" s="1" t="s">
        <v>74</v>
      </c>
      <c r="S163" s="1" t="s">
        <v>74</v>
      </c>
      <c r="T163" s="1" t="s">
        <v>3598</v>
      </c>
      <c r="U163" s="1" t="s">
        <v>3599</v>
      </c>
      <c r="V163" s="1" t="s">
        <v>3600</v>
      </c>
      <c r="W163" s="1" t="s">
        <v>3601</v>
      </c>
      <c r="X163" s="1" t="s">
        <v>3602</v>
      </c>
      <c r="Y163" s="1" t="s">
        <v>3603</v>
      </c>
      <c r="Z163" s="1" t="s">
        <v>3604</v>
      </c>
      <c r="AA163" s="1" t="s">
        <v>74</v>
      </c>
      <c r="AB163" s="1" t="s">
        <v>74</v>
      </c>
      <c r="AC163" s="1" t="s">
        <v>74</v>
      </c>
      <c r="AD163" s="1" t="s">
        <v>74</v>
      </c>
      <c r="AE163" s="1" t="s">
        <v>74</v>
      </c>
      <c r="AF163" s="1" t="s">
        <v>74</v>
      </c>
      <c r="AG163" s="1">
        <v>113.0</v>
      </c>
      <c r="AH163" s="1">
        <v>0.0</v>
      </c>
      <c r="AI163" s="1">
        <v>0.0</v>
      </c>
      <c r="AJ163" s="1">
        <v>9.0</v>
      </c>
      <c r="AK163" s="1">
        <v>9.0</v>
      </c>
      <c r="AL163" s="1" t="s">
        <v>192</v>
      </c>
      <c r="AM163" s="1" t="s">
        <v>864</v>
      </c>
      <c r="AN163" s="1" t="s">
        <v>865</v>
      </c>
      <c r="AO163" s="1" t="s">
        <v>3605</v>
      </c>
      <c r="AP163" s="1" t="s">
        <v>3606</v>
      </c>
      <c r="AQ163" s="1" t="s">
        <v>74</v>
      </c>
      <c r="AR163" s="1" t="s">
        <v>3607</v>
      </c>
      <c r="AS163" s="1" t="s">
        <v>3608</v>
      </c>
      <c r="AT163" s="1" t="s">
        <v>3609</v>
      </c>
      <c r="AU163" s="1">
        <v>2024.0</v>
      </c>
      <c r="AV163" s="1" t="s">
        <v>74</v>
      </c>
      <c r="AW163" s="1" t="s">
        <v>74</v>
      </c>
      <c r="AX163" s="1" t="s">
        <v>74</v>
      </c>
      <c r="AY163" s="1" t="s">
        <v>74</v>
      </c>
      <c r="AZ163" s="1" t="s">
        <v>74</v>
      </c>
      <c r="BA163" s="1" t="s">
        <v>74</v>
      </c>
      <c r="BB163" s="1" t="s">
        <v>74</v>
      </c>
      <c r="BC163" s="1" t="s">
        <v>74</v>
      </c>
      <c r="BD163" s="1" t="s">
        <v>74</v>
      </c>
      <c r="BE163" s="1" t="s">
        <v>3610</v>
      </c>
      <c r="BF163" s="2" t="str">
        <f>HYPERLINK("http://dx.doi.org/10.1007/s10668-024-05528-y","http://dx.doi.org/10.1007/s10668-024-05528-y")</f>
        <v>http://dx.doi.org/10.1007/s10668-024-05528-y</v>
      </c>
      <c r="BG163" s="1" t="s">
        <v>74</v>
      </c>
      <c r="BH163" s="1" t="s">
        <v>2753</v>
      </c>
      <c r="BI163" s="1">
        <v>29.0</v>
      </c>
      <c r="BJ163" s="1" t="s">
        <v>3611</v>
      </c>
      <c r="BK163" s="1" t="s">
        <v>149</v>
      </c>
      <c r="BL163" s="1" t="s">
        <v>3612</v>
      </c>
      <c r="BM163" s="1" t="s">
        <v>3613</v>
      </c>
      <c r="BN163" s="1" t="s">
        <v>74</v>
      </c>
      <c r="BO163" s="1" t="s">
        <v>74</v>
      </c>
      <c r="BP163" s="1" t="s">
        <v>74</v>
      </c>
      <c r="BQ163" s="1" t="s">
        <v>74</v>
      </c>
      <c r="BR163" s="1" t="s">
        <v>102</v>
      </c>
      <c r="BS163" s="1" t="s">
        <v>3614</v>
      </c>
      <c r="BT163" s="1" t="str">
        <f>HYPERLINK("https%3A%2F%2Fwww.webofscience.com%2Fwos%2Fwoscc%2Ffull-record%2FWOS:001330388900004","View Full Record in Web of Science")</f>
        <v>View Full Record in Web of Science</v>
      </c>
    </row>
    <row r="164" ht="12.75" customHeight="1">
      <c r="A164" s="1" t="s">
        <v>72</v>
      </c>
      <c r="B164" s="1" t="s">
        <v>3615</v>
      </c>
      <c r="C164" s="1" t="s">
        <v>74</v>
      </c>
      <c r="D164" s="1" t="s">
        <v>3616</v>
      </c>
      <c r="E164" s="1" t="s">
        <v>74</v>
      </c>
      <c r="F164" s="1" t="s">
        <v>3617</v>
      </c>
      <c r="G164" s="1" t="s">
        <v>74</v>
      </c>
      <c r="H164" s="1" t="s">
        <v>74</v>
      </c>
      <c r="I164" s="1" t="s">
        <v>3618</v>
      </c>
      <c r="J164" s="1" t="s">
        <v>3619</v>
      </c>
      <c r="K164" s="1" t="s">
        <v>2386</v>
      </c>
      <c r="L164" s="1" t="s">
        <v>74</v>
      </c>
      <c r="M164" s="1" t="s">
        <v>80</v>
      </c>
      <c r="N164" s="1" t="s">
        <v>81</v>
      </c>
      <c r="O164" s="1" t="s">
        <v>3620</v>
      </c>
      <c r="P164" s="1" t="s">
        <v>792</v>
      </c>
      <c r="Q164" s="1" t="s">
        <v>3621</v>
      </c>
      <c r="R164" s="1" t="s">
        <v>74</v>
      </c>
      <c r="S164" s="1" t="s">
        <v>74</v>
      </c>
      <c r="T164" s="1" t="s">
        <v>3622</v>
      </c>
      <c r="U164" s="1" t="s">
        <v>3623</v>
      </c>
      <c r="V164" s="1" t="s">
        <v>3624</v>
      </c>
      <c r="W164" s="1" t="s">
        <v>3625</v>
      </c>
      <c r="X164" s="1" t="s">
        <v>3626</v>
      </c>
      <c r="Y164" s="1" t="s">
        <v>3627</v>
      </c>
      <c r="Z164" s="1" t="s">
        <v>3628</v>
      </c>
      <c r="AA164" s="1" t="s">
        <v>3629</v>
      </c>
      <c r="AB164" s="1" t="s">
        <v>3630</v>
      </c>
      <c r="AC164" s="1" t="s">
        <v>74</v>
      </c>
      <c r="AD164" s="1" t="s">
        <v>74</v>
      </c>
      <c r="AE164" s="1" t="s">
        <v>74</v>
      </c>
      <c r="AF164" s="1" t="s">
        <v>74</v>
      </c>
      <c r="AG164" s="1">
        <v>13.0</v>
      </c>
      <c r="AH164" s="1">
        <v>0.0</v>
      </c>
      <c r="AI164" s="1">
        <v>0.0</v>
      </c>
      <c r="AJ164" s="1">
        <v>7.0</v>
      </c>
      <c r="AK164" s="1">
        <v>23.0</v>
      </c>
      <c r="AL164" s="1" t="s">
        <v>223</v>
      </c>
      <c r="AM164" s="1" t="s">
        <v>224</v>
      </c>
      <c r="AN164" s="1" t="s">
        <v>225</v>
      </c>
      <c r="AO164" s="1" t="s">
        <v>2398</v>
      </c>
      <c r="AP164" s="1" t="s">
        <v>2399</v>
      </c>
      <c r="AQ164" s="1" t="s">
        <v>3631</v>
      </c>
      <c r="AR164" s="1" t="s">
        <v>2401</v>
      </c>
      <c r="AS164" s="1" t="s">
        <v>74</v>
      </c>
      <c r="AT164" s="1" t="s">
        <v>74</v>
      </c>
      <c r="AU164" s="1">
        <v>2022.0</v>
      </c>
      <c r="AV164" s="1">
        <v>504.0</v>
      </c>
      <c r="AW164" s="1" t="s">
        <v>74</v>
      </c>
      <c r="AX164" s="1" t="s">
        <v>74</v>
      </c>
      <c r="AY164" s="1" t="s">
        <v>74</v>
      </c>
      <c r="AZ164" s="1" t="s">
        <v>74</v>
      </c>
      <c r="BA164" s="1" t="s">
        <v>74</v>
      </c>
      <c r="BB164" s="1">
        <v>831.0</v>
      </c>
      <c r="BC164" s="1">
        <v>838.0</v>
      </c>
      <c r="BD164" s="1" t="s">
        <v>74</v>
      </c>
      <c r="BE164" s="1" t="s">
        <v>3632</v>
      </c>
      <c r="BF164" s="2" t="str">
        <f>HYPERLINK("http://dx.doi.org/10.1007/978-3-031-09173-5_95","http://dx.doi.org/10.1007/978-3-031-09173-5_95")</f>
        <v>http://dx.doi.org/10.1007/978-3-031-09173-5_95</v>
      </c>
      <c r="BG164" s="1" t="s">
        <v>74</v>
      </c>
      <c r="BH164" s="1" t="s">
        <v>74</v>
      </c>
      <c r="BI164" s="1">
        <v>8.0</v>
      </c>
      <c r="BJ164" s="1" t="s">
        <v>257</v>
      </c>
      <c r="BK164" s="1" t="s">
        <v>128</v>
      </c>
      <c r="BL164" s="1" t="s">
        <v>232</v>
      </c>
      <c r="BM164" s="1" t="s">
        <v>3633</v>
      </c>
      <c r="BN164" s="1" t="s">
        <v>74</v>
      </c>
      <c r="BO164" s="1" t="s">
        <v>74</v>
      </c>
      <c r="BP164" s="1" t="s">
        <v>74</v>
      </c>
      <c r="BQ164" s="1" t="s">
        <v>74</v>
      </c>
      <c r="BR164" s="1" t="s">
        <v>102</v>
      </c>
      <c r="BS164" s="1" t="s">
        <v>3634</v>
      </c>
      <c r="BT164" s="1" t="str">
        <f>HYPERLINK("https%3A%2F%2Fwww.webofscience.com%2Fwos%2Fwoscc%2Ffull-record%2FWOS:000889380800095","View Full Record in Web of Science")</f>
        <v>View Full Record in Web of Science</v>
      </c>
    </row>
    <row r="165" ht="12.75" customHeight="1">
      <c r="A165" s="1" t="s">
        <v>132</v>
      </c>
      <c r="B165" s="1" t="s">
        <v>3635</v>
      </c>
      <c r="C165" s="1" t="s">
        <v>74</v>
      </c>
      <c r="D165" s="1" t="s">
        <v>74</v>
      </c>
      <c r="E165" s="1" t="s">
        <v>74</v>
      </c>
      <c r="F165" s="1" t="s">
        <v>3636</v>
      </c>
      <c r="G165" s="1" t="s">
        <v>74</v>
      </c>
      <c r="H165" s="1" t="s">
        <v>74</v>
      </c>
      <c r="I165" s="1" t="s">
        <v>3637</v>
      </c>
      <c r="J165" s="1" t="s">
        <v>3638</v>
      </c>
      <c r="K165" s="1" t="s">
        <v>74</v>
      </c>
      <c r="L165" s="1" t="s">
        <v>74</v>
      </c>
      <c r="M165" s="1" t="s">
        <v>638</v>
      </c>
      <c r="N165" s="1" t="s">
        <v>136</v>
      </c>
      <c r="O165" s="1" t="s">
        <v>74</v>
      </c>
      <c r="P165" s="1" t="s">
        <v>74</v>
      </c>
      <c r="Q165" s="1" t="s">
        <v>74</v>
      </c>
      <c r="R165" s="1" t="s">
        <v>74</v>
      </c>
      <c r="S165" s="1" t="s">
        <v>74</v>
      </c>
      <c r="T165" s="1" t="s">
        <v>3639</v>
      </c>
      <c r="U165" s="1" t="s">
        <v>74</v>
      </c>
      <c r="V165" s="1" t="s">
        <v>3640</v>
      </c>
      <c r="W165" s="1" t="s">
        <v>3641</v>
      </c>
      <c r="X165" s="1" t="s">
        <v>74</v>
      </c>
      <c r="Y165" s="1" t="s">
        <v>3642</v>
      </c>
      <c r="Z165" s="1" t="s">
        <v>3643</v>
      </c>
      <c r="AA165" s="1" t="s">
        <v>74</v>
      </c>
      <c r="AB165" s="1" t="s">
        <v>74</v>
      </c>
      <c r="AC165" s="1" t="s">
        <v>74</v>
      </c>
      <c r="AD165" s="1" t="s">
        <v>74</v>
      </c>
      <c r="AE165" s="1" t="s">
        <v>74</v>
      </c>
      <c r="AF165" s="1" t="s">
        <v>74</v>
      </c>
      <c r="AG165" s="1">
        <v>12.0</v>
      </c>
      <c r="AH165" s="1">
        <v>0.0</v>
      </c>
      <c r="AI165" s="1">
        <v>0.0</v>
      </c>
      <c r="AJ165" s="1">
        <v>2.0</v>
      </c>
      <c r="AK165" s="1">
        <v>2.0</v>
      </c>
      <c r="AL165" s="1" t="s">
        <v>972</v>
      </c>
      <c r="AM165" s="1" t="s">
        <v>973</v>
      </c>
      <c r="AN165" s="1" t="s">
        <v>974</v>
      </c>
      <c r="AO165" s="1" t="s">
        <v>3644</v>
      </c>
      <c r="AP165" s="1" t="s">
        <v>74</v>
      </c>
      <c r="AQ165" s="1" t="s">
        <v>74</v>
      </c>
      <c r="AR165" s="1" t="s">
        <v>3645</v>
      </c>
      <c r="AS165" s="1" t="s">
        <v>3646</v>
      </c>
      <c r="AT165" s="1" t="s">
        <v>3647</v>
      </c>
      <c r="AU165" s="1">
        <v>2025.0</v>
      </c>
      <c r="AV165" s="1">
        <v>22.0</v>
      </c>
      <c r="AW165" s="1">
        <v>1.0</v>
      </c>
      <c r="AX165" s="1" t="s">
        <v>74</v>
      </c>
      <c r="AY165" s="1" t="s">
        <v>74</v>
      </c>
      <c r="AZ165" s="1" t="s">
        <v>74</v>
      </c>
      <c r="BA165" s="1" t="s">
        <v>74</v>
      </c>
      <c r="BB165" s="1">
        <v>239.0</v>
      </c>
      <c r="BC165" s="1">
        <v>254.0</v>
      </c>
      <c r="BD165" s="1" t="s">
        <v>74</v>
      </c>
      <c r="BE165" s="1" t="s">
        <v>74</v>
      </c>
      <c r="BF165" s="1" t="s">
        <v>74</v>
      </c>
      <c r="BG165" s="1" t="s">
        <v>74</v>
      </c>
      <c r="BH165" s="1" t="s">
        <v>74</v>
      </c>
      <c r="BI165" s="1">
        <v>16.0</v>
      </c>
      <c r="BJ165" s="1" t="s">
        <v>1776</v>
      </c>
      <c r="BK165" s="1" t="s">
        <v>172</v>
      </c>
      <c r="BL165" s="1" t="s">
        <v>204</v>
      </c>
      <c r="BM165" s="1" t="s">
        <v>3648</v>
      </c>
      <c r="BN165" s="1" t="s">
        <v>74</v>
      </c>
      <c r="BO165" s="1" t="s">
        <v>74</v>
      </c>
      <c r="BP165" s="1" t="s">
        <v>74</v>
      </c>
      <c r="BQ165" s="1" t="s">
        <v>74</v>
      </c>
      <c r="BR165" s="1" t="s">
        <v>102</v>
      </c>
      <c r="BS165" s="1" t="s">
        <v>3649</v>
      </c>
      <c r="BT165" s="1" t="str">
        <f>HYPERLINK("https%3A%2F%2Fwww.webofscience.com%2Fwos%2Fwoscc%2Ffull-record%2FWOS:001354399500016","View Full Record in Web of Science")</f>
        <v>View Full Record in Web of Science</v>
      </c>
    </row>
    <row r="166" ht="12.75" customHeight="1">
      <c r="A166" s="1" t="s">
        <v>132</v>
      </c>
      <c r="B166" s="1" t="s">
        <v>3650</v>
      </c>
      <c r="C166" s="1" t="s">
        <v>74</v>
      </c>
      <c r="D166" s="1" t="s">
        <v>74</v>
      </c>
      <c r="E166" s="1" t="s">
        <v>74</v>
      </c>
      <c r="F166" s="1" t="s">
        <v>3651</v>
      </c>
      <c r="G166" s="1" t="s">
        <v>74</v>
      </c>
      <c r="H166" s="1" t="s">
        <v>74</v>
      </c>
      <c r="I166" s="1" t="s">
        <v>3652</v>
      </c>
      <c r="J166" s="1" t="s">
        <v>3653</v>
      </c>
      <c r="K166" s="1" t="s">
        <v>74</v>
      </c>
      <c r="L166" s="1" t="s">
        <v>74</v>
      </c>
      <c r="M166" s="1" t="s">
        <v>80</v>
      </c>
      <c r="N166" s="1" t="s">
        <v>136</v>
      </c>
      <c r="O166" s="1" t="s">
        <v>74</v>
      </c>
      <c r="P166" s="1" t="s">
        <v>74</v>
      </c>
      <c r="Q166" s="1" t="s">
        <v>74</v>
      </c>
      <c r="R166" s="1" t="s">
        <v>74</v>
      </c>
      <c r="S166" s="1" t="s">
        <v>74</v>
      </c>
      <c r="T166" s="1" t="s">
        <v>3654</v>
      </c>
      <c r="U166" s="1" t="s">
        <v>74</v>
      </c>
      <c r="V166" s="1" t="s">
        <v>3655</v>
      </c>
      <c r="W166" s="1" t="s">
        <v>3656</v>
      </c>
      <c r="X166" s="1" t="s">
        <v>3657</v>
      </c>
      <c r="Y166" s="1" t="s">
        <v>3658</v>
      </c>
      <c r="Z166" s="1" t="s">
        <v>3659</v>
      </c>
      <c r="AA166" s="1" t="s">
        <v>3660</v>
      </c>
      <c r="AB166" s="1" t="s">
        <v>74</v>
      </c>
      <c r="AC166" s="1" t="s">
        <v>74</v>
      </c>
      <c r="AD166" s="1" t="s">
        <v>74</v>
      </c>
      <c r="AE166" s="1" t="s">
        <v>74</v>
      </c>
      <c r="AF166" s="1" t="s">
        <v>74</v>
      </c>
      <c r="AG166" s="1">
        <v>34.0</v>
      </c>
      <c r="AH166" s="1">
        <v>11.0</v>
      </c>
      <c r="AI166" s="1">
        <v>11.0</v>
      </c>
      <c r="AJ166" s="1">
        <v>43.0</v>
      </c>
      <c r="AK166" s="1">
        <v>110.0</v>
      </c>
      <c r="AL166" s="1" t="s">
        <v>1020</v>
      </c>
      <c r="AM166" s="1" t="s">
        <v>1021</v>
      </c>
      <c r="AN166" s="1" t="s">
        <v>1022</v>
      </c>
      <c r="AO166" s="1" t="s">
        <v>3661</v>
      </c>
      <c r="AP166" s="1" t="s">
        <v>3662</v>
      </c>
      <c r="AQ166" s="1" t="s">
        <v>74</v>
      </c>
      <c r="AR166" s="1" t="s">
        <v>3663</v>
      </c>
      <c r="AS166" s="1" t="s">
        <v>3664</v>
      </c>
      <c r="AT166" s="1" t="s">
        <v>3665</v>
      </c>
      <c r="AU166" s="1">
        <v>2023.0</v>
      </c>
      <c r="AV166" s="1">
        <v>48.0</v>
      </c>
      <c r="AW166" s="1">
        <v>5.0</v>
      </c>
      <c r="AX166" s="1" t="s">
        <v>74</v>
      </c>
      <c r="AY166" s="1" t="s">
        <v>74</v>
      </c>
      <c r="AZ166" s="1" t="s">
        <v>74</v>
      </c>
      <c r="BA166" s="1" t="s">
        <v>74</v>
      </c>
      <c r="BB166" s="1" t="s">
        <v>3666</v>
      </c>
      <c r="BC166" s="1" t="s">
        <v>3667</v>
      </c>
      <c r="BD166" s="1" t="s">
        <v>74</v>
      </c>
      <c r="BE166" s="1" t="s">
        <v>3668</v>
      </c>
      <c r="BF166" s="2" t="str">
        <f>HYPERLINK("http://dx.doi.org/10.1097/NNE.0000000000001446","http://dx.doi.org/10.1097/NNE.0000000000001446")</f>
        <v>http://dx.doi.org/10.1097/NNE.0000000000001446</v>
      </c>
      <c r="BG166" s="1" t="s">
        <v>74</v>
      </c>
      <c r="BH166" s="1" t="s">
        <v>74</v>
      </c>
      <c r="BI166" s="1">
        <v>6.0</v>
      </c>
      <c r="BJ166" s="1" t="s">
        <v>1578</v>
      </c>
      <c r="BK166" s="1" t="s">
        <v>783</v>
      </c>
      <c r="BL166" s="1" t="s">
        <v>1578</v>
      </c>
      <c r="BM166" s="1" t="s">
        <v>3669</v>
      </c>
      <c r="BN166" s="1">
        <v>3.7133231E7</v>
      </c>
      <c r="BO166" s="1" t="s">
        <v>74</v>
      </c>
      <c r="BP166" s="1" t="s">
        <v>74</v>
      </c>
      <c r="BQ166" s="1" t="s">
        <v>74</v>
      </c>
      <c r="BR166" s="1" t="s">
        <v>102</v>
      </c>
      <c r="BS166" s="1" t="s">
        <v>3670</v>
      </c>
      <c r="BT166" s="1" t="str">
        <f>HYPERLINK("https%3A%2F%2Fwww.webofscience.com%2Fwos%2Fwoscc%2Ffull-record%2FWOS:001054219300002","View Full Record in Web of Science")</f>
        <v>View Full Record in Web of Science</v>
      </c>
    </row>
    <row r="167" ht="12.75" customHeight="1">
      <c r="A167" s="1" t="s">
        <v>132</v>
      </c>
      <c r="B167" s="1" t="s">
        <v>3671</v>
      </c>
      <c r="C167" s="1" t="s">
        <v>74</v>
      </c>
      <c r="D167" s="1" t="s">
        <v>74</v>
      </c>
      <c r="E167" s="1" t="s">
        <v>74</v>
      </c>
      <c r="F167" s="1" t="s">
        <v>3672</v>
      </c>
      <c r="G167" s="1" t="s">
        <v>74</v>
      </c>
      <c r="H167" s="1" t="s">
        <v>74</v>
      </c>
      <c r="I167" s="1" t="s">
        <v>3673</v>
      </c>
      <c r="J167" s="1" t="s">
        <v>3674</v>
      </c>
      <c r="K167" s="1" t="s">
        <v>74</v>
      </c>
      <c r="L167" s="1" t="s">
        <v>74</v>
      </c>
      <c r="M167" s="1" t="s">
        <v>80</v>
      </c>
      <c r="N167" s="1" t="s">
        <v>136</v>
      </c>
      <c r="O167" s="1" t="s">
        <v>74</v>
      </c>
      <c r="P167" s="1" t="s">
        <v>74</v>
      </c>
      <c r="Q167" s="1" t="s">
        <v>74</v>
      </c>
      <c r="R167" s="1" t="s">
        <v>74</v>
      </c>
      <c r="S167" s="1" t="s">
        <v>74</v>
      </c>
      <c r="T167" s="1" t="s">
        <v>3675</v>
      </c>
      <c r="U167" s="1" t="s">
        <v>217</v>
      </c>
      <c r="V167" s="1" t="s">
        <v>3676</v>
      </c>
      <c r="W167" s="1" t="s">
        <v>3677</v>
      </c>
      <c r="X167" s="1" t="s">
        <v>3678</v>
      </c>
      <c r="Y167" s="1" t="s">
        <v>3679</v>
      </c>
      <c r="Z167" s="1" t="s">
        <v>3680</v>
      </c>
      <c r="AA167" s="1" t="s">
        <v>74</v>
      </c>
      <c r="AB167" s="1" t="s">
        <v>3681</v>
      </c>
      <c r="AC167" s="1" t="s">
        <v>3682</v>
      </c>
      <c r="AD167" s="1" t="s">
        <v>3683</v>
      </c>
      <c r="AE167" s="1" t="s">
        <v>3684</v>
      </c>
      <c r="AF167" s="1" t="s">
        <v>74</v>
      </c>
      <c r="AG167" s="1">
        <v>58.0</v>
      </c>
      <c r="AH167" s="1">
        <v>0.0</v>
      </c>
      <c r="AI167" s="1">
        <v>0.0</v>
      </c>
      <c r="AJ167" s="1">
        <v>88.0</v>
      </c>
      <c r="AK167" s="1">
        <v>115.0</v>
      </c>
      <c r="AL167" s="1" t="s">
        <v>321</v>
      </c>
      <c r="AM167" s="1" t="s">
        <v>322</v>
      </c>
      <c r="AN167" s="1" t="s">
        <v>323</v>
      </c>
      <c r="AO167" s="1" t="s">
        <v>3685</v>
      </c>
      <c r="AP167" s="1" t="s">
        <v>74</v>
      </c>
      <c r="AQ167" s="1" t="s">
        <v>74</v>
      </c>
      <c r="AR167" s="1" t="s">
        <v>3686</v>
      </c>
      <c r="AS167" s="1" t="s">
        <v>3687</v>
      </c>
      <c r="AT167" s="1" t="s">
        <v>328</v>
      </c>
      <c r="AU167" s="1">
        <v>2024.0</v>
      </c>
      <c r="AV167" s="1">
        <v>90.0</v>
      </c>
      <c r="AW167" s="1" t="s">
        <v>74</v>
      </c>
      <c r="AX167" s="1" t="s">
        <v>74</v>
      </c>
      <c r="AY167" s="1" t="s">
        <v>74</v>
      </c>
      <c r="AZ167" s="1" t="s">
        <v>74</v>
      </c>
      <c r="BA167" s="1" t="s">
        <v>74</v>
      </c>
      <c r="BB167" s="1" t="s">
        <v>74</v>
      </c>
      <c r="BC167" s="1" t="s">
        <v>74</v>
      </c>
      <c r="BD167" s="1">
        <v>102134.0</v>
      </c>
      <c r="BE167" s="1" t="s">
        <v>3688</v>
      </c>
      <c r="BF167" s="2" t="str">
        <f>HYPERLINK("http://dx.doi.org/10.1016/j.tele.2024.102134","http://dx.doi.org/10.1016/j.tele.2024.102134")</f>
        <v>http://dx.doi.org/10.1016/j.tele.2024.102134</v>
      </c>
      <c r="BG167" s="1" t="s">
        <v>74</v>
      </c>
      <c r="BH167" s="1" t="s">
        <v>3129</v>
      </c>
      <c r="BI167" s="1">
        <v>15.0</v>
      </c>
      <c r="BJ167" s="1" t="s">
        <v>358</v>
      </c>
      <c r="BK167" s="1" t="s">
        <v>203</v>
      </c>
      <c r="BL167" s="1" t="s">
        <v>358</v>
      </c>
      <c r="BM167" s="1" t="s">
        <v>3689</v>
      </c>
      <c r="BN167" s="1" t="s">
        <v>74</v>
      </c>
      <c r="BO167" s="1" t="s">
        <v>74</v>
      </c>
      <c r="BP167" s="1" t="s">
        <v>74</v>
      </c>
      <c r="BQ167" s="1" t="s">
        <v>74</v>
      </c>
      <c r="BR167" s="1" t="s">
        <v>102</v>
      </c>
      <c r="BS167" s="1" t="s">
        <v>3690</v>
      </c>
      <c r="BT167" s="1" t="str">
        <f>HYPERLINK("https%3A%2F%2Fwww.webofscience.com%2Fwos%2Fwoscc%2Ffull-record%2FWOS:001241130600001","View Full Record in Web of Science")</f>
        <v>View Full Record in Web of Science</v>
      </c>
    </row>
    <row r="168" ht="12.75" customHeight="1">
      <c r="A168" s="1" t="s">
        <v>132</v>
      </c>
      <c r="B168" s="1" t="s">
        <v>3691</v>
      </c>
      <c r="C168" s="1" t="s">
        <v>74</v>
      </c>
      <c r="D168" s="1" t="s">
        <v>74</v>
      </c>
      <c r="E168" s="1" t="s">
        <v>74</v>
      </c>
      <c r="F168" s="1" t="s">
        <v>3692</v>
      </c>
      <c r="G168" s="1" t="s">
        <v>74</v>
      </c>
      <c r="H168" s="1" t="s">
        <v>74</v>
      </c>
      <c r="I168" s="1" t="s">
        <v>3693</v>
      </c>
      <c r="J168" s="1" t="s">
        <v>3694</v>
      </c>
      <c r="K168" s="1" t="s">
        <v>74</v>
      </c>
      <c r="L168" s="1" t="s">
        <v>74</v>
      </c>
      <c r="M168" s="1" t="s">
        <v>80</v>
      </c>
      <c r="N168" s="1" t="s">
        <v>136</v>
      </c>
      <c r="O168" s="1" t="s">
        <v>74</v>
      </c>
      <c r="P168" s="1" t="s">
        <v>74</v>
      </c>
      <c r="Q168" s="1" t="s">
        <v>74</v>
      </c>
      <c r="R168" s="1" t="s">
        <v>74</v>
      </c>
      <c r="S168" s="1" t="s">
        <v>74</v>
      </c>
      <c r="T168" s="1" t="s">
        <v>3695</v>
      </c>
      <c r="U168" s="1" t="s">
        <v>74</v>
      </c>
      <c r="V168" s="1" t="s">
        <v>3696</v>
      </c>
      <c r="W168" s="1" t="s">
        <v>3697</v>
      </c>
      <c r="X168" s="1" t="s">
        <v>3698</v>
      </c>
      <c r="Y168" s="1" t="s">
        <v>3699</v>
      </c>
      <c r="Z168" s="1" t="s">
        <v>3700</v>
      </c>
      <c r="AA168" s="1" t="s">
        <v>74</v>
      </c>
      <c r="AB168" s="1" t="s">
        <v>74</v>
      </c>
      <c r="AC168" s="1" t="s">
        <v>74</v>
      </c>
      <c r="AD168" s="1" t="s">
        <v>74</v>
      </c>
      <c r="AE168" s="1" t="s">
        <v>74</v>
      </c>
      <c r="AF168" s="1" t="s">
        <v>74</v>
      </c>
      <c r="AG168" s="1">
        <v>6.0</v>
      </c>
      <c r="AH168" s="1">
        <v>0.0</v>
      </c>
      <c r="AI168" s="1">
        <v>0.0</v>
      </c>
      <c r="AJ168" s="1">
        <v>28.0</v>
      </c>
      <c r="AK168" s="1">
        <v>66.0</v>
      </c>
      <c r="AL168" s="1" t="s">
        <v>3701</v>
      </c>
      <c r="AM168" s="1" t="s">
        <v>3702</v>
      </c>
      <c r="AN168" s="1" t="s">
        <v>3703</v>
      </c>
      <c r="AO168" s="1" t="s">
        <v>3704</v>
      </c>
      <c r="AP168" s="1" t="s">
        <v>3705</v>
      </c>
      <c r="AQ168" s="1" t="s">
        <v>74</v>
      </c>
      <c r="AR168" s="1" t="s">
        <v>3706</v>
      </c>
      <c r="AS168" s="1" t="s">
        <v>3707</v>
      </c>
      <c r="AT168" s="1" t="s">
        <v>74</v>
      </c>
      <c r="AU168" s="1">
        <v>2023.0</v>
      </c>
      <c r="AV168" s="1">
        <v>32.0</v>
      </c>
      <c r="AW168" s="1">
        <v>4.0</v>
      </c>
      <c r="AX168" s="1" t="s">
        <v>74</v>
      </c>
      <c r="AY168" s="1" t="s">
        <v>74</v>
      </c>
      <c r="AZ168" s="1" t="s">
        <v>74</v>
      </c>
      <c r="BA168" s="1" t="s">
        <v>74</v>
      </c>
      <c r="BB168" s="1">
        <v>430.0</v>
      </c>
      <c r="BC168" s="1">
        <v>439.0</v>
      </c>
      <c r="BD168" s="1" t="s">
        <v>74</v>
      </c>
      <c r="BE168" s="1" t="s">
        <v>3708</v>
      </c>
      <c r="BF168" s="2" t="str">
        <f>HYPERLINK("http://dx.doi.org/10.53656/phil2023-04-05","http://dx.doi.org/10.53656/phil2023-04-05")</f>
        <v>http://dx.doi.org/10.53656/phil2023-04-05</v>
      </c>
      <c r="BG168" s="1" t="s">
        <v>74</v>
      </c>
      <c r="BH168" s="1" t="s">
        <v>74</v>
      </c>
      <c r="BI168" s="1">
        <v>10.0</v>
      </c>
      <c r="BJ168" s="1" t="s">
        <v>3709</v>
      </c>
      <c r="BK168" s="1" t="s">
        <v>172</v>
      </c>
      <c r="BL168" s="1" t="s">
        <v>3709</v>
      </c>
      <c r="BM168" s="1" t="s">
        <v>3710</v>
      </c>
      <c r="BN168" s="1" t="s">
        <v>74</v>
      </c>
      <c r="BO168" s="1" t="s">
        <v>74</v>
      </c>
      <c r="BP168" s="1" t="s">
        <v>74</v>
      </c>
      <c r="BQ168" s="1" t="s">
        <v>74</v>
      </c>
      <c r="BR168" s="1" t="s">
        <v>102</v>
      </c>
      <c r="BS168" s="1" t="s">
        <v>3711</v>
      </c>
      <c r="BT168" s="1" t="str">
        <f>HYPERLINK("https%3A%2F%2Fwww.webofscience.com%2Fwos%2Fwoscc%2Ffull-record%2FWOS:001180172500005","View Full Record in Web of Science")</f>
        <v>View Full Record in Web of Science</v>
      </c>
    </row>
    <row r="169" ht="12.75" customHeight="1">
      <c r="A169" s="1" t="s">
        <v>132</v>
      </c>
      <c r="B169" s="1" t="s">
        <v>3712</v>
      </c>
      <c r="C169" s="1" t="s">
        <v>74</v>
      </c>
      <c r="D169" s="1" t="s">
        <v>74</v>
      </c>
      <c r="E169" s="1" t="s">
        <v>74</v>
      </c>
      <c r="F169" s="1" t="s">
        <v>3713</v>
      </c>
      <c r="G169" s="1" t="s">
        <v>74</v>
      </c>
      <c r="H169" s="1" t="s">
        <v>74</v>
      </c>
      <c r="I169" s="1" t="s">
        <v>3714</v>
      </c>
      <c r="J169" s="1" t="s">
        <v>1794</v>
      </c>
      <c r="K169" s="1" t="s">
        <v>74</v>
      </c>
      <c r="L169" s="1" t="s">
        <v>74</v>
      </c>
      <c r="M169" s="1" t="s">
        <v>80</v>
      </c>
      <c r="N169" s="1" t="s">
        <v>136</v>
      </c>
      <c r="O169" s="1" t="s">
        <v>74</v>
      </c>
      <c r="P169" s="1" t="s">
        <v>74</v>
      </c>
      <c r="Q169" s="1" t="s">
        <v>74</v>
      </c>
      <c r="R169" s="1" t="s">
        <v>74</v>
      </c>
      <c r="S169" s="1" t="s">
        <v>74</v>
      </c>
      <c r="T169" s="1" t="s">
        <v>3715</v>
      </c>
      <c r="U169" s="1" t="s">
        <v>3716</v>
      </c>
      <c r="V169" s="1" t="s">
        <v>3717</v>
      </c>
      <c r="W169" s="1" t="s">
        <v>3718</v>
      </c>
      <c r="X169" s="1" t="s">
        <v>3719</v>
      </c>
      <c r="Y169" s="1" t="s">
        <v>3720</v>
      </c>
      <c r="Z169" s="1" t="s">
        <v>3721</v>
      </c>
      <c r="AA169" s="1" t="s">
        <v>74</v>
      </c>
      <c r="AB169" s="1" t="s">
        <v>74</v>
      </c>
      <c r="AC169" s="1" t="s">
        <v>74</v>
      </c>
      <c r="AD169" s="1" t="s">
        <v>74</v>
      </c>
      <c r="AE169" s="1" t="s">
        <v>74</v>
      </c>
      <c r="AF169" s="1" t="s">
        <v>74</v>
      </c>
      <c r="AG169" s="1">
        <v>128.0</v>
      </c>
      <c r="AH169" s="1">
        <v>44.0</v>
      </c>
      <c r="AI169" s="1">
        <v>45.0</v>
      </c>
      <c r="AJ169" s="1">
        <v>60.0</v>
      </c>
      <c r="AK169" s="1">
        <v>302.0</v>
      </c>
      <c r="AL169" s="1" t="s">
        <v>1612</v>
      </c>
      <c r="AM169" s="1" t="s">
        <v>1613</v>
      </c>
      <c r="AN169" s="1" t="s">
        <v>1614</v>
      </c>
      <c r="AO169" s="1" t="s">
        <v>1807</v>
      </c>
      <c r="AP169" s="1" t="s">
        <v>1808</v>
      </c>
      <c r="AQ169" s="1" t="s">
        <v>74</v>
      </c>
      <c r="AR169" s="1" t="s">
        <v>1809</v>
      </c>
      <c r="AS169" s="1" t="s">
        <v>1810</v>
      </c>
      <c r="AT169" s="1" t="s">
        <v>1253</v>
      </c>
      <c r="AU169" s="1">
        <v>2021.0</v>
      </c>
      <c r="AV169" s="1">
        <v>68.0</v>
      </c>
      <c r="AW169" s="1">
        <v>2.0</v>
      </c>
      <c r="AX169" s="1" t="s">
        <v>74</v>
      </c>
      <c r="AY169" s="1" t="s">
        <v>74</v>
      </c>
      <c r="AZ169" s="1" t="s">
        <v>74</v>
      </c>
      <c r="BA169" s="1" t="s">
        <v>74</v>
      </c>
      <c r="BB169" s="1">
        <v>628.0</v>
      </c>
      <c r="BC169" s="1">
        <v>639.0</v>
      </c>
      <c r="BD169" s="1" t="s">
        <v>74</v>
      </c>
      <c r="BE169" s="1" t="s">
        <v>3722</v>
      </c>
      <c r="BF169" s="2" t="str">
        <f>HYPERLINK("http://dx.doi.org/10.1109/TEM.2020.2977222","http://dx.doi.org/10.1109/TEM.2020.2977222")</f>
        <v>http://dx.doi.org/10.1109/TEM.2020.2977222</v>
      </c>
      <c r="BG169" s="1" t="s">
        <v>74</v>
      </c>
      <c r="BH169" s="1" t="s">
        <v>74</v>
      </c>
      <c r="BI169" s="1">
        <v>12.0</v>
      </c>
      <c r="BJ169" s="1" t="s">
        <v>1812</v>
      </c>
      <c r="BK169" s="1" t="s">
        <v>783</v>
      </c>
      <c r="BL169" s="1" t="s">
        <v>1813</v>
      </c>
      <c r="BM169" s="1" t="s">
        <v>3723</v>
      </c>
      <c r="BN169" s="1" t="s">
        <v>74</v>
      </c>
      <c r="BO169" s="1" t="s">
        <v>74</v>
      </c>
      <c r="BP169" s="1" t="s">
        <v>74</v>
      </c>
      <c r="BQ169" s="1" t="s">
        <v>74</v>
      </c>
      <c r="BR169" s="1" t="s">
        <v>102</v>
      </c>
      <c r="BS169" s="1" t="s">
        <v>3724</v>
      </c>
      <c r="BT169" s="1" t="str">
        <f>HYPERLINK("https%3A%2F%2Fwww.webofscience.com%2Fwos%2Fwoscc%2Ffull-record%2FWOS:000632443100024","View Full Record in Web of Science")</f>
        <v>View Full Record in Web of Science</v>
      </c>
    </row>
    <row r="170" ht="12.75" customHeight="1">
      <c r="A170" s="1" t="s">
        <v>132</v>
      </c>
      <c r="B170" s="1" t="s">
        <v>3725</v>
      </c>
      <c r="C170" s="1" t="s">
        <v>74</v>
      </c>
      <c r="D170" s="1" t="s">
        <v>74</v>
      </c>
      <c r="E170" s="1" t="s">
        <v>74</v>
      </c>
      <c r="F170" s="1" t="s">
        <v>3726</v>
      </c>
      <c r="G170" s="1" t="s">
        <v>74</v>
      </c>
      <c r="H170" s="1" t="s">
        <v>74</v>
      </c>
      <c r="I170" s="1" t="s">
        <v>3727</v>
      </c>
      <c r="J170" s="1" t="s">
        <v>3728</v>
      </c>
      <c r="K170" s="1" t="s">
        <v>74</v>
      </c>
      <c r="L170" s="1" t="s">
        <v>74</v>
      </c>
      <c r="M170" s="1" t="s">
        <v>80</v>
      </c>
      <c r="N170" s="1" t="s">
        <v>1010</v>
      </c>
      <c r="O170" s="1" t="s">
        <v>74</v>
      </c>
      <c r="P170" s="1" t="s">
        <v>74</v>
      </c>
      <c r="Q170" s="1" t="s">
        <v>74</v>
      </c>
      <c r="R170" s="1" t="s">
        <v>74</v>
      </c>
      <c r="S170" s="1" t="s">
        <v>74</v>
      </c>
      <c r="T170" s="1" t="s">
        <v>3729</v>
      </c>
      <c r="U170" s="1" t="s">
        <v>3730</v>
      </c>
      <c r="V170" s="1" t="s">
        <v>3731</v>
      </c>
      <c r="W170" s="1" t="s">
        <v>3732</v>
      </c>
      <c r="X170" s="1" t="s">
        <v>3733</v>
      </c>
      <c r="Y170" s="1" t="s">
        <v>3734</v>
      </c>
      <c r="Z170" s="1" t="s">
        <v>3735</v>
      </c>
      <c r="AA170" s="1" t="s">
        <v>3736</v>
      </c>
      <c r="AB170" s="1" t="s">
        <v>3737</v>
      </c>
      <c r="AC170" s="1" t="s">
        <v>3738</v>
      </c>
      <c r="AD170" s="1" t="s">
        <v>3739</v>
      </c>
      <c r="AE170" s="1" t="s">
        <v>3740</v>
      </c>
      <c r="AF170" s="1" t="s">
        <v>74</v>
      </c>
      <c r="AG170" s="1">
        <v>116.0</v>
      </c>
      <c r="AH170" s="1">
        <v>79.0</v>
      </c>
      <c r="AI170" s="1">
        <v>80.0</v>
      </c>
      <c r="AJ170" s="1">
        <v>57.0</v>
      </c>
      <c r="AK170" s="1">
        <v>211.0</v>
      </c>
      <c r="AL170" s="1" t="s">
        <v>2745</v>
      </c>
      <c r="AM170" s="1" t="s">
        <v>2746</v>
      </c>
      <c r="AN170" s="1" t="s">
        <v>2747</v>
      </c>
      <c r="AO170" s="1" t="s">
        <v>3741</v>
      </c>
      <c r="AP170" s="1" t="s">
        <v>3742</v>
      </c>
      <c r="AQ170" s="1" t="s">
        <v>74</v>
      </c>
      <c r="AR170" s="1" t="s">
        <v>3743</v>
      </c>
      <c r="AS170" s="1" t="s">
        <v>3744</v>
      </c>
      <c r="AT170" s="1" t="s">
        <v>3745</v>
      </c>
      <c r="AU170" s="1">
        <v>2022.0</v>
      </c>
      <c r="AV170" s="1">
        <v>376.0</v>
      </c>
      <c r="AW170" s="1" t="s">
        <v>74</v>
      </c>
      <c r="AX170" s="1" t="s">
        <v>74</v>
      </c>
      <c r="AY170" s="1" t="s">
        <v>74</v>
      </c>
      <c r="AZ170" s="1" t="s">
        <v>74</v>
      </c>
      <c r="BA170" s="1" t="s">
        <v>74</v>
      </c>
      <c r="BB170" s="1" t="s">
        <v>74</v>
      </c>
      <c r="BC170" s="1" t="s">
        <v>74</v>
      </c>
      <c r="BD170" s="1">
        <v>134120.0</v>
      </c>
      <c r="BE170" s="1" t="s">
        <v>3746</v>
      </c>
      <c r="BF170" s="2" t="str">
        <f>HYPERLINK("http://dx.doi.org/10.1016/j.jclepro.2022.134120","http://dx.doi.org/10.1016/j.jclepro.2022.134120")</f>
        <v>http://dx.doi.org/10.1016/j.jclepro.2022.134120</v>
      </c>
      <c r="BG170" s="1" t="s">
        <v>74</v>
      </c>
      <c r="BH170" s="1" t="s">
        <v>2017</v>
      </c>
      <c r="BI170" s="1">
        <v>17.0</v>
      </c>
      <c r="BJ170" s="1" t="s">
        <v>3747</v>
      </c>
      <c r="BK170" s="1" t="s">
        <v>149</v>
      </c>
      <c r="BL170" s="1" t="s">
        <v>3748</v>
      </c>
      <c r="BM170" s="1" t="s">
        <v>3749</v>
      </c>
      <c r="BN170" s="1" t="s">
        <v>74</v>
      </c>
      <c r="BO170" s="1" t="s">
        <v>74</v>
      </c>
      <c r="BP170" s="1" t="s">
        <v>74</v>
      </c>
      <c r="BQ170" s="1" t="s">
        <v>74</v>
      </c>
      <c r="BR170" s="1" t="s">
        <v>102</v>
      </c>
      <c r="BS170" s="1" t="s">
        <v>3750</v>
      </c>
      <c r="BT170" s="1" t="str">
        <f>HYPERLINK("https%3A%2F%2Fwww.webofscience.com%2Fwos%2Fwoscc%2Ffull-record%2FWOS:000933884700003","View Full Record in Web of Science")</f>
        <v>View Full Record in Web of Science</v>
      </c>
    </row>
    <row r="171" ht="12.75" customHeight="1">
      <c r="A171" s="1" t="s">
        <v>72</v>
      </c>
      <c r="B171" s="1" t="s">
        <v>3751</v>
      </c>
      <c r="C171" s="1" t="s">
        <v>74</v>
      </c>
      <c r="D171" s="1" t="s">
        <v>74</v>
      </c>
      <c r="E171" s="1" t="s">
        <v>1426</v>
      </c>
      <c r="F171" s="1" t="s">
        <v>3752</v>
      </c>
      <c r="G171" s="1" t="s">
        <v>74</v>
      </c>
      <c r="H171" s="1" t="s">
        <v>74</v>
      </c>
      <c r="I171" s="1" t="s">
        <v>3753</v>
      </c>
      <c r="J171" s="1" t="s">
        <v>3754</v>
      </c>
      <c r="K171" s="1" t="s">
        <v>74</v>
      </c>
      <c r="L171" s="1" t="s">
        <v>74</v>
      </c>
      <c r="M171" s="1" t="s">
        <v>80</v>
      </c>
      <c r="N171" s="1" t="s">
        <v>81</v>
      </c>
      <c r="O171" s="1" t="s">
        <v>3755</v>
      </c>
      <c r="P171" s="1" t="s">
        <v>3756</v>
      </c>
      <c r="Q171" s="1" t="s">
        <v>3757</v>
      </c>
      <c r="R171" s="1" t="s">
        <v>3758</v>
      </c>
      <c r="S171" s="1" t="s">
        <v>74</v>
      </c>
      <c r="T171" s="1" t="s">
        <v>3759</v>
      </c>
      <c r="U171" s="1" t="s">
        <v>74</v>
      </c>
      <c r="V171" s="1" t="s">
        <v>3760</v>
      </c>
      <c r="W171" s="1" t="s">
        <v>3761</v>
      </c>
      <c r="X171" s="1" t="s">
        <v>3762</v>
      </c>
      <c r="Y171" s="1" t="s">
        <v>3763</v>
      </c>
      <c r="Z171" s="1" t="s">
        <v>3764</v>
      </c>
      <c r="AA171" s="1" t="s">
        <v>3765</v>
      </c>
      <c r="AB171" s="1" t="s">
        <v>3766</v>
      </c>
      <c r="AC171" s="1" t="s">
        <v>74</v>
      </c>
      <c r="AD171" s="1" t="s">
        <v>74</v>
      </c>
      <c r="AE171" s="1" t="s">
        <v>74</v>
      </c>
      <c r="AF171" s="1" t="s">
        <v>74</v>
      </c>
      <c r="AG171" s="1">
        <v>31.0</v>
      </c>
      <c r="AH171" s="1">
        <v>0.0</v>
      </c>
      <c r="AI171" s="1">
        <v>0.0</v>
      </c>
      <c r="AJ171" s="1">
        <v>1.0</v>
      </c>
      <c r="AK171" s="1">
        <v>1.0</v>
      </c>
      <c r="AL171" s="1" t="s">
        <v>1426</v>
      </c>
      <c r="AM171" s="1" t="s">
        <v>193</v>
      </c>
      <c r="AN171" s="1" t="s">
        <v>1427</v>
      </c>
      <c r="AO171" s="1" t="s">
        <v>74</v>
      </c>
      <c r="AP171" s="1" t="s">
        <v>74</v>
      </c>
      <c r="AQ171" s="1" t="s">
        <v>3767</v>
      </c>
      <c r="AR171" s="1" t="s">
        <v>74</v>
      </c>
      <c r="AS171" s="1" t="s">
        <v>74</v>
      </c>
      <c r="AT171" s="1" t="s">
        <v>74</v>
      </c>
      <c r="AU171" s="1">
        <v>2024.0</v>
      </c>
      <c r="AV171" s="1" t="s">
        <v>74</v>
      </c>
      <c r="AW171" s="1" t="s">
        <v>74</v>
      </c>
      <c r="AX171" s="1" t="s">
        <v>74</v>
      </c>
      <c r="AY171" s="1" t="s">
        <v>74</v>
      </c>
      <c r="AZ171" s="1" t="s">
        <v>74</v>
      </c>
      <c r="BA171" s="1" t="s">
        <v>74</v>
      </c>
      <c r="BB171" s="1">
        <v>24.0</v>
      </c>
      <c r="BC171" s="1">
        <v>31.0</v>
      </c>
      <c r="BD171" s="1" t="s">
        <v>74</v>
      </c>
      <c r="BE171" s="1" t="s">
        <v>3768</v>
      </c>
      <c r="BF171" s="2" t="str">
        <f>HYPERLINK("http://dx.doi.org/10.1145/3643690.3648238","http://dx.doi.org/10.1145/3643690.3648238")</f>
        <v>http://dx.doi.org/10.1145/3643690.3648238</v>
      </c>
      <c r="BG171" s="1" t="s">
        <v>74</v>
      </c>
      <c r="BH171" s="1" t="s">
        <v>74</v>
      </c>
      <c r="BI171" s="1">
        <v>8.0</v>
      </c>
      <c r="BJ171" s="1" t="s">
        <v>3769</v>
      </c>
      <c r="BK171" s="1" t="s">
        <v>128</v>
      </c>
      <c r="BL171" s="1" t="s">
        <v>232</v>
      </c>
      <c r="BM171" s="1" t="s">
        <v>3770</v>
      </c>
      <c r="BN171" s="1" t="s">
        <v>74</v>
      </c>
      <c r="BO171" s="1" t="s">
        <v>74</v>
      </c>
      <c r="BP171" s="1" t="s">
        <v>74</v>
      </c>
      <c r="BQ171" s="1" t="s">
        <v>74</v>
      </c>
      <c r="BR171" s="1" t="s">
        <v>102</v>
      </c>
      <c r="BS171" s="1" t="s">
        <v>3771</v>
      </c>
      <c r="BT171" s="1" t="str">
        <f>HYPERLINK("https%3A%2F%2Fwww.webofscience.com%2Fwos%2Fwoscc%2Ffull-record%2FWOS:001304727200004","View Full Record in Web of Science")</f>
        <v>View Full Record in Web of Science</v>
      </c>
    </row>
    <row r="172" ht="12.75" customHeight="1">
      <c r="A172" s="1" t="s">
        <v>132</v>
      </c>
      <c r="B172" s="1" t="s">
        <v>3772</v>
      </c>
      <c r="C172" s="1" t="s">
        <v>74</v>
      </c>
      <c r="D172" s="1" t="s">
        <v>74</v>
      </c>
      <c r="E172" s="1" t="s">
        <v>74</v>
      </c>
      <c r="F172" s="1" t="s">
        <v>3773</v>
      </c>
      <c r="G172" s="1" t="s">
        <v>74</v>
      </c>
      <c r="H172" s="1" t="s">
        <v>74</v>
      </c>
      <c r="I172" s="1" t="s">
        <v>3774</v>
      </c>
      <c r="J172" s="1" t="s">
        <v>3775</v>
      </c>
      <c r="K172" s="1" t="s">
        <v>74</v>
      </c>
      <c r="L172" s="1" t="s">
        <v>74</v>
      </c>
      <c r="M172" s="1" t="s">
        <v>638</v>
      </c>
      <c r="N172" s="1" t="s">
        <v>136</v>
      </c>
      <c r="O172" s="1" t="s">
        <v>74</v>
      </c>
      <c r="P172" s="1" t="s">
        <v>74</v>
      </c>
      <c r="Q172" s="1" t="s">
        <v>74</v>
      </c>
      <c r="R172" s="1" t="s">
        <v>74</v>
      </c>
      <c r="S172" s="1" t="s">
        <v>74</v>
      </c>
      <c r="T172" s="1" t="s">
        <v>3776</v>
      </c>
      <c r="U172" s="1" t="s">
        <v>74</v>
      </c>
      <c r="V172" s="1" t="s">
        <v>3777</v>
      </c>
      <c r="W172" s="1" t="s">
        <v>3778</v>
      </c>
      <c r="X172" s="1" t="s">
        <v>74</v>
      </c>
      <c r="Y172" s="1" t="s">
        <v>3779</v>
      </c>
      <c r="Z172" s="1" t="s">
        <v>3780</v>
      </c>
      <c r="AA172" s="1" t="s">
        <v>74</v>
      </c>
      <c r="AB172" s="1" t="s">
        <v>74</v>
      </c>
      <c r="AC172" s="1" t="s">
        <v>74</v>
      </c>
      <c r="AD172" s="1" t="s">
        <v>74</v>
      </c>
      <c r="AE172" s="1" t="s">
        <v>74</v>
      </c>
      <c r="AF172" s="1" t="s">
        <v>74</v>
      </c>
      <c r="AG172" s="1">
        <v>12.0</v>
      </c>
      <c r="AH172" s="1">
        <v>0.0</v>
      </c>
      <c r="AI172" s="1">
        <v>0.0</v>
      </c>
      <c r="AJ172" s="1">
        <v>0.0</v>
      </c>
      <c r="AK172" s="1">
        <v>1.0</v>
      </c>
      <c r="AL172" s="1" t="s">
        <v>3781</v>
      </c>
      <c r="AM172" s="1" t="s">
        <v>3782</v>
      </c>
      <c r="AN172" s="1" t="s">
        <v>3783</v>
      </c>
      <c r="AO172" s="1" t="s">
        <v>3784</v>
      </c>
      <c r="AP172" s="1" t="s">
        <v>74</v>
      </c>
      <c r="AQ172" s="1" t="s">
        <v>74</v>
      </c>
      <c r="AR172" s="1" t="s">
        <v>3785</v>
      </c>
      <c r="AS172" s="1" t="s">
        <v>3786</v>
      </c>
      <c r="AT172" s="1" t="s">
        <v>1253</v>
      </c>
      <c r="AU172" s="1">
        <v>2023.0</v>
      </c>
      <c r="AV172" s="1">
        <v>15.0</v>
      </c>
      <c r="AW172" s="1" t="s">
        <v>74</v>
      </c>
      <c r="AX172" s="1" t="s">
        <v>74</v>
      </c>
      <c r="AY172" s="1">
        <v>1.0</v>
      </c>
      <c r="AZ172" s="1" t="s">
        <v>74</v>
      </c>
      <c r="BA172" s="1" t="s">
        <v>74</v>
      </c>
      <c r="BB172" s="1">
        <v>637.0</v>
      </c>
      <c r="BC172" s="1">
        <v>646.0</v>
      </c>
      <c r="BD172" s="1" t="s">
        <v>74</v>
      </c>
      <c r="BE172" s="1" t="s">
        <v>74</v>
      </c>
      <c r="BF172" s="1" t="s">
        <v>74</v>
      </c>
      <c r="BG172" s="1" t="s">
        <v>74</v>
      </c>
      <c r="BH172" s="1" t="s">
        <v>74</v>
      </c>
      <c r="BI172" s="1">
        <v>10.0</v>
      </c>
      <c r="BJ172" s="1" t="s">
        <v>98</v>
      </c>
      <c r="BK172" s="1" t="s">
        <v>172</v>
      </c>
      <c r="BL172" s="1" t="s">
        <v>100</v>
      </c>
      <c r="BM172" s="1" t="s">
        <v>3787</v>
      </c>
      <c r="BN172" s="1" t="s">
        <v>74</v>
      </c>
      <c r="BO172" s="1" t="s">
        <v>74</v>
      </c>
      <c r="BP172" s="1" t="s">
        <v>74</v>
      </c>
      <c r="BQ172" s="1" t="s">
        <v>74</v>
      </c>
      <c r="BR172" s="1" t="s">
        <v>102</v>
      </c>
      <c r="BS172" s="1" t="s">
        <v>3788</v>
      </c>
      <c r="BT172" s="1" t="str">
        <f>HYPERLINK("https%3A%2F%2Fwww.webofscience.com%2Fwos%2Fwoscc%2Ffull-record%2FWOS:001070949600047","View Full Record in Web of Science")</f>
        <v>View Full Record in Web of Science</v>
      </c>
    </row>
    <row r="173" ht="12.75" customHeight="1">
      <c r="A173" s="1" t="s">
        <v>132</v>
      </c>
      <c r="B173" s="1" t="s">
        <v>3789</v>
      </c>
      <c r="C173" s="1" t="s">
        <v>74</v>
      </c>
      <c r="D173" s="1" t="s">
        <v>74</v>
      </c>
      <c r="E173" s="1" t="s">
        <v>74</v>
      </c>
      <c r="F173" s="1" t="s">
        <v>3790</v>
      </c>
      <c r="G173" s="1" t="s">
        <v>74</v>
      </c>
      <c r="H173" s="1" t="s">
        <v>74</v>
      </c>
      <c r="I173" s="1" t="s">
        <v>3791</v>
      </c>
      <c r="J173" s="1" t="s">
        <v>3792</v>
      </c>
      <c r="K173" s="1" t="s">
        <v>74</v>
      </c>
      <c r="L173" s="1" t="s">
        <v>74</v>
      </c>
      <c r="M173" s="1" t="s">
        <v>80</v>
      </c>
      <c r="N173" s="1" t="s">
        <v>338</v>
      </c>
      <c r="O173" s="1" t="s">
        <v>74</v>
      </c>
      <c r="P173" s="1" t="s">
        <v>74</v>
      </c>
      <c r="Q173" s="1" t="s">
        <v>74</v>
      </c>
      <c r="R173" s="1" t="s">
        <v>74</v>
      </c>
      <c r="S173" s="1" t="s">
        <v>74</v>
      </c>
      <c r="T173" s="1" t="s">
        <v>3793</v>
      </c>
      <c r="U173" s="1" t="s">
        <v>3794</v>
      </c>
      <c r="V173" s="1" t="s">
        <v>3795</v>
      </c>
      <c r="W173" s="1" t="s">
        <v>3796</v>
      </c>
      <c r="X173" s="1" t="s">
        <v>3797</v>
      </c>
      <c r="Y173" s="1" t="s">
        <v>3798</v>
      </c>
      <c r="Z173" s="1" t="s">
        <v>3799</v>
      </c>
      <c r="AA173" s="1" t="s">
        <v>74</v>
      </c>
      <c r="AB173" s="1" t="s">
        <v>74</v>
      </c>
      <c r="AC173" s="1" t="s">
        <v>74</v>
      </c>
      <c r="AD173" s="1" t="s">
        <v>74</v>
      </c>
      <c r="AE173" s="1" t="s">
        <v>74</v>
      </c>
      <c r="AF173" s="1" t="s">
        <v>74</v>
      </c>
      <c r="AG173" s="1">
        <v>88.0</v>
      </c>
      <c r="AH173" s="1">
        <v>0.0</v>
      </c>
      <c r="AI173" s="1">
        <v>0.0</v>
      </c>
      <c r="AJ173" s="1">
        <v>0.0</v>
      </c>
      <c r="AK173" s="1">
        <v>0.0</v>
      </c>
      <c r="AL173" s="1" t="s">
        <v>3800</v>
      </c>
      <c r="AM173" s="1" t="s">
        <v>349</v>
      </c>
      <c r="AN173" s="1" t="s">
        <v>3801</v>
      </c>
      <c r="AO173" s="1" t="s">
        <v>3802</v>
      </c>
      <c r="AP173" s="1" t="s">
        <v>3803</v>
      </c>
      <c r="AQ173" s="1" t="s">
        <v>74</v>
      </c>
      <c r="AR173" s="1" t="s">
        <v>3804</v>
      </c>
      <c r="AS173" s="1" t="s">
        <v>3805</v>
      </c>
      <c r="AT173" s="1" t="s">
        <v>3806</v>
      </c>
      <c r="AU173" s="1">
        <v>2025.0</v>
      </c>
      <c r="AV173" s="1" t="s">
        <v>74</v>
      </c>
      <c r="AW173" s="1" t="s">
        <v>74</v>
      </c>
      <c r="AX173" s="1" t="s">
        <v>74</v>
      </c>
      <c r="AY173" s="1" t="s">
        <v>74</v>
      </c>
      <c r="AZ173" s="1" t="s">
        <v>74</v>
      </c>
      <c r="BA173" s="1" t="s">
        <v>74</v>
      </c>
      <c r="BB173" s="1" t="s">
        <v>74</v>
      </c>
      <c r="BC173" s="1" t="s">
        <v>74</v>
      </c>
      <c r="BD173" s="1" t="s">
        <v>74</v>
      </c>
      <c r="BE173" s="1" t="s">
        <v>3807</v>
      </c>
      <c r="BF173" s="2" t="str">
        <f>HYPERLINK("http://dx.doi.org/10.1007/s42379-024-00168-1","http://dx.doi.org/10.1007/s42379-024-00168-1")</f>
        <v>http://dx.doi.org/10.1007/s42379-024-00168-1</v>
      </c>
      <c r="BG173" s="1" t="s">
        <v>74</v>
      </c>
      <c r="BH173" s="1" t="s">
        <v>3808</v>
      </c>
      <c r="BI173" s="1">
        <v>27.0</v>
      </c>
      <c r="BJ173" s="1" t="s">
        <v>3809</v>
      </c>
      <c r="BK173" s="1" t="s">
        <v>172</v>
      </c>
      <c r="BL173" s="1" t="s">
        <v>3809</v>
      </c>
      <c r="BM173" s="1" t="s">
        <v>3810</v>
      </c>
      <c r="BN173" s="1" t="s">
        <v>74</v>
      </c>
      <c r="BO173" s="1" t="s">
        <v>74</v>
      </c>
      <c r="BP173" s="1" t="s">
        <v>74</v>
      </c>
      <c r="BQ173" s="1" t="s">
        <v>74</v>
      </c>
      <c r="BR173" s="1" t="s">
        <v>102</v>
      </c>
      <c r="BS173" s="1" t="s">
        <v>3811</v>
      </c>
      <c r="BT173" s="1" t="str">
        <f>HYPERLINK("https%3A%2F%2Fwww.webofscience.com%2Fwos%2Fwoscc%2Ffull-record%2FWOS:001393067000001","View Full Record in Web of Science")</f>
        <v>View Full Record in Web of Science</v>
      </c>
    </row>
    <row r="174" ht="12.75" customHeight="1">
      <c r="A174" s="1" t="s">
        <v>132</v>
      </c>
      <c r="B174" s="1" t="s">
        <v>3812</v>
      </c>
      <c r="C174" s="1" t="s">
        <v>74</v>
      </c>
      <c r="D174" s="1" t="s">
        <v>74</v>
      </c>
      <c r="E174" s="1" t="s">
        <v>74</v>
      </c>
      <c r="F174" s="1" t="s">
        <v>3813</v>
      </c>
      <c r="G174" s="1" t="s">
        <v>74</v>
      </c>
      <c r="H174" s="1" t="s">
        <v>74</v>
      </c>
      <c r="I174" s="1" t="s">
        <v>3814</v>
      </c>
      <c r="J174" s="1" t="s">
        <v>3815</v>
      </c>
      <c r="K174" s="1" t="s">
        <v>74</v>
      </c>
      <c r="L174" s="1" t="s">
        <v>74</v>
      </c>
      <c r="M174" s="1" t="s">
        <v>80</v>
      </c>
      <c r="N174" s="1" t="s">
        <v>136</v>
      </c>
      <c r="O174" s="1" t="s">
        <v>74</v>
      </c>
      <c r="P174" s="1" t="s">
        <v>74</v>
      </c>
      <c r="Q174" s="1" t="s">
        <v>74</v>
      </c>
      <c r="R174" s="1" t="s">
        <v>74</v>
      </c>
      <c r="S174" s="1" t="s">
        <v>74</v>
      </c>
      <c r="T174" s="1" t="s">
        <v>3816</v>
      </c>
      <c r="U174" s="1" t="s">
        <v>3817</v>
      </c>
      <c r="V174" s="1" t="s">
        <v>3818</v>
      </c>
      <c r="W174" s="1" t="s">
        <v>3819</v>
      </c>
      <c r="X174" s="1" t="s">
        <v>3820</v>
      </c>
      <c r="Y174" s="1" t="s">
        <v>3821</v>
      </c>
      <c r="Z174" s="1" t="s">
        <v>3822</v>
      </c>
      <c r="AA174" s="1" t="s">
        <v>3823</v>
      </c>
      <c r="AB174" s="1" t="s">
        <v>3824</v>
      </c>
      <c r="AC174" s="1" t="s">
        <v>74</v>
      </c>
      <c r="AD174" s="1" t="s">
        <v>74</v>
      </c>
      <c r="AE174" s="1" t="s">
        <v>74</v>
      </c>
      <c r="AF174" s="1" t="s">
        <v>74</v>
      </c>
      <c r="AG174" s="1">
        <v>38.0</v>
      </c>
      <c r="AH174" s="1">
        <v>0.0</v>
      </c>
      <c r="AI174" s="1">
        <v>0.0</v>
      </c>
      <c r="AJ174" s="1">
        <v>1.0</v>
      </c>
      <c r="AK174" s="1">
        <v>1.0</v>
      </c>
      <c r="AL174" s="1" t="s">
        <v>3825</v>
      </c>
      <c r="AM174" s="1" t="s">
        <v>3826</v>
      </c>
      <c r="AN174" s="1" t="s">
        <v>3827</v>
      </c>
      <c r="AO174" s="1" t="s">
        <v>3828</v>
      </c>
      <c r="AP174" s="1" t="s">
        <v>3829</v>
      </c>
      <c r="AQ174" s="1" t="s">
        <v>74</v>
      </c>
      <c r="AR174" s="1" t="s">
        <v>3830</v>
      </c>
      <c r="AS174" s="1" t="s">
        <v>3831</v>
      </c>
      <c r="AT174" s="1" t="s">
        <v>74</v>
      </c>
      <c r="AU174" s="1">
        <v>2024.0</v>
      </c>
      <c r="AV174" s="1">
        <v>6.0</v>
      </c>
      <c r="AW174" s="1">
        <v>59.0</v>
      </c>
      <c r="AX174" s="1" t="s">
        <v>74</v>
      </c>
      <c r="AY174" s="1" t="s">
        <v>74</v>
      </c>
      <c r="AZ174" s="1" t="s">
        <v>74</v>
      </c>
      <c r="BA174" s="1" t="s">
        <v>74</v>
      </c>
      <c r="BB174" s="1">
        <v>167.0</v>
      </c>
      <c r="BC174" s="1">
        <v>179.0</v>
      </c>
      <c r="BD174" s="1" t="s">
        <v>74</v>
      </c>
      <c r="BE174" s="1" t="s">
        <v>3832</v>
      </c>
      <c r="BF174" s="2" t="str">
        <f>HYPERLINK("http://dx.doi.org/10.55643/fcaptp.6.59.2024.4565","http://dx.doi.org/10.55643/fcaptp.6.59.2024.4565")</f>
        <v>http://dx.doi.org/10.55643/fcaptp.6.59.2024.4565</v>
      </c>
      <c r="BG174" s="1" t="s">
        <v>74</v>
      </c>
      <c r="BH174" s="1" t="s">
        <v>74</v>
      </c>
      <c r="BI174" s="1">
        <v>13.0</v>
      </c>
      <c r="BJ174" s="1" t="s">
        <v>3350</v>
      </c>
      <c r="BK174" s="1" t="s">
        <v>172</v>
      </c>
      <c r="BL174" s="1" t="s">
        <v>204</v>
      </c>
      <c r="BM174" s="1" t="s">
        <v>3833</v>
      </c>
      <c r="BN174" s="1" t="s">
        <v>74</v>
      </c>
      <c r="BO174" s="1" t="s">
        <v>174</v>
      </c>
      <c r="BP174" s="1" t="s">
        <v>74</v>
      </c>
      <c r="BQ174" s="1" t="s">
        <v>74</v>
      </c>
      <c r="BR174" s="1" t="s">
        <v>102</v>
      </c>
      <c r="BS174" s="1" t="s">
        <v>3834</v>
      </c>
      <c r="BT174" s="1" t="str">
        <f>HYPERLINK("https%3A%2F%2Fwww.webofscience.com%2Fwos%2Fwoscc%2Ffull-record%2FWOS:001386934400013","View Full Record in Web of Science")</f>
        <v>View Full Record in Web of Science</v>
      </c>
    </row>
    <row r="175" ht="12.75" customHeight="1">
      <c r="A175" s="1" t="s">
        <v>72</v>
      </c>
      <c r="B175" s="1" t="s">
        <v>3835</v>
      </c>
      <c r="C175" s="1" t="s">
        <v>74</v>
      </c>
      <c r="D175" s="1" t="s">
        <v>3836</v>
      </c>
      <c r="E175" s="1" t="s">
        <v>74</v>
      </c>
      <c r="F175" s="1" t="s">
        <v>3837</v>
      </c>
      <c r="G175" s="1" t="s">
        <v>74</v>
      </c>
      <c r="H175" s="1" t="s">
        <v>74</v>
      </c>
      <c r="I175" s="1" t="s">
        <v>3838</v>
      </c>
      <c r="J175" s="1" t="s">
        <v>3839</v>
      </c>
      <c r="K175" s="1" t="s">
        <v>3840</v>
      </c>
      <c r="L175" s="1" t="s">
        <v>74</v>
      </c>
      <c r="M175" s="1" t="s">
        <v>80</v>
      </c>
      <c r="N175" s="1" t="s">
        <v>81</v>
      </c>
      <c r="O175" s="1" t="s">
        <v>3841</v>
      </c>
      <c r="P175" s="1" t="s">
        <v>3842</v>
      </c>
      <c r="Q175" s="1" t="s">
        <v>3843</v>
      </c>
      <c r="R175" s="1" t="s">
        <v>74</v>
      </c>
      <c r="S175" s="1" t="s">
        <v>74</v>
      </c>
      <c r="T175" s="1" t="s">
        <v>3844</v>
      </c>
      <c r="U175" s="1" t="s">
        <v>3845</v>
      </c>
      <c r="V175" s="1" t="s">
        <v>3846</v>
      </c>
      <c r="W175" s="1" t="s">
        <v>3847</v>
      </c>
      <c r="X175" s="1" t="s">
        <v>3848</v>
      </c>
      <c r="Y175" s="1" t="s">
        <v>3849</v>
      </c>
      <c r="Z175" s="1" t="s">
        <v>3850</v>
      </c>
      <c r="AA175" s="1" t="s">
        <v>74</v>
      </c>
      <c r="AB175" s="1" t="s">
        <v>3851</v>
      </c>
      <c r="AC175" s="1" t="s">
        <v>74</v>
      </c>
      <c r="AD175" s="1" t="s">
        <v>74</v>
      </c>
      <c r="AE175" s="1" t="s">
        <v>74</v>
      </c>
      <c r="AF175" s="1" t="s">
        <v>74</v>
      </c>
      <c r="AG175" s="1">
        <v>39.0</v>
      </c>
      <c r="AH175" s="1">
        <v>1.0</v>
      </c>
      <c r="AI175" s="1">
        <v>1.0</v>
      </c>
      <c r="AJ175" s="1">
        <v>3.0</v>
      </c>
      <c r="AK175" s="1">
        <v>3.0</v>
      </c>
      <c r="AL175" s="1" t="s">
        <v>223</v>
      </c>
      <c r="AM175" s="1" t="s">
        <v>224</v>
      </c>
      <c r="AN175" s="1" t="s">
        <v>225</v>
      </c>
      <c r="AO175" s="1" t="s">
        <v>3852</v>
      </c>
      <c r="AP175" s="1" t="s">
        <v>942</v>
      </c>
      <c r="AQ175" s="1" t="s">
        <v>3853</v>
      </c>
      <c r="AR175" s="1" t="s">
        <v>3854</v>
      </c>
      <c r="AS175" s="1" t="s">
        <v>74</v>
      </c>
      <c r="AT175" s="1" t="s">
        <v>74</v>
      </c>
      <c r="AU175" s="1">
        <v>2023.0</v>
      </c>
      <c r="AV175" s="1">
        <v>14020.0</v>
      </c>
      <c r="AW175" s="1" t="s">
        <v>74</v>
      </c>
      <c r="AX175" s="1" t="s">
        <v>74</v>
      </c>
      <c r="AY175" s="1" t="s">
        <v>74</v>
      </c>
      <c r="AZ175" s="1" t="s">
        <v>74</v>
      </c>
      <c r="BA175" s="1" t="s">
        <v>74</v>
      </c>
      <c r="BB175" s="1">
        <v>27.0</v>
      </c>
      <c r="BC175" s="1">
        <v>46.0</v>
      </c>
      <c r="BD175" s="1" t="s">
        <v>74</v>
      </c>
      <c r="BE175" s="1" t="s">
        <v>3855</v>
      </c>
      <c r="BF175" s="2" t="str">
        <f>HYPERLINK("http://dx.doi.org/10.1007/978-3-031-35681-0_2","http://dx.doi.org/10.1007/978-3-031-35681-0_2")</f>
        <v>http://dx.doi.org/10.1007/978-3-031-35681-0_2</v>
      </c>
      <c r="BG175" s="1" t="s">
        <v>74</v>
      </c>
      <c r="BH175" s="1" t="s">
        <v>74</v>
      </c>
      <c r="BI175" s="1">
        <v>20.0</v>
      </c>
      <c r="BJ175" s="1" t="s">
        <v>3856</v>
      </c>
      <c r="BK175" s="1" t="s">
        <v>128</v>
      </c>
      <c r="BL175" s="1" t="s">
        <v>232</v>
      </c>
      <c r="BM175" s="1" t="s">
        <v>3857</v>
      </c>
      <c r="BN175" s="1" t="s">
        <v>74</v>
      </c>
      <c r="BO175" s="1" t="s">
        <v>74</v>
      </c>
      <c r="BP175" s="1" t="s">
        <v>74</v>
      </c>
      <c r="BQ175" s="1" t="s">
        <v>74</v>
      </c>
      <c r="BR175" s="1" t="s">
        <v>102</v>
      </c>
      <c r="BS175" s="1" t="s">
        <v>3858</v>
      </c>
      <c r="BT175" s="1" t="str">
        <f>HYPERLINK("https%3A%2F%2Fwww.webofscience.com%2Fwos%2Fwoscc%2Ffull-record%2FWOS:001297830300002","View Full Record in Web of Science")</f>
        <v>View Full Record in Web of Science</v>
      </c>
    </row>
    <row r="176" ht="12.75" customHeight="1">
      <c r="A176" s="1" t="s">
        <v>132</v>
      </c>
      <c r="B176" s="1" t="s">
        <v>3859</v>
      </c>
      <c r="C176" s="1" t="s">
        <v>74</v>
      </c>
      <c r="D176" s="1" t="s">
        <v>74</v>
      </c>
      <c r="E176" s="1" t="s">
        <v>74</v>
      </c>
      <c r="F176" s="1" t="s">
        <v>3860</v>
      </c>
      <c r="G176" s="1" t="s">
        <v>74</v>
      </c>
      <c r="H176" s="1" t="s">
        <v>74</v>
      </c>
      <c r="I176" s="1" t="s">
        <v>3861</v>
      </c>
      <c r="J176" s="1" t="s">
        <v>3862</v>
      </c>
      <c r="K176" s="1" t="s">
        <v>74</v>
      </c>
      <c r="L176" s="1" t="s">
        <v>74</v>
      </c>
      <c r="M176" s="1" t="s">
        <v>3863</v>
      </c>
      <c r="N176" s="1" t="s">
        <v>136</v>
      </c>
      <c r="O176" s="1" t="s">
        <v>74</v>
      </c>
      <c r="P176" s="1" t="s">
        <v>74</v>
      </c>
      <c r="Q176" s="1" t="s">
        <v>74</v>
      </c>
      <c r="R176" s="1" t="s">
        <v>74</v>
      </c>
      <c r="S176" s="1" t="s">
        <v>74</v>
      </c>
      <c r="T176" s="1" t="s">
        <v>3864</v>
      </c>
      <c r="U176" s="1" t="s">
        <v>2084</v>
      </c>
      <c r="V176" s="1" t="s">
        <v>3865</v>
      </c>
      <c r="W176" s="1" t="s">
        <v>3866</v>
      </c>
      <c r="X176" s="1" t="s">
        <v>118</v>
      </c>
      <c r="Y176" s="1" t="s">
        <v>3867</v>
      </c>
      <c r="Z176" s="1" t="s">
        <v>3868</v>
      </c>
      <c r="AA176" s="1" t="s">
        <v>74</v>
      </c>
      <c r="AB176" s="1" t="s">
        <v>74</v>
      </c>
      <c r="AC176" s="1" t="s">
        <v>3869</v>
      </c>
      <c r="AD176" s="1" t="s">
        <v>3869</v>
      </c>
      <c r="AE176" s="1" t="s">
        <v>3870</v>
      </c>
      <c r="AF176" s="1" t="s">
        <v>74</v>
      </c>
      <c r="AG176" s="1">
        <v>23.0</v>
      </c>
      <c r="AH176" s="1">
        <v>0.0</v>
      </c>
      <c r="AI176" s="1">
        <v>0.0</v>
      </c>
      <c r="AJ176" s="1">
        <v>0.0</v>
      </c>
      <c r="AK176" s="1">
        <v>0.0</v>
      </c>
      <c r="AL176" s="1" t="s">
        <v>3871</v>
      </c>
      <c r="AM176" s="1" t="s">
        <v>3872</v>
      </c>
      <c r="AN176" s="1" t="s">
        <v>3873</v>
      </c>
      <c r="AO176" s="1" t="s">
        <v>3874</v>
      </c>
      <c r="AP176" s="1" t="s">
        <v>74</v>
      </c>
      <c r="AQ176" s="1" t="s">
        <v>74</v>
      </c>
      <c r="AR176" s="1" t="s">
        <v>3875</v>
      </c>
      <c r="AS176" s="1" t="s">
        <v>3876</v>
      </c>
      <c r="AT176" s="1" t="s">
        <v>870</v>
      </c>
      <c r="AU176" s="1">
        <v>2025.0</v>
      </c>
      <c r="AV176" s="1" t="s">
        <v>74</v>
      </c>
      <c r="AW176" s="1">
        <v>1.0</v>
      </c>
      <c r="AX176" s="1" t="s">
        <v>74</v>
      </c>
      <c r="AY176" s="1" t="s">
        <v>74</v>
      </c>
      <c r="AZ176" s="1" t="s">
        <v>74</v>
      </c>
      <c r="BA176" s="1" t="s">
        <v>74</v>
      </c>
      <c r="BB176" s="1">
        <v>71.0</v>
      </c>
      <c r="BC176" s="1">
        <v>91.0</v>
      </c>
      <c r="BD176" s="1" t="s">
        <v>74</v>
      </c>
      <c r="BE176" s="1" t="s">
        <v>3877</v>
      </c>
      <c r="BF176" s="2" t="str">
        <f>HYPERLINK("http://dx.doi.org/10.32609/0042-8736-2025-1-71-912025","http://dx.doi.org/10.32609/0042-8736-2025-1-71-912025")</f>
        <v>http://dx.doi.org/10.32609/0042-8736-2025-1-71-912025</v>
      </c>
      <c r="BG176" s="1" t="s">
        <v>74</v>
      </c>
      <c r="BH176" s="1" t="s">
        <v>74</v>
      </c>
      <c r="BI176" s="1">
        <v>21.0</v>
      </c>
      <c r="BJ176" s="1" t="s">
        <v>202</v>
      </c>
      <c r="BK176" s="1" t="s">
        <v>172</v>
      </c>
      <c r="BL176" s="1" t="s">
        <v>204</v>
      </c>
      <c r="BM176" s="1" t="s">
        <v>3878</v>
      </c>
      <c r="BN176" s="1" t="s">
        <v>74</v>
      </c>
      <c r="BO176" s="1" t="s">
        <v>74</v>
      </c>
      <c r="BP176" s="1" t="s">
        <v>74</v>
      </c>
      <c r="BQ176" s="1" t="s">
        <v>74</v>
      </c>
      <c r="BR176" s="1" t="s">
        <v>102</v>
      </c>
      <c r="BS176" s="1" t="s">
        <v>3879</v>
      </c>
      <c r="BT176" s="1" t="str">
        <f>HYPERLINK("https%3A%2F%2Fwww.webofscience.com%2Fwos%2Fwoscc%2Ffull-record%2FWOS:001402099800004","View Full Record in Web of Science")</f>
        <v>View Full Record in Web of Science</v>
      </c>
    </row>
    <row r="177" ht="12.75" customHeight="1">
      <c r="A177" s="1" t="s">
        <v>132</v>
      </c>
      <c r="B177" s="1" t="s">
        <v>3880</v>
      </c>
      <c r="C177" s="1" t="s">
        <v>74</v>
      </c>
      <c r="D177" s="1" t="s">
        <v>74</v>
      </c>
      <c r="E177" s="1" t="s">
        <v>74</v>
      </c>
      <c r="F177" s="1" t="s">
        <v>3881</v>
      </c>
      <c r="G177" s="1" t="s">
        <v>74</v>
      </c>
      <c r="H177" s="1" t="s">
        <v>74</v>
      </c>
      <c r="I177" s="1" t="s">
        <v>3882</v>
      </c>
      <c r="J177" s="1" t="s">
        <v>3883</v>
      </c>
      <c r="K177" s="1" t="s">
        <v>74</v>
      </c>
      <c r="L177" s="1" t="s">
        <v>74</v>
      </c>
      <c r="M177" s="1" t="s">
        <v>80</v>
      </c>
      <c r="N177" s="1" t="s">
        <v>136</v>
      </c>
      <c r="O177" s="1" t="s">
        <v>74</v>
      </c>
      <c r="P177" s="1" t="s">
        <v>74</v>
      </c>
      <c r="Q177" s="1" t="s">
        <v>74</v>
      </c>
      <c r="R177" s="1" t="s">
        <v>74</v>
      </c>
      <c r="S177" s="1" t="s">
        <v>74</v>
      </c>
      <c r="T177" s="1" t="s">
        <v>3884</v>
      </c>
      <c r="U177" s="1" t="s">
        <v>3885</v>
      </c>
      <c r="V177" s="1" t="s">
        <v>3886</v>
      </c>
      <c r="W177" s="1" t="s">
        <v>3887</v>
      </c>
      <c r="X177" s="1" t="s">
        <v>3888</v>
      </c>
      <c r="Y177" s="1" t="s">
        <v>3889</v>
      </c>
      <c r="Z177" s="1" t="s">
        <v>3890</v>
      </c>
      <c r="AA177" s="1" t="s">
        <v>74</v>
      </c>
      <c r="AB177" s="1" t="s">
        <v>74</v>
      </c>
      <c r="AC177" s="1" t="s">
        <v>3891</v>
      </c>
      <c r="AD177" s="1" t="s">
        <v>3892</v>
      </c>
      <c r="AE177" s="1" t="s">
        <v>3893</v>
      </c>
      <c r="AF177" s="1" t="s">
        <v>74</v>
      </c>
      <c r="AG177" s="1">
        <v>21.0</v>
      </c>
      <c r="AH177" s="1">
        <v>38.0</v>
      </c>
      <c r="AI177" s="1">
        <v>40.0</v>
      </c>
      <c r="AJ177" s="1">
        <v>21.0</v>
      </c>
      <c r="AK177" s="1">
        <v>132.0</v>
      </c>
      <c r="AL177" s="1" t="s">
        <v>321</v>
      </c>
      <c r="AM177" s="1" t="s">
        <v>322</v>
      </c>
      <c r="AN177" s="1" t="s">
        <v>323</v>
      </c>
      <c r="AO177" s="1" t="s">
        <v>3894</v>
      </c>
      <c r="AP177" s="1" t="s">
        <v>3895</v>
      </c>
      <c r="AQ177" s="1" t="s">
        <v>74</v>
      </c>
      <c r="AR177" s="1" t="s">
        <v>3896</v>
      </c>
      <c r="AS177" s="1" t="s">
        <v>3897</v>
      </c>
      <c r="AT177" s="1" t="s">
        <v>1709</v>
      </c>
      <c r="AU177" s="1">
        <v>2021.0</v>
      </c>
      <c r="AV177" s="1">
        <v>69.0</v>
      </c>
      <c r="AW177" s="1" t="s">
        <v>74</v>
      </c>
      <c r="AX177" s="1" t="s">
        <v>74</v>
      </c>
      <c r="AY177" s="1" t="s">
        <v>74</v>
      </c>
      <c r="AZ177" s="1" t="s">
        <v>74</v>
      </c>
      <c r="BA177" s="1" t="s">
        <v>74</v>
      </c>
      <c r="BB177" s="1" t="s">
        <v>74</v>
      </c>
      <c r="BC177" s="1" t="s">
        <v>74</v>
      </c>
      <c r="BD177" s="1">
        <v>103342.0</v>
      </c>
      <c r="BE177" s="1" t="s">
        <v>3898</v>
      </c>
      <c r="BF177" s="2" t="str">
        <f>HYPERLINK("http://dx.doi.org/10.1016/j.jmacro.2021.103342","http://dx.doi.org/10.1016/j.jmacro.2021.103342")</f>
        <v>http://dx.doi.org/10.1016/j.jmacro.2021.103342</v>
      </c>
      <c r="BG177" s="1" t="s">
        <v>74</v>
      </c>
      <c r="BH177" s="1" t="s">
        <v>3899</v>
      </c>
      <c r="BI177" s="1">
        <v>15.0</v>
      </c>
      <c r="BJ177" s="1" t="s">
        <v>202</v>
      </c>
      <c r="BK177" s="1" t="s">
        <v>203</v>
      </c>
      <c r="BL177" s="1" t="s">
        <v>204</v>
      </c>
      <c r="BM177" s="1" t="s">
        <v>3900</v>
      </c>
      <c r="BN177" s="1" t="s">
        <v>74</v>
      </c>
      <c r="BO177" s="1" t="s">
        <v>74</v>
      </c>
      <c r="BP177" s="1" t="s">
        <v>74</v>
      </c>
      <c r="BQ177" s="1" t="s">
        <v>74</v>
      </c>
      <c r="BR177" s="1" t="s">
        <v>102</v>
      </c>
      <c r="BS177" s="1" t="s">
        <v>3901</v>
      </c>
      <c r="BT177" s="1" t="str">
        <f>HYPERLINK("https%3A%2F%2Fwww.webofscience.com%2Fwos%2Fwoscc%2Ffull-record%2FWOS:000692829300016","View Full Record in Web of Science")</f>
        <v>View Full Record in Web of Science</v>
      </c>
    </row>
    <row r="178" ht="12.75" customHeight="1">
      <c r="A178" s="1" t="s">
        <v>72</v>
      </c>
      <c r="B178" s="1" t="s">
        <v>3902</v>
      </c>
      <c r="C178" s="1" t="s">
        <v>74</v>
      </c>
      <c r="D178" s="1" t="s">
        <v>3903</v>
      </c>
      <c r="E178" s="1" t="s">
        <v>74</v>
      </c>
      <c r="F178" s="1" t="s">
        <v>3904</v>
      </c>
      <c r="G178" s="1" t="s">
        <v>74</v>
      </c>
      <c r="H178" s="1" t="s">
        <v>74</v>
      </c>
      <c r="I178" s="1" t="s">
        <v>3905</v>
      </c>
      <c r="J178" s="1" t="s">
        <v>3906</v>
      </c>
      <c r="K178" s="1" t="s">
        <v>3907</v>
      </c>
      <c r="L178" s="1" t="s">
        <v>74</v>
      </c>
      <c r="M178" s="1" t="s">
        <v>80</v>
      </c>
      <c r="N178" s="1" t="s">
        <v>81</v>
      </c>
      <c r="O178" s="1" t="s">
        <v>3908</v>
      </c>
      <c r="P178" s="1" t="s">
        <v>3909</v>
      </c>
      <c r="Q178" s="1" t="s">
        <v>3910</v>
      </c>
      <c r="R178" s="1" t="s">
        <v>74</v>
      </c>
      <c r="S178" s="1" t="s">
        <v>3911</v>
      </c>
      <c r="T178" s="1" t="s">
        <v>3912</v>
      </c>
      <c r="U178" s="1" t="s">
        <v>3913</v>
      </c>
      <c r="V178" s="1" t="s">
        <v>3914</v>
      </c>
      <c r="W178" s="1" t="s">
        <v>3915</v>
      </c>
      <c r="X178" s="1" t="s">
        <v>3916</v>
      </c>
      <c r="Y178" s="1" t="s">
        <v>3917</v>
      </c>
      <c r="Z178" s="1" t="s">
        <v>3918</v>
      </c>
      <c r="AA178" s="1" t="s">
        <v>3919</v>
      </c>
      <c r="AB178" s="1" t="s">
        <v>3920</v>
      </c>
      <c r="AC178" s="1" t="s">
        <v>3921</v>
      </c>
      <c r="AD178" s="1" t="s">
        <v>3922</v>
      </c>
      <c r="AE178" s="1" t="s">
        <v>3923</v>
      </c>
      <c r="AF178" s="1" t="s">
        <v>74</v>
      </c>
      <c r="AG178" s="1">
        <v>50.0</v>
      </c>
      <c r="AH178" s="1">
        <v>0.0</v>
      </c>
      <c r="AI178" s="1">
        <v>0.0</v>
      </c>
      <c r="AJ178" s="1">
        <v>0.0</v>
      </c>
      <c r="AK178" s="1">
        <v>0.0</v>
      </c>
      <c r="AL178" s="1" t="s">
        <v>223</v>
      </c>
      <c r="AM178" s="1" t="s">
        <v>224</v>
      </c>
      <c r="AN178" s="1" t="s">
        <v>225</v>
      </c>
      <c r="AO178" s="1" t="s">
        <v>3924</v>
      </c>
      <c r="AP178" s="1" t="s">
        <v>3925</v>
      </c>
      <c r="AQ178" s="1" t="s">
        <v>3926</v>
      </c>
      <c r="AR178" s="1" t="s">
        <v>3927</v>
      </c>
      <c r="AS178" s="1" t="s">
        <v>74</v>
      </c>
      <c r="AT178" s="1" t="s">
        <v>74</v>
      </c>
      <c r="AU178" s="1">
        <v>2023.0</v>
      </c>
      <c r="AV178" s="1">
        <v>690.0</v>
      </c>
      <c r="AW178" s="1" t="s">
        <v>74</v>
      </c>
      <c r="AX178" s="1" t="s">
        <v>74</v>
      </c>
      <c r="AY178" s="1" t="s">
        <v>74</v>
      </c>
      <c r="AZ178" s="1" t="s">
        <v>74</v>
      </c>
      <c r="BA178" s="1" t="s">
        <v>74</v>
      </c>
      <c r="BB178" s="1">
        <v>662.0</v>
      </c>
      <c r="BC178" s="1">
        <v>673.0</v>
      </c>
      <c r="BD178" s="1" t="s">
        <v>74</v>
      </c>
      <c r="BE178" s="1" t="s">
        <v>3928</v>
      </c>
      <c r="BF178" s="2" t="str">
        <f>HYPERLINK("http://dx.doi.org/10.1007/978-3-031-43666-6_45","http://dx.doi.org/10.1007/978-3-031-43666-6_45")</f>
        <v>http://dx.doi.org/10.1007/978-3-031-43666-6_45</v>
      </c>
      <c r="BG178" s="1" t="s">
        <v>74</v>
      </c>
      <c r="BH178" s="1" t="s">
        <v>74</v>
      </c>
      <c r="BI178" s="1">
        <v>12.0</v>
      </c>
      <c r="BJ178" s="1" t="s">
        <v>3929</v>
      </c>
      <c r="BK178" s="1" t="s">
        <v>128</v>
      </c>
      <c r="BL178" s="1" t="s">
        <v>1099</v>
      </c>
      <c r="BM178" s="1" t="s">
        <v>3930</v>
      </c>
      <c r="BN178" s="1" t="s">
        <v>74</v>
      </c>
      <c r="BO178" s="1" t="s">
        <v>74</v>
      </c>
      <c r="BP178" s="1" t="s">
        <v>74</v>
      </c>
      <c r="BQ178" s="1" t="s">
        <v>74</v>
      </c>
      <c r="BR178" s="1" t="s">
        <v>102</v>
      </c>
      <c r="BS178" s="1" t="s">
        <v>3931</v>
      </c>
      <c r="BT178" s="1" t="str">
        <f>HYPERLINK("https%3A%2F%2Fwww.webofscience.com%2Fwos%2Fwoscc%2Ffull-record%2FWOS:001360251000045","View Full Record in Web of Science")</f>
        <v>View Full Record in Web of Science</v>
      </c>
    </row>
    <row r="179" ht="12.75" customHeight="1">
      <c r="A179" s="1" t="s">
        <v>72</v>
      </c>
      <c r="B179" s="1" t="s">
        <v>3932</v>
      </c>
      <c r="C179" s="1" t="s">
        <v>74</v>
      </c>
      <c r="D179" s="1" t="s">
        <v>74</v>
      </c>
      <c r="E179" s="1" t="s">
        <v>3933</v>
      </c>
      <c r="F179" s="1" t="s">
        <v>3934</v>
      </c>
      <c r="G179" s="1" t="s">
        <v>74</v>
      </c>
      <c r="H179" s="1" t="s">
        <v>74</v>
      </c>
      <c r="I179" s="1" t="s">
        <v>3935</v>
      </c>
      <c r="J179" s="1" t="s">
        <v>3936</v>
      </c>
      <c r="K179" s="1" t="s">
        <v>74</v>
      </c>
      <c r="L179" s="1" t="s">
        <v>74</v>
      </c>
      <c r="M179" s="1" t="s">
        <v>80</v>
      </c>
      <c r="N179" s="1" t="s">
        <v>81</v>
      </c>
      <c r="O179" s="1" t="s">
        <v>3937</v>
      </c>
      <c r="P179" s="1" t="s">
        <v>3938</v>
      </c>
      <c r="Q179" s="1" t="s">
        <v>667</v>
      </c>
      <c r="R179" s="1" t="s">
        <v>3939</v>
      </c>
      <c r="S179" s="1" t="s">
        <v>74</v>
      </c>
      <c r="T179" s="1" t="s">
        <v>3940</v>
      </c>
      <c r="U179" s="1" t="s">
        <v>74</v>
      </c>
      <c r="V179" s="1" t="s">
        <v>3941</v>
      </c>
      <c r="W179" s="1" t="s">
        <v>74</v>
      </c>
      <c r="X179" s="1" t="s">
        <v>74</v>
      </c>
      <c r="Y179" s="1" t="s">
        <v>74</v>
      </c>
      <c r="Z179" s="1" t="s">
        <v>74</v>
      </c>
      <c r="AA179" s="1" t="s">
        <v>3942</v>
      </c>
      <c r="AB179" s="1" t="s">
        <v>3943</v>
      </c>
      <c r="AC179" s="1" t="s">
        <v>74</v>
      </c>
      <c r="AD179" s="1" t="s">
        <v>74</v>
      </c>
      <c r="AE179" s="1" t="s">
        <v>74</v>
      </c>
      <c r="AF179" s="1" t="s">
        <v>74</v>
      </c>
      <c r="AG179" s="1">
        <v>30.0</v>
      </c>
      <c r="AH179" s="1">
        <v>1.0</v>
      </c>
      <c r="AI179" s="1">
        <v>1.0</v>
      </c>
      <c r="AJ179" s="1">
        <v>7.0</v>
      </c>
      <c r="AK179" s="1">
        <v>25.0</v>
      </c>
      <c r="AL179" s="1" t="s">
        <v>296</v>
      </c>
      <c r="AM179" s="1" t="s">
        <v>297</v>
      </c>
      <c r="AN179" s="1" t="s">
        <v>800</v>
      </c>
      <c r="AO179" s="1" t="s">
        <v>74</v>
      </c>
      <c r="AP179" s="1" t="s">
        <v>74</v>
      </c>
      <c r="AQ179" s="1" t="s">
        <v>3944</v>
      </c>
      <c r="AR179" s="1" t="s">
        <v>74</v>
      </c>
      <c r="AS179" s="1" t="s">
        <v>74</v>
      </c>
      <c r="AT179" s="1" t="s">
        <v>74</v>
      </c>
      <c r="AU179" s="1">
        <v>2021.0</v>
      </c>
      <c r="AV179" s="1" t="s">
        <v>74</v>
      </c>
      <c r="AW179" s="1" t="s">
        <v>74</v>
      </c>
      <c r="AX179" s="1" t="s">
        <v>74</v>
      </c>
      <c r="AY179" s="1" t="s">
        <v>74</v>
      </c>
      <c r="AZ179" s="1" t="s">
        <v>74</v>
      </c>
      <c r="BA179" s="1" t="s">
        <v>74</v>
      </c>
      <c r="BB179" s="1">
        <v>64.0</v>
      </c>
      <c r="BC179" s="1">
        <v>70.0</v>
      </c>
      <c r="BD179" s="1" t="s">
        <v>74</v>
      </c>
      <c r="BE179" s="1" t="s">
        <v>3945</v>
      </c>
      <c r="BF179" s="2" t="str">
        <f>HYPERLINK("http://dx.doi.org/10.1109/CogMI52975.2021.00017","http://dx.doi.org/10.1109/CogMI52975.2021.00017")</f>
        <v>http://dx.doi.org/10.1109/CogMI52975.2021.00017</v>
      </c>
      <c r="BG179" s="1" t="s">
        <v>74</v>
      </c>
      <c r="BH179" s="1" t="s">
        <v>74</v>
      </c>
      <c r="BI179" s="1">
        <v>7.0</v>
      </c>
      <c r="BJ179" s="1" t="s">
        <v>527</v>
      </c>
      <c r="BK179" s="1" t="s">
        <v>128</v>
      </c>
      <c r="BL179" s="1" t="s">
        <v>232</v>
      </c>
      <c r="BM179" s="1" t="s">
        <v>3946</v>
      </c>
      <c r="BN179" s="1" t="s">
        <v>74</v>
      </c>
      <c r="BO179" s="1" t="s">
        <v>74</v>
      </c>
      <c r="BP179" s="1" t="s">
        <v>74</v>
      </c>
      <c r="BQ179" s="1" t="s">
        <v>74</v>
      </c>
      <c r="BR179" s="1" t="s">
        <v>102</v>
      </c>
      <c r="BS179" s="1" t="s">
        <v>3947</v>
      </c>
      <c r="BT179" s="1" t="str">
        <f>HYPERLINK("https%3A%2F%2Fwww.webofscience.com%2Fwos%2Fwoscc%2Ffull-record%2FWOS:000835349000008","View Full Record in Web of Science")</f>
        <v>View Full Record in Web of Science</v>
      </c>
    </row>
    <row r="180" ht="12.75" customHeight="1">
      <c r="A180" s="1" t="s">
        <v>132</v>
      </c>
      <c r="B180" s="1" t="s">
        <v>3948</v>
      </c>
      <c r="C180" s="1" t="s">
        <v>74</v>
      </c>
      <c r="D180" s="1" t="s">
        <v>74</v>
      </c>
      <c r="E180" s="1" t="s">
        <v>74</v>
      </c>
      <c r="F180" s="1" t="s">
        <v>3949</v>
      </c>
      <c r="G180" s="1" t="s">
        <v>74</v>
      </c>
      <c r="H180" s="1" t="s">
        <v>3950</v>
      </c>
      <c r="I180" s="1" t="s">
        <v>3951</v>
      </c>
      <c r="J180" s="1" t="s">
        <v>3952</v>
      </c>
      <c r="K180" s="1" t="s">
        <v>74</v>
      </c>
      <c r="L180" s="1" t="s">
        <v>74</v>
      </c>
      <c r="M180" s="1" t="s">
        <v>80</v>
      </c>
      <c r="N180" s="1" t="s">
        <v>136</v>
      </c>
      <c r="O180" s="1" t="s">
        <v>74</v>
      </c>
      <c r="P180" s="1" t="s">
        <v>74</v>
      </c>
      <c r="Q180" s="1" t="s">
        <v>74</v>
      </c>
      <c r="R180" s="1" t="s">
        <v>74</v>
      </c>
      <c r="S180" s="1" t="s">
        <v>74</v>
      </c>
      <c r="T180" s="1" t="s">
        <v>3953</v>
      </c>
      <c r="U180" s="1" t="s">
        <v>3954</v>
      </c>
      <c r="V180" s="1" t="s">
        <v>3955</v>
      </c>
      <c r="W180" s="1" t="s">
        <v>3956</v>
      </c>
      <c r="X180" s="1" t="s">
        <v>3957</v>
      </c>
      <c r="Y180" s="1" t="s">
        <v>3958</v>
      </c>
      <c r="Z180" s="1" t="s">
        <v>3959</v>
      </c>
      <c r="AA180" s="1" t="s">
        <v>3960</v>
      </c>
      <c r="AB180" s="1" t="s">
        <v>3961</v>
      </c>
      <c r="AC180" s="1" t="s">
        <v>3962</v>
      </c>
      <c r="AD180" s="1" t="s">
        <v>3963</v>
      </c>
      <c r="AE180" s="1" t="s">
        <v>3964</v>
      </c>
      <c r="AF180" s="1" t="s">
        <v>74</v>
      </c>
      <c r="AG180" s="1">
        <v>81.0</v>
      </c>
      <c r="AH180" s="1">
        <v>24.0</v>
      </c>
      <c r="AI180" s="1">
        <v>24.0</v>
      </c>
      <c r="AJ180" s="1">
        <v>19.0</v>
      </c>
      <c r="AK180" s="1">
        <v>59.0</v>
      </c>
      <c r="AL180" s="1" t="s">
        <v>3965</v>
      </c>
      <c r="AM180" s="1" t="s">
        <v>3966</v>
      </c>
      <c r="AN180" s="1" t="s">
        <v>3967</v>
      </c>
      <c r="AO180" s="1" t="s">
        <v>3968</v>
      </c>
      <c r="AP180" s="1" t="s">
        <v>74</v>
      </c>
      <c r="AQ180" s="1" t="s">
        <v>74</v>
      </c>
      <c r="AR180" s="1" t="s">
        <v>3969</v>
      </c>
      <c r="AS180" s="1" t="s">
        <v>3970</v>
      </c>
      <c r="AT180" s="1" t="s">
        <v>328</v>
      </c>
      <c r="AU180" s="1">
        <v>2021.0</v>
      </c>
      <c r="AV180" s="1">
        <v>10.0</v>
      </c>
      <c r="AW180" s="1">
        <v>7.0</v>
      </c>
      <c r="AX180" s="1" t="s">
        <v>74</v>
      </c>
      <c r="AY180" s="1" t="s">
        <v>74</v>
      </c>
      <c r="AZ180" s="1" t="s">
        <v>74</v>
      </c>
      <c r="BA180" s="1" t="s">
        <v>74</v>
      </c>
      <c r="BB180" s="1" t="s">
        <v>74</v>
      </c>
      <c r="BC180" s="1" t="s">
        <v>74</v>
      </c>
      <c r="BD180" s="1">
        <v>14.0</v>
      </c>
      <c r="BE180" s="1" t="s">
        <v>3971</v>
      </c>
      <c r="BF180" s="2" t="str">
        <f>HYPERLINK("http://dx.doi.org/10.1167/tvst.10.7.14","http://dx.doi.org/10.1167/tvst.10.7.14")</f>
        <v>http://dx.doi.org/10.1167/tvst.10.7.14</v>
      </c>
      <c r="BG180" s="1" t="s">
        <v>74</v>
      </c>
      <c r="BH180" s="1" t="s">
        <v>74</v>
      </c>
      <c r="BI180" s="1">
        <v>11.0</v>
      </c>
      <c r="BJ180" s="1" t="s">
        <v>1029</v>
      </c>
      <c r="BK180" s="1" t="s">
        <v>149</v>
      </c>
      <c r="BL180" s="1" t="s">
        <v>1029</v>
      </c>
      <c r="BM180" s="1" t="s">
        <v>3972</v>
      </c>
      <c r="BN180" s="1">
        <v>3.4125146E7</v>
      </c>
      <c r="BO180" s="1" t="s">
        <v>1161</v>
      </c>
      <c r="BP180" s="1" t="s">
        <v>74</v>
      </c>
      <c r="BQ180" s="1" t="s">
        <v>74</v>
      </c>
      <c r="BR180" s="1" t="s">
        <v>102</v>
      </c>
      <c r="BS180" s="1" t="s">
        <v>3973</v>
      </c>
      <c r="BT180" s="1" t="str">
        <f>HYPERLINK("https%3A%2F%2Fwww.webofscience.com%2Fwos%2Fwoscc%2Ffull-record%2FWOS:000669229400010","View Full Record in Web of Science")</f>
        <v>View Full Record in Web of Science</v>
      </c>
    </row>
    <row r="181" ht="12.75" customHeight="1">
      <c r="A181" s="1" t="s">
        <v>72</v>
      </c>
      <c r="B181" s="1" t="s">
        <v>3974</v>
      </c>
      <c r="C181" s="1" t="s">
        <v>74</v>
      </c>
      <c r="D181" s="1" t="s">
        <v>74</v>
      </c>
      <c r="E181" s="1" t="s">
        <v>3134</v>
      </c>
      <c r="F181" s="1" t="s">
        <v>3975</v>
      </c>
      <c r="G181" s="1" t="s">
        <v>74</v>
      </c>
      <c r="H181" s="1" t="s">
        <v>74</v>
      </c>
      <c r="I181" s="1" t="s">
        <v>3976</v>
      </c>
      <c r="J181" s="1" t="s">
        <v>3977</v>
      </c>
      <c r="K181" s="1" t="s">
        <v>74</v>
      </c>
      <c r="L181" s="1" t="s">
        <v>74</v>
      </c>
      <c r="M181" s="1" t="s">
        <v>80</v>
      </c>
      <c r="N181" s="1" t="s">
        <v>81</v>
      </c>
      <c r="O181" s="1" t="s">
        <v>3978</v>
      </c>
      <c r="P181" s="1" t="s">
        <v>3979</v>
      </c>
      <c r="Q181" s="1" t="s">
        <v>3980</v>
      </c>
      <c r="R181" s="1" t="s">
        <v>3981</v>
      </c>
      <c r="S181" s="1" t="s">
        <v>74</v>
      </c>
      <c r="T181" s="1" t="s">
        <v>3982</v>
      </c>
      <c r="U181" s="1" t="s">
        <v>74</v>
      </c>
      <c r="V181" s="1" t="s">
        <v>3983</v>
      </c>
      <c r="W181" s="1" t="s">
        <v>3984</v>
      </c>
      <c r="X181" s="1" t="s">
        <v>3985</v>
      </c>
      <c r="Y181" s="1" t="s">
        <v>3986</v>
      </c>
      <c r="Z181" s="1" t="s">
        <v>3987</v>
      </c>
      <c r="AA181" s="1" t="s">
        <v>74</v>
      </c>
      <c r="AB181" s="1" t="s">
        <v>74</v>
      </c>
      <c r="AC181" s="1" t="s">
        <v>3988</v>
      </c>
      <c r="AD181" s="1" t="s">
        <v>3989</v>
      </c>
      <c r="AE181" s="1" t="s">
        <v>3990</v>
      </c>
      <c r="AF181" s="1" t="s">
        <v>74</v>
      </c>
      <c r="AG181" s="1">
        <v>16.0</v>
      </c>
      <c r="AH181" s="1">
        <v>1.0</v>
      </c>
      <c r="AI181" s="1">
        <v>1.0</v>
      </c>
      <c r="AJ181" s="1">
        <v>0.0</v>
      </c>
      <c r="AK181" s="1">
        <v>3.0</v>
      </c>
      <c r="AL181" s="1" t="s">
        <v>1426</v>
      </c>
      <c r="AM181" s="1" t="s">
        <v>193</v>
      </c>
      <c r="AN181" s="1" t="s">
        <v>1427</v>
      </c>
      <c r="AO181" s="1" t="s">
        <v>74</v>
      </c>
      <c r="AP181" s="1" t="s">
        <v>74</v>
      </c>
      <c r="AQ181" s="1" t="s">
        <v>3991</v>
      </c>
      <c r="AR181" s="1" t="s">
        <v>74</v>
      </c>
      <c r="AS181" s="1" t="s">
        <v>74</v>
      </c>
      <c r="AT181" s="1" t="s">
        <v>74</v>
      </c>
      <c r="AU181" s="1">
        <v>2019.0</v>
      </c>
      <c r="AV181" s="1" t="s">
        <v>74</v>
      </c>
      <c r="AW181" s="1" t="s">
        <v>74</v>
      </c>
      <c r="AX181" s="1" t="s">
        <v>74</v>
      </c>
      <c r="AY181" s="1" t="s">
        <v>74</v>
      </c>
      <c r="AZ181" s="1" t="s">
        <v>74</v>
      </c>
      <c r="BA181" s="1" t="s">
        <v>74</v>
      </c>
      <c r="BB181" s="1">
        <v>535.0</v>
      </c>
      <c r="BC181" s="1">
        <v>540.0</v>
      </c>
      <c r="BD181" s="1" t="s">
        <v>74</v>
      </c>
      <c r="BE181" s="1" t="s">
        <v>3992</v>
      </c>
      <c r="BF181" s="2" t="str">
        <f>HYPERLINK("http://dx.doi.org/10.1145/3294109.3301262","http://dx.doi.org/10.1145/3294109.3301262")</f>
        <v>http://dx.doi.org/10.1145/3294109.3301262</v>
      </c>
      <c r="BG181" s="1" t="s">
        <v>74</v>
      </c>
      <c r="BH181" s="1" t="s">
        <v>74</v>
      </c>
      <c r="BI181" s="1">
        <v>6.0</v>
      </c>
      <c r="BJ181" s="1" t="s">
        <v>3993</v>
      </c>
      <c r="BK181" s="1" t="s">
        <v>128</v>
      </c>
      <c r="BL181" s="1" t="s">
        <v>1325</v>
      </c>
      <c r="BM181" s="1" t="s">
        <v>3994</v>
      </c>
      <c r="BN181" s="1" t="s">
        <v>74</v>
      </c>
      <c r="BO181" s="1" t="s">
        <v>74</v>
      </c>
      <c r="BP181" s="1" t="s">
        <v>74</v>
      </c>
      <c r="BQ181" s="1" t="s">
        <v>74</v>
      </c>
      <c r="BR181" s="1" t="s">
        <v>102</v>
      </c>
      <c r="BS181" s="1" t="s">
        <v>3995</v>
      </c>
      <c r="BT181" s="1" t="str">
        <f>HYPERLINK("https%3A%2F%2Fwww.webofscience.com%2Fwos%2Fwoscc%2Ffull-record%2FWOS:000472795300067","View Full Record in Web of Science")</f>
        <v>View Full Record in Web of Science</v>
      </c>
    </row>
    <row r="182" ht="12.75" customHeight="1">
      <c r="A182" s="1" t="s">
        <v>72</v>
      </c>
      <c r="B182" s="1" t="s">
        <v>3996</v>
      </c>
      <c r="C182" s="1" t="s">
        <v>74</v>
      </c>
      <c r="D182" s="1" t="s">
        <v>362</v>
      </c>
      <c r="E182" s="1" t="s">
        <v>74</v>
      </c>
      <c r="F182" s="1" t="s">
        <v>3997</v>
      </c>
      <c r="G182" s="1" t="s">
        <v>74</v>
      </c>
      <c r="H182" s="1" t="s">
        <v>74</v>
      </c>
      <c r="I182" s="1" t="s">
        <v>3998</v>
      </c>
      <c r="J182" s="1" t="s">
        <v>365</v>
      </c>
      <c r="K182" s="1" t="s">
        <v>74</v>
      </c>
      <c r="L182" s="1" t="s">
        <v>74</v>
      </c>
      <c r="M182" s="1" t="s">
        <v>80</v>
      </c>
      <c r="N182" s="1" t="s">
        <v>81</v>
      </c>
      <c r="O182" s="1" t="s">
        <v>366</v>
      </c>
      <c r="P182" s="1" t="s">
        <v>367</v>
      </c>
      <c r="Q182" s="1" t="s">
        <v>368</v>
      </c>
      <c r="R182" s="1" t="s">
        <v>74</v>
      </c>
      <c r="S182" s="1" t="s">
        <v>369</v>
      </c>
      <c r="T182" s="1" t="s">
        <v>3999</v>
      </c>
      <c r="U182" s="1" t="s">
        <v>74</v>
      </c>
      <c r="V182" s="1" t="s">
        <v>4000</v>
      </c>
      <c r="W182" s="1" t="s">
        <v>4001</v>
      </c>
      <c r="X182" s="1" t="s">
        <v>4002</v>
      </c>
      <c r="Y182" s="1" t="s">
        <v>4003</v>
      </c>
      <c r="Z182" s="1" t="s">
        <v>4004</v>
      </c>
      <c r="AA182" s="1" t="s">
        <v>4005</v>
      </c>
      <c r="AB182" s="1" t="s">
        <v>4006</v>
      </c>
      <c r="AC182" s="1" t="s">
        <v>74</v>
      </c>
      <c r="AD182" s="1" t="s">
        <v>74</v>
      </c>
      <c r="AE182" s="1" t="s">
        <v>74</v>
      </c>
      <c r="AF182" s="1" t="s">
        <v>74</v>
      </c>
      <c r="AG182" s="1">
        <v>18.0</v>
      </c>
      <c r="AH182" s="1">
        <v>0.0</v>
      </c>
      <c r="AI182" s="1">
        <v>0.0</v>
      </c>
      <c r="AJ182" s="1">
        <v>7.0</v>
      </c>
      <c r="AK182" s="1">
        <v>45.0</v>
      </c>
      <c r="AL182" s="1" t="s">
        <v>122</v>
      </c>
      <c r="AM182" s="1" t="s">
        <v>123</v>
      </c>
      <c r="AN182" s="1" t="s">
        <v>124</v>
      </c>
      <c r="AO182" s="1" t="s">
        <v>74</v>
      </c>
      <c r="AP182" s="1" t="s">
        <v>74</v>
      </c>
      <c r="AQ182" s="1" t="s">
        <v>376</v>
      </c>
      <c r="AR182" s="1" t="s">
        <v>74</v>
      </c>
      <c r="AS182" s="1" t="s">
        <v>74</v>
      </c>
      <c r="AT182" s="1" t="s">
        <v>74</v>
      </c>
      <c r="AU182" s="1">
        <v>2019.0</v>
      </c>
      <c r="AV182" s="1" t="s">
        <v>74</v>
      </c>
      <c r="AW182" s="1" t="s">
        <v>74</v>
      </c>
      <c r="AX182" s="1" t="s">
        <v>74</v>
      </c>
      <c r="AY182" s="1" t="s">
        <v>74</v>
      </c>
      <c r="AZ182" s="1" t="s">
        <v>74</v>
      </c>
      <c r="BA182" s="1" t="s">
        <v>74</v>
      </c>
      <c r="BB182" s="1">
        <v>483.0</v>
      </c>
      <c r="BC182" s="1">
        <v>489.0</v>
      </c>
      <c r="BD182" s="1" t="s">
        <v>74</v>
      </c>
      <c r="BE182" s="1" t="s">
        <v>4007</v>
      </c>
      <c r="BF182" s="2" t="str">
        <f>HYPERLINK("http://dx.doi.org/10.34190/ECIAIR.19.077","http://dx.doi.org/10.34190/ECIAIR.19.077")</f>
        <v>http://dx.doi.org/10.34190/ECIAIR.19.077</v>
      </c>
      <c r="BG182" s="1" t="s">
        <v>74</v>
      </c>
      <c r="BH182" s="1" t="s">
        <v>74</v>
      </c>
      <c r="BI182" s="1">
        <v>7.0</v>
      </c>
      <c r="BJ182" s="1" t="s">
        <v>127</v>
      </c>
      <c r="BK182" s="1" t="s">
        <v>128</v>
      </c>
      <c r="BL182" s="1" t="s">
        <v>129</v>
      </c>
      <c r="BM182" s="1" t="s">
        <v>378</v>
      </c>
      <c r="BN182" s="1" t="s">
        <v>74</v>
      </c>
      <c r="BO182" s="1" t="s">
        <v>74</v>
      </c>
      <c r="BP182" s="1" t="s">
        <v>74</v>
      </c>
      <c r="BQ182" s="1" t="s">
        <v>74</v>
      </c>
      <c r="BR182" s="1" t="s">
        <v>102</v>
      </c>
      <c r="BS182" s="1" t="s">
        <v>4008</v>
      </c>
      <c r="BT182" s="1" t="str">
        <f>HYPERLINK("https%3A%2F%2Fwww.webofscience.com%2Fwos%2Fwoscc%2Ffull-record%2FWOS:000539633500056","View Full Record in Web of Science")</f>
        <v>View Full Record in Web of Science</v>
      </c>
    </row>
    <row r="183" ht="12.75" customHeight="1">
      <c r="A183" s="1" t="s">
        <v>132</v>
      </c>
      <c r="B183" s="1" t="s">
        <v>4009</v>
      </c>
      <c r="C183" s="1" t="s">
        <v>74</v>
      </c>
      <c r="D183" s="1" t="s">
        <v>74</v>
      </c>
      <c r="E183" s="1" t="s">
        <v>74</v>
      </c>
      <c r="F183" s="1" t="s">
        <v>4010</v>
      </c>
      <c r="G183" s="1" t="s">
        <v>74</v>
      </c>
      <c r="H183" s="1" t="s">
        <v>74</v>
      </c>
      <c r="I183" s="1" t="s">
        <v>4011</v>
      </c>
      <c r="J183" s="1" t="s">
        <v>4012</v>
      </c>
      <c r="K183" s="1" t="s">
        <v>74</v>
      </c>
      <c r="L183" s="1" t="s">
        <v>74</v>
      </c>
      <c r="M183" s="1" t="s">
        <v>80</v>
      </c>
      <c r="N183" s="1" t="s">
        <v>136</v>
      </c>
      <c r="O183" s="1" t="s">
        <v>74</v>
      </c>
      <c r="P183" s="1" t="s">
        <v>74</v>
      </c>
      <c r="Q183" s="1" t="s">
        <v>74</v>
      </c>
      <c r="R183" s="1" t="s">
        <v>74</v>
      </c>
      <c r="S183" s="1" t="s">
        <v>74</v>
      </c>
      <c r="T183" s="1" t="s">
        <v>4013</v>
      </c>
      <c r="U183" s="1" t="s">
        <v>4014</v>
      </c>
      <c r="V183" s="1" t="s">
        <v>4015</v>
      </c>
      <c r="W183" s="1" t="s">
        <v>4016</v>
      </c>
      <c r="X183" s="1" t="s">
        <v>4017</v>
      </c>
      <c r="Y183" s="1" t="s">
        <v>4018</v>
      </c>
      <c r="Z183" s="1" t="s">
        <v>4019</v>
      </c>
      <c r="AA183" s="1" t="s">
        <v>74</v>
      </c>
      <c r="AB183" s="1" t="s">
        <v>4020</v>
      </c>
      <c r="AC183" s="1" t="s">
        <v>4021</v>
      </c>
      <c r="AD183" s="1" t="s">
        <v>4021</v>
      </c>
      <c r="AE183" s="1" t="s">
        <v>4022</v>
      </c>
      <c r="AF183" s="1" t="s">
        <v>74</v>
      </c>
      <c r="AG183" s="1">
        <v>35.0</v>
      </c>
      <c r="AH183" s="1">
        <v>9.0</v>
      </c>
      <c r="AI183" s="1">
        <v>9.0</v>
      </c>
      <c r="AJ183" s="1">
        <v>4.0</v>
      </c>
      <c r="AK183" s="1">
        <v>22.0</v>
      </c>
      <c r="AL183" s="1" t="s">
        <v>348</v>
      </c>
      <c r="AM183" s="1" t="s">
        <v>349</v>
      </c>
      <c r="AN183" s="1" t="s">
        <v>350</v>
      </c>
      <c r="AO183" s="1" t="s">
        <v>4023</v>
      </c>
      <c r="AP183" s="1" t="s">
        <v>4024</v>
      </c>
      <c r="AQ183" s="1" t="s">
        <v>74</v>
      </c>
      <c r="AR183" s="1" t="s">
        <v>4025</v>
      </c>
      <c r="AS183" s="1" t="s">
        <v>4026</v>
      </c>
      <c r="AT183" s="1" t="s">
        <v>870</v>
      </c>
      <c r="AU183" s="1">
        <v>2020.0</v>
      </c>
      <c r="AV183" s="1">
        <v>10.0</v>
      </c>
      <c r="AW183" s="1" t="s">
        <v>74</v>
      </c>
      <c r="AX183" s="1" t="s">
        <v>74</v>
      </c>
      <c r="AY183" s="1">
        <v>1.0</v>
      </c>
      <c r="AZ183" s="1" t="s">
        <v>474</v>
      </c>
      <c r="BA183" s="1" t="s">
        <v>74</v>
      </c>
      <c r="BB183" s="1" t="s">
        <v>4027</v>
      </c>
      <c r="BC183" s="1" t="s">
        <v>4028</v>
      </c>
      <c r="BD183" s="1" t="s">
        <v>74</v>
      </c>
      <c r="BE183" s="1" t="s">
        <v>4029</v>
      </c>
      <c r="BF183" s="2" t="str">
        <f>HYPERLINK("http://dx.doi.org/10.1177/2192568219878133","http://dx.doi.org/10.1177/2192568219878133")</f>
        <v>http://dx.doi.org/10.1177/2192568219878133</v>
      </c>
      <c r="BG183" s="1" t="s">
        <v>74</v>
      </c>
      <c r="BH183" s="1" t="s">
        <v>74</v>
      </c>
      <c r="BI183" s="1">
        <v>5.0</v>
      </c>
      <c r="BJ183" s="1" t="s">
        <v>2664</v>
      </c>
      <c r="BK183" s="1" t="s">
        <v>149</v>
      </c>
      <c r="BL183" s="1" t="s">
        <v>2665</v>
      </c>
      <c r="BM183" s="1" t="s">
        <v>4030</v>
      </c>
      <c r="BN183" s="1">
        <v>3.1934528E7</v>
      </c>
      <c r="BO183" s="1" t="s">
        <v>284</v>
      </c>
      <c r="BP183" s="1" t="s">
        <v>74</v>
      </c>
      <c r="BQ183" s="1" t="s">
        <v>74</v>
      </c>
      <c r="BR183" s="1" t="s">
        <v>102</v>
      </c>
      <c r="BS183" s="1" t="s">
        <v>4031</v>
      </c>
      <c r="BT183" s="1" t="str">
        <f>HYPERLINK("https%3A%2F%2Fwww.webofscience.com%2Fwos%2Fwoscc%2Ffull-record%2FWOS:000505983700014","View Full Record in Web of Science")</f>
        <v>View Full Record in Web of Science</v>
      </c>
    </row>
    <row r="184" ht="12.75" customHeight="1">
      <c r="A184" s="1" t="s">
        <v>132</v>
      </c>
      <c r="B184" s="1" t="s">
        <v>4032</v>
      </c>
      <c r="C184" s="1" t="s">
        <v>74</v>
      </c>
      <c r="D184" s="1" t="s">
        <v>74</v>
      </c>
      <c r="E184" s="1" t="s">
        <v>74</v>
      </c>
      <c r="F184" s="1" t="s">
        <v>4033</v>
      </c>
      <c r="G184" s="1" t="s">
        <v>74</v>
      </c>
      <c r="H184" s="1" t="s">
        <v>74</v>
      </c>
      <c r="I184" s="1" t="s">
        <v>4034</v>
      </c>
      <c r="J184" s="1" t="s">
        <v>4035</v>
      </c>
      <c r="K184" s="1" t="s">
        <v>74</v>
      </c>
      <c r="L184" s="1" t="s">
        <v>74</v>
      </c>
      <c r="M184" s="1" t="s">
        <v>80</v>
      </c>
      <c r="N184" s="1" t="s">
        <v>1010</v>
      </c>
      <c r="O184" s="1" t="s">
        <v>74</v>
      </c>
      <c r="P184" s="1" t="s">
        <v>74</v>
      </c>
      <c r="Q184" s="1" t="s">
        <v>74</v>
      </c>
      <c r="R184" s="1" t="s">
        <v>74</v>
      </c>
      <c r="S184" s="1" t="s">
        <v>74</v>
      </c>
      <c r="T184" s="1" t="s">
        <v>4036</v>
      </c>
      <c r="U184" s="1" t="s">
        <v>4037</v>
      </c>
      <c r="V184" s="1" t="s">
        <v>4038</v>
      </c>
      <c r="W184" s="1" t="s">
        <v>4039</v>
      </c>
      <c r="X184" s="1" t="s">
        <v>74</v>
      </c>
      <c r="Y184" s="1" t="s">
        <v>4040</v>
      </c>
      <c r="Z184" s="1" t="s">
        <v>4041</v>
      </c>
      <c r="AA184" s="1" t="s">
        <v>4042</v>
      </c>
      <c r="AB184" s="1" t="s">
        <v>4043</v>
      </c>
      <c r="AC184" s="1" t="s">
        <v>74</v>
      </c>
      <c r="AD184" s="1" t="s">
        <v>74</v>
      </c>
      <c r="AE184" s="1" t="s">
        <v>74</v>
      </c>
      <c r="AF184" s="1" t="s">
        <v>74</v>
      </c>
      <c r="AG184" s="1">
        <v>55.0</v>
      </c>
      <c r="AH184" s="1">
        <v>16.0</v>
      </c>
      <c r="AI184" s="1">
        <v>18.0</v>
      </c>
      <c r="AJ184" s="1">
        <v>6.0</v>
      </c>
      <c r="AK184" s="1">
        <v>95.0</v>
      </c>
      <c r="AL184" s="1" t="s">
        <v>275</v>
      </c>
      <c r="AM184" s="1" t="s">
        <v>276</v>
      </c>
      <c r="AN184" s="1" t="s">
        <v>277</v>
      </c>
      <c r="AO184" s="1" t="s">
        <v>4044</v>
      </c>
      <c r="AP184" s="1" t="s">
        <v>74</v>
      </c>
      <c r="AQ184" s="1" t="s">
        <v>74</v>
      </c>
      <c r="AR184" s="1" t="s">
        <v>4045</v>
      </c>
      <c r="AS184" s="1" t="s">
        <v>4046</v>
      </c>
      <c r="AT184" s="1" t="s">
        <v>3088</v>
      </c>
      <c r="AU184" s="1">
        <v>2021.0</v>
      </c>
      <c r="AV184" s="1">
        <v>12.0</v>
      </c>
      <c r="AW184" s="1" t="s">
        <v>74</v>
      </c>
      <c r="AX184" s="1" t="s">
        <v>74</v>
      </c>
      <c r="AY184" s="1" t="s">
        <v>74</v>
      </c>
      <c r="AZ184" s="1" t="s">
        <v>74</v>
      </c>
      <c r="BA184" s="1" t="s">
        <v>74</v>
      </c>
      <c r="BB184" s="1" t="s">
        <v>74</v>
      </c>
      <c r="BC184" s="1" t="s">
        <v>74</v>
      </c>
      <c r="BD184" s="1">
        <v>696346.0</v>
      </c>
      <c r="BE184" s="1" t="s">
        <v>4047</v>
      </c>
      <c r="BF184" s="2" t="str">
        <f>HYPERLINK("http://dx.doi.org/10.3389/fpsyg.2021.696346","http://dx.doi.org/10.3389/fpsyg.2021.696346")</f>
        <v>http://dx.doi.org/10.3389/fpsyg.2021.696346</v>
      </c>
      <c r="BG184" s="1" t="s">
        <v>74</v>
      </c>
      <c r="BH184" s="1" t="s">
        <v>74</v>
      </c>
      <c r="BI184" s="1">
        <v>12.0</v>
      </c>
      <c r="BJ184" s="1" t="s">
        <v>3260</v>
      </c>
      <c r="BK184" s="1" t="s">
        <v>203</v>
      </c>
      <c r="BL184" s="1" t="s">
        <v>3261</v>
      </c>
      <c r="BM184" s="1" t="s">
        <v>4048</v>
      </c>
      <c r="BN184" s="1">
        <v>3.4659012E7</v>
      </c>
      <c r="BO184" s="1" t="s">
        <v>1161</v>
      </c>
      <c r="BP184" s="1" t="s">
        <v>74</v>
      </c>
      <c r="BQ184" s="1" t="s">
        <v>74</v>
      </c>
      <c r="BR184" s="1" t="s">
        <v>102</v>
      </c>
      <c r="BS184" s="1" t="s">
        <v>4049</v>
      </c>
      <c r="BT184" s="1" t="str">
        <f>HYPERLINK("https%3A%2F%2Fwww.webofscience.com%2Fwos%2Fwoscc%2Ffull-record%2FWOS:000710448800001","View Full Record in Web of Science")</f>
        <v>View Full Record in Web of Science</v>
      </c>
    </row>
    <row r="185" ht="12.75" customHeight="1">
      <c r="A185" s="1" t="s">
        <v>132</v>
      </c>
      <c r="B185" s="1" t="s">
        <v>4050</v>
      </c>
      <c r="C185" s="1" t="s">
        <v>74</v>
      </c>
      <c r="D185" s="1" t="s">
        <v>74</v>
      </c>
      <c r="E185" s="1" t="s">
        <v>74</v>
      </c>
      <c r="F185" s="1" t="s">
        <v>4051</v>
      </c>
      <c r="G185" s="1" t="s">
        <v>74</v>
      </c>
      <c r="H185" s="1" t="s">
        <v>74</v>
      </c>
      <c r="I185" s="1" t="s">
        <v>4052</v>
      </c>
      <c r="J185" s="1" t="s">
        <v>4053</v>
      </c>
      <c r="K185" s="1" t="s">
        <v>74</v>
      </c>
      <c r="L185" s="1" t="s">
        <v>74</v>
      </c>
      <c r="M185" s="1" t="s">
        <v>80</v>
      </c>
      <c r="N185" s="1" t="s">
        <v>1010</v>
      </c>
      <c r="O185" s="1" t="s">
        <v>74</v>
      </c>
      <c r="P185" s="1" t="s">
        <v>74</v>
      </c>
      <c r="Q185" s="1" t="s">
        <v>74</v>
      </c>
      <c r="R185" s="1" t="s">
        <v>74</v>
      </c>
      <c r="S185" s="1" t="s">
        <v>74</v>
      </c>
      <c r="T185" s="1" t="s">
        <v>4054</v>
      </c>
      <c r="U185" s="1" t="s">
        <v>74</v>
      </c>
      <c r="V185" s="1" t="s">
        <v>4055</v>
      </c>
      <c r="W185" s="1" t="s">
        <v>4056</v>
      </c>
      <c r="X185" s="1" t="s">
        <v>4057</v>
      </c>
      <c r="Y185" s="1" t="s">
        <v>4058</v>
      </c>
      <c r="Z185" s="1" t="s">
        <v>4059</v>
      </c>
      <c r="AA185" s="1" t="s">
        <v>4060</v>
      </c>
      <c r="AB185" s="1" t="s">
        <v>4061</v>
      </c>
      <c r="AC185" s="1" t="s">
        <v>74</v>
      </c>
      <c r="AD185" s="1" t="s">
        <v>74</v>
      </c>
      <c r="AE185" s="1" t="s">
        <v>74</v>
      </c>
      <c r="AF185" s="1" t="s">
        <v>74</v>
      </c>
      <c r="AG185" s="1">
        <v>20.0</v>
      </c>
      <c r="AH185" s="1">
        <v>0.0</v>
      </c>
      <c r="AI185" s="1">
        <v>0.0</v>
      </c>
      <c r="AJ185" s="1">
        <v>16.0</v>
      </c>
      <c r="AK185" s="1">
        <v>16.0</v>
      </c>
      <c r="AL185" s="1" t="s">
        <v>1970</v>
      </c>
      <c r="AM185" s="1" t="s">
        <v>1658</v>
      </c>
      <c r="AN185" s="1" t="s">
        <v>1971</v>
      </c>
      <c r="AO185" s="1" t="s">
        <v>74</v>
      </c>
      <c r="AP185" s="1" t="s">
        <v>4062</v>
      </c>
      <c r="AQ185" s="1" t="s">
        <v>74</v>
      </c>
      <c r="AR185" s="1" t="s">
        <v>4053</v>
      </c>
      <c r="AS185" s="1" t="s">
        <v>4063</v>
      </c>
      <c r="AT185" s="1" t="s">
        <v>1709</v>
      </c>
      <c r="AU185" s="1">
        <v>2024.0</v>
      </c>
      <c r="AV185" s="1">
        <v>15.0</v>
      </c>
      <c r="AW185" s="1">
        <v>9.0</v>
      </c>
      <c r="AX185" s="1" t="s">
        <v>74</v>
      </c>
      <c r="AY185" s="1" t="s">
        <v>74</v>
      </c>
      <c r="AZ185" s="1" t="s">
        <v>74</v>
      </c>
      <c r="BA185" s="1" t="s">
        <v>74</v>
      </c>
      <c r="BB185" s="1" t="s">
        <v>74</v>
      </c>
      <c r="BC185" s="1" t="s">
        <v>74</v>
      </c>
      <c r="BD185" s="1">
        <v>556.0</v>
      </c>
      <c r="BE185" s="1" t="s">
        <v>4064</v>
      </c>
      <c r="BF185" s="2" t="str">
        <f>HYPERLINK("http://dx.doi.org/10.3390/info15090556","http://dx.doi.org/10.3390/info15090556")</f>
        <v>http://dx.doi.org/10.3390/info15090556</v>
      </c>
      <c r="BG185" s="1" t="s">
        <v>74</v>
      </c>
      <c r="BH185" s="1" t="s">
        <v>74</v>
      </c>
      <c r="BI185" s="1">
        <v>17.0</v>
      </c>
      <c r="BJ185" s="1" t="s">
        <v>554</v>
      </c>
      <c r="BK185" s="1" t="s">
        <v>172</v>
      </c>
      <c r="BL185" s="1" t="s">
        <v>232</v>
      </c>
      <c r="BM185" s="1" t="s">
        <v>4065</v>
      </c>
      <c r="BN185" s="1" t="s">
        <v>74</v>
      </c>
      <c r="BO185" s="1" t="s">
        <v>174</v>
      </c>
      <c r="BP185" s="1" t="s">
        <v>74</v>
      </c>
      <c r="BQ185" s="1" t="s">
        <v>74</v>
      </c>
      <c r="BR185" s="1" t="s">
        <v>102</v>
      </c>
      <c r="BS185" s="1" t="s">
        <v>4066</v>
      </c>
      <c r="BT185" s="1" t="str">
        <f>HYPERLINK("https%3A%2F%2Fwww.webofscience.com%2Fwos%2Fwoscc%2Ffull-record%2FWOS:001323622100001","View Full Record in Web of Science")</f>
        <v>View Full Record in Web of Science</v>
      </c>
    </row>
    <row r="186" ht="12.75" customHeight="1">
      <c r="A186" s="1" t="s">
        <v>132</v>
      </c>
      <c r="B186" s="1" t="s">
        <v>4067</v>
      </c>
      <c r="C186" s="1" t="s">
        <v>74</v>
      </c>
      <c r="D186" s="1" t="s">
        <v>74</v>
      </c>
      <c r="E186" s="1" t="s">
        <v>74</v>
      </c>
      <c r="F186" s="1" t="s">
        <v>4068</v>
      </c>
      <c r="G186" s="1" t="s">
        <v>74</v>
      </c>
      <c r="H186" s="1" t="s">
        <v>74</v>
      </c>
      <c r="I186" s="1" t="s">
        <v>4069</v>
      </c>
      <c r="J186" s="1" t="s">
        <v>4070</v>
      </c>
      <c r="K186" s="1" t="s">
        <v>74</v>
      </c>
      <c r="L186" s="1" t="s">
        <v>74</v>
      </c>
      <c r="M186" s="1" t="s">
        <v>80</v>
      </c>
      <c r="N186" s="1" t="s">
        <v>136</v>
      </c>
      <c r="O186" s="1" t="s">
        <v>74</v>
      </c>
      <c r="P186" s="1" t="s">
        <v>74</v>
      </c>
      <c r="Q186" s="1" t="s">
        <v>74</v>
      </c>
      <c r="R186" s="1" t="s">
        <v>74</v>
      </c>
      <c r="S186" s="1" t="s">
        <v>74</v>
      </c>
      <c r="T186" s="1" t="s">
        <v>4071</v>
      </c>
      <c r="U186" s="1" t="s">
        <v>74</v>
      </c>
      <c r="V186" s="1" t="s">
        <v>4072</v>
      </c>
      <c r="W186" s="1" t="s">
        <v>4073</v>
      </c>
      <c r="X186" s="1" t="s">
        <v>4074</v>
      </c>
      <c r="Y186" s="1" t="s">
        <v>4075</v>
      </c>
      <c r="Z186" s="1" t="s">
        <v>74</v>
      </c>
      <c r="AA186" s="1" t="s">
        <v>74</v>
      </c>
      <c r="AB186" s="1" t="s">
        <v>74</v>
      </c>
      <c r="AC186" s="1" t="s">
        <v>74</v>
      </c>
      <c r="AD186" s="1" t="s">
        <v>74</v>
      </c>
      <c r="AE186" s="1" t="s">
        <v>74</v>
      </c>
      <c r="AF186" s="1" t="s">
        <v>74</v>
      </c>
      <c r="AG186" s="1">
        <v>68.0</v>
      </c>
      <c r="AH186" s="1">
        <v>0.0</v>
      </c>
      <c r="AI186" s="1">
        <v>0.0</v>
      </c>
      <c r="AJ186" s="1">
        <v>6.0</v>
      </c>
      <c r="AK186" s="1">
        <v>6.0</v>
      </c>
      <c r="AL186" s="1" t="s">
        <v>4076</v>
      </c>
      <c r="AM186" s="1" t="s">
        <v>4077</v>
      </c>
      <c r="AN186" s="1" t="s">
        <v>4078</v>
      </c>
      <c r="AO186" s="1" t="s">
        <v>4079</v>
      </c>
      <c r="AP186" s="1" t="s">
        <v>4080</v>
      </c>
      <c r="AQ186" s="1" t="s">
        <v>74</v>
      </c>
      <c r="AR186" s="1" t="s">
        <v>4081</v>
      </c>
      <c r="AS186" s="1" t="s">
        <v>4082</v>
      </c>
      <c r="AT186" s="1" t="s">
        <v>1051</v>
      </c>
      <c r="AU186" s="1">
        <v>2024.0</v>
      </c>
      <c r="AV186" s="1">
        <v>40.0</v>
      </c>
      <c r="AW186" s="1">
        <v>4.0</v>
      </c>
      <c r="AX186" s="1" t="s">
        <v>74</v>
      </c>
      <c r="AY186" s="1" t="s">
        <v>74</v>
      </c>
      <c r="AZ186" s="1" t="s">
        <v>74</v>
      </c>
      <c r="BA186" s="1" t="s">
        <v>74</v>
      </c>
      <c r="BB186" s="1">
        <v>500.0</v>
      </c>
      <c r="BC186" s="1">
        <v>530.0</v>
      </c>
      <c r="BD186" s="1" t="s">
        <v>74</v>
      </c>
      <c r="BE186" s="1" t="s">
        <v>4083</v>
      </c>
      <c r="BF186" s="2" t="str">
        <f>HYPERLINK("http://dx.doi.org/10.1177/0169796X241288590","http://dx.doi.org/10.1177/0169796X241288590")</f>
        <v>http://dx.doi.org/10.1177/0169796X241288590</v>
      </c>
      <c r="BG186" s="1" t="s">
        <v>74</v>
      </c>
      <c r="BH186" s="1" t="s">
        <v>2753</v>
      </c>
      <c r="BI186" s="1">
        <v>31.0</v>
      </c>
      <c r="BJ186" s="1" t="s">
        <v>4084</v>
      </c>
      <c r="BK186" s="1" t="s">
        <v>172</v>
      </c>
      <c r="BL186" s="1" t="s">
        <v>4084</v>
      </c>
      <c r="BM186" s="1" t="s">
        <v>4085</v>
      </c>
      <c r="BN186" s="1" t="s">
        <v>74</v>
      </c>
      <c r="BO186" s="1" t="s">
        <v>74</v>
      </c>
      <c r="BP186" s="1" t="s">
        <v>74</v>
      </c>
      <c r="BQ186" s="1" t="s">
        <v>74</v>
      </c>
      <c r="BR186" s="1" t="s">
        <v>102</v>
      </c>
      <c r="BS186" s="1" t="s">
        <v>4086</v>
      </c>
      <c r="BT186" s="1" t="str">
        <f>HYPERLINK("https%3A%2F%2Fwww.webofscience.com%2Fwos%2Fwoscc%2Ffull-record%2FWOS:001339722600001","View Full Record in Web of Science")</f>
        <v>View Full Record in Web of Science</v>
      </c>
    </row>
    <row r="187" ht="12.75" customHeight="1">
      <c r="A187" s="1" t="s">
        <v>72</v>
      </c>
      <c r="B187" s="1" t="s">
        <v>4087</v>
      </c>
      <c r="C187" s="1" t="s">
        <v>74</v>
      </c>
      <c r="D187" s="1" t="s">
        <v>74</v>
      </c>
      <c r="E187" s="1" t="s">
        <v>236</v>
      </c>
      <c r="F187" s="1" t="s">
        <v>4088</v>
      </c>
      <c r="G187" s="1" t="s">
        <v>74</v>
      </c>
      <c r="H187" s="1" t="s">
        <v>74</v>
      </c>
      <c r="I187" s="1" t="s">
        <v>4089</v>
      </c>
      <c r="J187" s="1" t="s">
        <v>4090</v>
      </c>
      <c r="K187" s="1" t="s">
        <v>74</v>
      </c>
      <c r="L187" s="1" t="s">
        <v>74</v>
      </c>
      <c r="M187" s="1" t="s">
        <v>80</v>
      </c>
      <c r="N187" s="1" t="s">
        <v>81</v>
      </c>
      <c r="O187" s="1" t="s">
        <v>4091</v>
      </c>
      <c r="P187" s="1" t="s">
        <v>4092</v>
      </c>
      <c r="Q187" s="1" t="s">
        <v>4093</v>
      </c>
      <c r="R187" s="1" t="s">
        <v>4094</v>
      </c>
      <c r="S187" s="1" t="s">
        <v>74</v>
      </c>
      <c r="T187" s="1" t="s">
        <v>4095</v>
      </c>
      <c r="U187" s="1" t="s">
        <v>4096</v>
      </c>
      <c r="V187" s="1" t="s">
        <v>4097</v>
      </c>
      <c r="W187" s="1" t="s">
        <v>4098</v>
      </c>
      <c r="X187" s="1" t="s">
        <v>4099</v>
      </c>
      <c r="Y187" s="1" t="s">
        <v>4100</v>
      </c>
      <c r="Z187" s="1" t="s">
        <v>4101</v>
      </c>
      <c r="AA187" s="1" t="s">
        <v>4102</v>
      </c>
      <c r="AB187" s="1" t="s">
        <v>74</v>
      </c>
      <c r="AC187" s="1" t="s">
        <v>74</v>
      </c>
      <c r="AD187" s="1" t="s">
        <v>74</v>
      </c>
      <c r="AE187" s="1" t="s">
        <v>74</v>
      </c>
      <c r="AF187" s="1" t="s">
        <v>74</v>
      </c>
      <c r="AG187" s="1">
        <v>31.0</v>
      </c>
      <c r="AH187" s="1">
        <v>0.0</v>
      </c>
      <c r="AI187" s="1">
        <v>0.0</v>
      </c>
      <c r="AJ187" s="1">
        <v>10.0</v>
      </c>
      <c r="AK187" s="1">
        <v>25.0</v>
      </c>
      <c r="AL187" s="1" t="s">
        <v>236</v>
      </c>
      <c r="AM187" s="1" t="s">
        <v>193</v>
      </c>
      <c r="AN187" s="1" t="s">
        <v>252</v>
      </c>
      <c r="AO187" s="1" t="s">
        <v>74</v>
      </c>
      <c r="AP187" s="1" t="s">
        <v>74</v>
      </c>
      <c r="AQ187" s="1" t="s">
        <v>4103</v>
      </c>
      <c r="AR187" s="1" t="s">
        <v>74</v>
      </c>
      <c r="AS187" s="1" t="s">
        <v>74</v>
      </c>
      <c r="AT187" s="1" t="s">
        <v>74</v>
      </c>
      <c r="AU187" s="1">
        <v>2022.0</v>
      </c>
      <c r="AV187" s="1" t="s">
        <v>74</v>
      </c>
      <c r="AW187" s="1" t="s">
        <v>74</v>
      </c>
      <c r="AX187" s="1" t="s">
        <v>74</v>
      </c>
      <c r="AY187" s="1" t="s">
        <v>74</v>
      </c>
      <c r="AZ187" s="1" t="s">
        <v>74</v>
      </c>
      <c r="BA187" s="1" t="s">
        <v>74</v>
      </c>
      <c r="BB187" s="1">
        <v>511.0</v>
      </c>
      <c r="BC187" s="1">
        <v>516.0</v>
      </c>
      <c r="BD187" s="1" t="s">
        <v>74</v>
      </c>
      <c r="BE187" s="1" t="s">
        <v>4104</v>
      </c>
      <c r="BF187" s="2" t="str">
        <f>HYPERLINK("http://dx.doi.org/10.1109/MetroXRAINE54828.2022.9967579","http://dx.doi.org/10.1109/MetroXRAINE54828.2022.9967579")</f>
        <v>http://dx.doi.org/10.1109/MetroXRAINE54828.2022.9967579</v>
      </c>
      <c r="BG187" s="1" t="s">
        <v>74</v>
      </c>
      <c r="BH187" s="1" t="s">
        <v>74</v>
      </c>
      <c r="BI187" s="1">
        <v>6.0</v>
      </c>
      <c r="BJ187" s="1" t="s">
        <v>4105</v>
      </c>
      <c r="BK187" s="1" t="s">
        <v>128</v>
      </c>
      <c r="BL187" s="1" t="s">
        <v>4106</v>
      </c>
      <c r="BM187" s="1" t="s">
        <v>4107</v>
      </c>
      <c r="BN187" s="1" t="s">
        <v>74</v>
      </c>
      <c r="BO187" s="1" t="s">
        <v>74</v>
      </c>
      <c r="BP187" s="1" t="s">
        <v>74</v>
      </c>
      <c r="BQ187" s="1" t="s">
        <v>74</v>
      </c>
      <c r="BR187" s="1" t="s">
        <v>102</v>
      </c>
      <c r="BS187" s="1" t="s">
        <v>4108</v>
      </c>
      <c r="BT187" s="1" t="str">
        <f>HYPERLINK("https%3A%2F%2Fwww.webofscience.com%2Fwos%2Fwoscc%2Ffull-record%2FWOS:000947347200090","View Full Record in Web of Science")</f>
        <v>View Full Record in Web of Science</v>
      </c>
    </row>
    <row r="188" ht="12.75" customHeight="1">
      <c r="A188" s="1" t="s">
        <v>132</v>
      </c>
      <c r="B188" s="1" t="s">
        <v>4109</v>
      </c>
      <c r="C188" s="1" t="s">
        <v>74</v>
      </c>
      <c r="D188" s="1" t="s">
        <v>74</v>
      </c>
      <c r="E188" s="1" t="s">
        <v>74</v>
      </c>
      <c r="F188" s="1" t="s">
        <v>4110</v>
      </c>
      <c r="G188" s="1" t="s">
        <v>74</v>
      </c>
      <c r="H188" s="1" t="s">
        <v>74</v>
      </c>
      <c r="I188" s="1" t="s">
        <v>4111</v>
      </c>
      <c r="J188" s="1" t="s">
        <v>3329</v>
      </c>
      <c r="K188" s="1" t="s">
        <v>74</v>
      </c>
      <c r="L188" s="1" t="s">
        <v>74</v>
      </c>
      <c r="M188" s="1" t="s">
        <v>80</v>
      </c>
      <c r="N188" s="1" t="s">
        <v>136</v>
      </c>
      <c r="O188" s="1" t="s">
        <v>74</v>
      </c>
      <c r="P188" s="1" t="s">
        <v>74</v>
      </c>
      <c r="Q188" s="1" t="s">
        <v>74</v>
      </c>
      <c r="R188" s="1" t="s">
        <v>74</v>
      </c>
      <c r="S188" s="1" t="s">
        <v>74</v>
      </c>
      <c r="T188" s="1" t="s">
        <v>4112</v>
      </c>
      <c r="U188" s="1" t="s">
        <v>74</v>
      </c>
      <c r="V188" s="1" t="s">
        <v>4113</v>
      </c>
      <c r="W188" s="1" t="s">
        <v>4114</v>
      </c>
      <c r="X188" s="1" t="s">
        <v>4115</v>
      </c>
      <c r="Y188" s="1" t="s">
        <v>4116</v>
      </c>
      <c r="Z188" s="1" t="s">
        <v>4117</v>
      </c>
      <c r="AA188" s="1" t="s">
        <v>4118</v>
      </c>
      <c r="AB188" s="1" t="s">
        <v>4119</v>
      </c>
      <c r="AC188" s="1" t="s">
        <v>4120</v>
      </c>
      <c r="AD188" s="1" t="s">
        <v>4121</v>
      </c>
      <c r="AE188" s="1" t="s">
        <v>4122</v>
      </c>
      <c r="AF188" s="1" t="s">
        <v>74</v>
      </c>
      <c r="AG188" s="1">
        <v>8.0</v>
      </c>
      <c r="AH188" s="1">
        <v>4.0</v>
      </c>
      <c r="AI188" s="1">
        <v>4.0</v>
      </c>
      <c r="AJ188" s="1">
        <v>31.0</v>
      </c>
      <c r="AK188" s="1">
        <v>98.0</v>
      </c>
      <c r="AL188" s="1" t="s">
        <v>3341</v>
      </c>
      <c r="AM188" s="1" t="s">
        <v>2426</v>
      </c>
      <c r="AN188" s="1" t="s">
        <v>3342</v>
      </c>
      <c r="AO188" s="1" t="s">
        <v>3343</v>
      </c>
      <c r="AP188" s="1" t="s">
        <v>3344</v>
      </c>
      <c r="AQ188" s="1" t="s">
        <v>74</v>
      </c>
      <c r="AR188" s="1" t="s">
        <v>3345</v>
      </c>
      <c r="AS188" s="1" t="s">
        <v>3346</v>
      </c>
      <c r="AT188" s="1" t="s">
        <v>1279</v>
      </c>
      <c r="AU188" s="1">
        <v>2023.0</v>
      </c>
      <c r="AV188" s="1">
        <v>55.0</v>
      </c>
      <c r="AW188" s="1" t="s">
        <v>74</v>
      </c>
      <c r="AX188" s="1" t="s">
        <v>1881</v>
      </c>
      <c r="AY188" s="1" t="s">
        <v>74</v>
      </c>
      <c r="AZ188" s="1" t="s">
        <v>74</v>
      </c>
      <c r="BA188" s="1" t="s">
        <v>74</v>
      </c>
      <c r="BB188" s="1" t="s">
        <v>74</v>
      </c>
      <c r="BC188" s="1" t="s">
        <v>74</v>
      </c>
      <c r="BD188" s="1">
        <v>103798.0</v>
      </c>
      <c r="BE188" s="1" t="s">
        <v>4123</v>
      </c>
      <c r="BF188" s="2" t="str">
        <f>HYPERLINK("http://dx.doi.org/10.1016/j.frl.2023.103798","http://dx.doi.org/10.1016/j.frl.2023.103798")</f>
        <v>http://dx.doi.org/10.1016/j.frl.2023.103798</v>
      </c>
      <c r="BG188" s="1" t="s">
        <v>74</v>
      </c>
      <c r="BH188" s="1" t="s">
        <v>4124</v>
      </c>
      <c r="BI188" s="1">
        <v>6.0</v>
      </c>
      <c r="BJ188" s="1" t="s">
        <v>3350</v>
      </c>
      <c r="BK188" s="1" t="s">
        <v>203</v>
      </c>
      <c r="BL188" s="1" t="s">
        <v>204</v>
      </c>
      <c r="BM188" s="1" t="s">
        <v>4125</v>
      </c>
      <c r="BN188" s="1" t="s">
        <v>74</v>
      </c>
      <c r="BO188" s="1" t="s">
        <v>4126</v>
      </c>
      <c r="BP188" s="1" t="s">
        <v>74</v>
      </c>
      <c r="BQ188" s="1" t="s">
        <v>74</v>
      </c>
      <c r="BR188" s="1" t="s">
        <v>102</v>
      </c>
      <c r="BS188" s="1" t="s">
        <v>4127</v>
      </c>
      <c r="BT188" s="1" t="str">
        <f>HYPERLINK("https%3A%2F%2Fwww.webofscience.com%2Fwos%2Fwoscc%2Ffull-record%2FWOS:001060931100001","View Full Record in Web of Science")</f>
        <v>View Full Record in Web of Science</v>
      </c>
    </row>
    <row r="189" ht="12.75" customHeight="1">
      <c r="A189" s="1" t="s">
        <v>132</v>
      </c>
      <c r="B189" s="1" t="s">
        <v>4128</v>
      </c>
      <c r="C189" s="1" t="s">
        <v>74</v>
      </c>
      <c r="D189" s="1" t="s">
        <v>74</v>
      </c>
      <c r="E189" s="1" t="s">
        <v>74</v>
      </c>
      <c r="F189" s="1" t="s">
        <v>4129</v>
      </c>
      <c r="G189" s="1" t="s">
        <v>74</v>
      </c>
      <c r="H189" s="1" t="s">
        <v>74</v>
      </c>
      <c r="I189" s="1" t="s">
        <v>4130</v>
      </c>
      <c r="J189" s="1" t="s">
        <v>4131</v>
      </c>
      <c r="K189" s="1" t="s">
        <v>74</v>
      </c>
      <c r="L189" s="1" t="s">
        <v>74</v>
      </c>
      <c r="M189" s="1" t="s">
        <v>80</v>
      </c>
      <c r="N189" s="1" t="s">
        <v>136</v>
      </c>
      <c r="O189" s="1" t="s">
        <v>74</v>
      </c>
      <c r="P189" s="1" t="s">
        <v>74</v>
      </c>
      <c r="Q189" s="1" t="s">
        <v>74</v>
      </c>
      <c r="R189" s="1" t="s">
        <v>74</v>
      </c>
      <c r="S189" s="1" t="s">
        <v>74</v>
      </c>
      <c r="T189" s="1" t="s">
        <v>4132</v>
      </c>
      <c r="U189" s="1" t="s">
        <v>74</v>
      </c>
      <c r="V189" s="1" t="s">
        <v>4133</v>
      </c>
      <c r="W189" s="1" t="s">
        <v>4134</v>
      </c>
      <c r="X189" s="1" t="s">
        <v>4135</v>
      </c>
      <c r="Y189" s="1" t="s">
        <v>4136</v>
      </c>
      <c r="Z189" s="1" t="s">
        <v>4137</v>
      </c>
      <c r="AA189" s="1" t="s">
        <v>74</v>
      </c>
      <c r="AB189" s="1" t="s">
        <v>74</v>
      </c>
      <c r="AC189" s="1" t="s">
        <v>74</v>
      </c>
      <c r="AD189" s="1" t="s">
        <v>74</v>
      </c>
      <c r="AE189" s="1" t="s">
        <v>74</v>
      </c>
      <c r="AF189" s="1" t="s">
        <v>74</v>
      </c>
      <c r="AG189" s="1">
        <v>27.0</v>
      </c>
      <c r="AH189" s="1">
        <v>0.0</v>
      </c>
      <c r="AI189" s="1">
        <v>0.0</v>
      </c>
      <c r="AJ189" s="1">
        <v>12.0</v>
      </c>
      <c r="AK189" s="1">
        <v>18.0</v>
      </c>
      <c r="AL189" s="1" t="s">
        <v>4138</v>
      </c>
      <c r="AM189" s="1" t="s">
        <v>4139</v>
      </c>
      <c r="AN189" s="1" t="s">
        <v>4140</v>
      </c>
      <c r="AO189" s="1" t="s">
        <v>4141</v>
      </c>
      <c r="AP189" s="1" t="s">
        <v>4142</v>
      </c>
      <c r="AQ189" s="1" t="s">
        <v>74</v>
      </c>
      <c r="AR189" s="1" t="s">
        <v>4143</v>
      </c>
      <c r="AS189" s="1" t="s">
        <v>4144</v>
      </c>
      <c r="AT189" s="1" t="s">
        <v>1051</v>
      </c>
      <c r="AU189" s="1">
        <v>2023.0</v>
      </c>
      <c r="AV189" s="1">
        <v>27.0</v>
      </c>
      <c r="AW189" s="1">
        <v>6.0</v>
      </c>
      <c r="AX189" s="1" t="s">
        <v>74</v>
      </c>
      <c r="AY189" s="1" t="s">
        <v>74</v>
      </c>
      <c r="AZ189" s="1" t="s">
        <v>74</v>
      </c>
      <c r="BA189" s="1" t="s">
        <v>74</v>
      </c>
      <c r="BB189" s="1">
        <v>595.0</v>
      </c>
      <c r="BC189" s="1">
        <v>601.0</v>
      </c>
      <c r="BD189" s="1" t="s">
        <v>74</v>
      </c>
      <c r="BE189" s="1" t="s">
        <v>4145</v>
      </c>
      <c r="BF189" s="2" t="str">
        <f>HYPERLINK("http://dx.doi.org/10.1188/23.CJON.595-601","http://dx.doi.org/10.1188/23.CJON.595-601")</f>
        <v>http://dx.doi.org/10.1188/23.CJON.595-601</v>
      </c>
      <c r="BG189" s="1" t="s">
        <v>74</v>
      </c>
      <c r="BH189" s="1" t="s">
        <v>74</v>
      </c>
      <c r="BI189" s="1">
        <v>7.0</v>
      </c>
      <c r="BJ189" s="1" t="s">
        <v>4146</v>
      </c>
      <c r="BK189" s="1" t="s">
        <v>783</v>
      </c>
      <c r="BL189" s="1" t="s">
        <v>4146</v>
      </c>
      <c r="BM189" s="1" t="s">
        <v>4147</v>
      </c>
      <c r="BN189" s="1">
        <v>3.8009886E7</v>
      </c>
      <c r="BO189" s="1" t="s">
        <v>74</v>
      </c>
      <c r="BP189" s="1" t="s">
        <v>74</v>
      </c>
      <c r="BQ189" s="1" t="s">
        <v>74</v>
      </c>
      <c r="BR189" s="1" t="s">
        <v>102</v>
      </c>
      <c r="BS189" s="1" t="s">
        <v>4148</v>
      </c>
      <c r="BT189" s="1" t="str">
        <f>HYPERLINK("https%3A%2F%2Fwww.webofscience.com%2Fwos%2Fwoscc%2Ffull-record%2FWOS:001228142900001","View Full Record in Web of Science")</f>
        <v>View Full Record in Web of Science</v>
      </c>
    </row>
    <row r="190" ht="12.75" customHeight="1">
      <c r="A190" s="1" t="s">
        <v>72</v>
      </c>
      <c r="B190" s="1" t="s">
        <v>4149</v>
      </c>
      <c r="C190" s="1" t="s">
        <v>74</v>
      </c>
      <c r="D190" s="1" t="s">
        <v>74</v>
      </c>
      <c r="E190" s="1" t="s">
        <v>236</v>
      </c>
      <c r="F190" s="1" t="s">
        <v>4150</v>
      </c>
      <c r="G190" s="1" t="s">
        <v>74</v>
      </c>
      <c r="H190" s="1" t="s">
        <v>74</v>
      </c>
      <c r="I190" s="1" t="s">
        <v>4151</v>
      </c>
      <c r="J190" s="1" t="s">
        <v>4152</v>
      </c>
      <c r="K190" s="1" t="s">
        <v>4153</v>
      </c>
      <c r="L190" s="1" t="s">
        <v>74</v>
      </c>
      <c r="M190" s="1" t="s">
        <v>80</v>
      </c>
      <c r="N190" s="1" t="s">
        <v>81</v>
      </c>
      <c r="O190" s="1" t="s">
        <v>4154</v>
      </c>
      <c r="P190" s="1" t="s">
        <v>4155</v>
      </c>
      <c r="Q190" s="1" t="s">
        <v>4156</v>
      </c>
      <c r="R190" s="1" t="s">
        <v>236</v>
      </c>
      <c r="S190" s="1" t="s">
        <v>74</v>
      </c>
      <c r="T190" s="1" t="s">
        <v>4157</v>
      </c>
      <c r="U190" s="1" t="s">
        <v>74</v>
      </c>
      <c r="V190" s="1" t="s">
        <v>4158</v>
      </c>
      <c r="W190" s="1" t="s">
        <v>4159</v>
      </c>
      <c r="X190" s="1" t="s">
        <v>4160</v>
      </c>
      <c r="Y190" s="1" t="s">
        <v>4161</v>
      </c>
      <c r="Z190" s="1" t="s">
        <v>4162</v>
      </c>
      <c r="AA190" s="1" t="s">
        <v>4163</v>
      </c>
      <c r="AB190" s="1" t="s">
        <v>4164</v>
      </c>
      <c r="AC190" s="1" t="s">
        <v>4165</v>
      </c>
      <c r="AD190" s="1" t="s">
        <v>4165</v>
      </c>
      <c r="AE190" s="1" t="s">
        <v>4166</v>
      </c>
      <c r="AF190" s="1" t="s">
        <v>74</v>
      </c>
      <c r="AG190" s="1">
        <v>34.0</v>
      </c>
      <c r="AH190" s="1">
        <v>7.0</v>
      </c>
      <c r="AI190" s="1">
        <v>7.0</v>
      </c>
      <c r="AJ190" s="1">
        <v>3.0</v>
      </c>
      <c r="AK190" s="1">
        <v>22.0</v>
      </c>
      <c r="AL190" s="1" t="s">
        <v>236</v>
      </c>
      <c r="AM190" s="1" t="s">
        <v>193</v>
      </c>
      <c r="AN190" s="1" t="s">
        <v>252</v>
      </c>
      <c r="AO190" s="1" t="s">
        <v>4167</v>
      </c>
      <c r="AP190" s="1" t="s">
        <v>74</v>
      </c>
      <c r="AQ190" s="1" t="s">
        <v>4168</v>
      </c>
      <c r="AR190" s="1" t="s">
        <v>4169</v>
      </c>
      <c r="AS190" s="1" t="s">
        <v>74</v>
      </c>
      <c r="AT190" s="1" t="s">
        <v>74</v>
      </c>
      <c r="AU190" s="1">
        <v>2020.0</v>
      </c>
      <c r="AV190" s="1" t="s">
        <v>74</v>
      </c>
      <c r="AW190" s="1" t="s">
        <v>74</v>
      </c>
      <c r="AX190" s="1" t="s">
        <v>74</v>
      </c>
      <c r="AY190" s="1" t="s">
        <v>74</v>
      </c>
      <c r="AZ190" s="1" t="s">
        <v>74</v>
      </c>
      <c r="BA190" s="1" t="s">
        <v>74</v>
      </c>
      <c r="BB190" s="1" t="s">
        <v>74</v>
      </c>
      <c r="BC190" s="1" t="s">
        <v>74</v>
      </c>
      <c r="BD190" s="1" t="s">
        <v>74</v>
      </c>
      <c r="BE190" s="1" t="s">
        <v>4170</v>
      </c>
      <c r="BF190" s="2" t="str">
        <f>HYPERLINK("http://dx.doi.org/10.1109/HNICEM51456.2020.9400025","http://dx.doi.org/10.1109/HNICEM51456.2020.9400025")</f>
        <v>http://dx.doi.org/10.1109/HNICEM51456.2020.9400025</v>
      </c>
      <c r="BG190" s="1" t="s">
        <v>74</v>
      </c>
      <c r="BH190" s="1" t="s">
        <v>74</v>
      </c>
      <c r="BI190" s="1">
        <v>6.0</v>
      </c>
      <c r="BJ190" s="1" t="s">
        <v>4171</v>
      </c>
      <c r="BK190" s="1" t="s">
        <v>128</v>
      </c>
      <c r="BL190" s="1" t="s">
        <v>3052</v>
      </c>
      <c r="BM190" s="1" t="s">
        <v>4172</v>
      </c>
      <c r="BN190" s="1" t="s">
        <v>74</v>
      </c>
      <c r="BO190" s="1" t="s">
        <v>74</v>
      </c>
      <c r="BP190" s="1" t="s">
        <v>74</v>
      </c>
      <c r="BQ190" s="1" t="s">
        <v>74</v>
      </c>
      <c r="BR190" s="1" t="s">
        <v>102</v>
      </c>
      <c r="BS190" s="1" t="s">
        <v>4173</v>
      </c>
      <c r="BT190" s="1" t="str">
        <f>HYPERLINK("https%3A%2F%2Fwww.webofscience.com%2Fwos%2Fwoscc%2Ffull-record%2FWOS:000670913200037","View Full Record in Web of Science")</f>
        <v>View Full Record in Web of Science</v>
      </c>
    </row>
    <row r="191" ht="12.75" customHeight="1">
      <c r="A191" s="1" t="s">
        <v>132</v>
      </c>
      <c r="B191" s="1" t="s">
        <v>4174</v>
      </c>
      <c r="C191" s="1" t="s">
        <v>74</v>
      </c>
      <c r="D191" s="1" t="s">
        <v>74</v>
      </c>
      <c r="E191" s="1" t="s">
        <v>74</v>
      </c>
      <c r="F191" s="1" t="s">
        <v>4175</v>
      </c>
      <c r="G191" s="1" t="s">
        <v>74</v>
      </c>
      <c r="H191" s="1" t="s">
        <v>74</v>
      </c>
      <c r="I191" s="1" t="s">
        <v>4176</v>
      </c>
      <c r="J191" s="1" t="s">
        <v>4177</v>
      </c>
      <c r="K191" s="1" t="s">
        <v>74</v>
      </c>
      <c r="L191" s="1" t="s">
        <v>74</v>
      </c>
      <c r="M191" s="1" t="s">
        <v>80</v>
      </c>
      <c r="N191" s="1" t="s">
        <v>136</v>
      </c>
      <c r="O191" s="1" t="s">
        <v>74</v>
      </c>
      <c r="P191" s="1" t="s">
        <v>74</v>
      </c>
      <c r="Q191" s="1" t="s">
        <v>74</v>
      </c>
      <c r="R191" s="1" t="s">
        <v>74</v>
      </c>
      <c r="S191" s="1" t="s">
        <v>74</v>
      </c>
      <c r="T191" s="1" t="s">
        <v>4178</v>
      </c>
      <c r="U191" s="1" t="s">
        <v>4179</v>
      </c>
      <c r="V191" s="1" t="s">
        <v>4180</v>
      </c>
      <c r="W191" s="1" t="s">
        <v>4181</v>
      </c>
      <c r="X191" s="1" t="s">
        <v>4182</v>
      </c>
      <c r="Y191" s="1" t="s">
        <v>4183</v>
      </c>
      <c r="Z191" s="1" t="s">
        <v>4184</v>
      </c>
      <c r="AA191" s="1" t="s">
        <v>74</v>
      </c>
      <c r="AB191" s="1" t="s">
        <v>74</v>
      </c>
      <c r="AC191" s="1" t="s">
        <v>74</v>
      </c>
      <c r="AD191" s="1" t="s">
        <v>74</v>
      </c>
      <c r="AE191" s="1" t="s">
        <v>74</v>
      </c>
      <c r="AF191" s="1" t="s">
        <v>74</v>
      </c>
      <c r="AG191" s="1">
        <v>45.0</v>
      </c>
      <c r="AH191" s="1">
        <v>35.0</v>
      </c>
      <c r="AI191" s="1">
        <v>38.0</v>
      </c>
      <c r="AJ191" s="1">
        <v>5.0</v>
      </c>
      <c r="AK191" s="1">
        <v>38.0</v>
      </c>
      <c r="AL191" s="1" t="s">
        <v>4185</v>
      </c>
      <c r="AM191" s="1" t="s">
        <v>349</v>
      </c>
      <c r="AN191" s="1" t="s">
        <v>4186</v>
      </c>
      <c r="AO191" s="1" t="s">
        <v>4187</v>
      </c>
      <c r="AP191" s="1" t="s">
        <v>4188</v>
      </c>
      <c r="AQ191" s="1" t="s">
        <v>74</v>
      </c>
      <c r="AR191" s="1" t="s">
        <v>4189</v>
      </c>
      <c r="AS191" s="1" t="s">
        <v>4190</v>
      </c>
      <c r="AT191" s="1" t="s">
        <v>870</v>
      </c>
      <c r="AU191" s="1">
        <v>2022.0</v>
      </c>
      <c r="AV191" s="1">
        <v>32.0</v>
      </c>
      <c r="AW191" s="1">
        <v>1.0</v>
      </c>
      <c r="AX191" s="1" t="s">
        <v>74</v>
      </c>
      <c r="AY191" s="1" t="s">
        <v>74</v>
      </c>
      <c r="AZ191" s="1" t="s">
        <v>74</v>
      </c>
      <c r="BA191" s="1" t="s">
        <v>74</v>
      </c>
      <c r="BB191" s="1">
        <v>34.0</v>
      </c>
      <c r="BC191" s="1">
        <v>41.0</v>
      </c>
      <c r="BD191" s="1" t="s">
        <v>74</v>
      </c>
      <c r="BE191" s="1" t="s">
        <v>4191</v>
      </c>
      <c r="BF191" s="2" t="str">
        <f>HYPERLINK("http://dx.doi.org/10.1016/j.tcm.2020.11.007","http://dx.doi.org/10.1016/j.tcm.2020.11.007")</f>
        <v>http://dx.doi.org/10.1016/j.tcm.2020.11.007</v>
      </c>
      <c r="BG191" s="1" t="s">
        <v>74</v>
      </c>
      <c r="BH191" s="1" t="s">
        <v>4192</v>
      </c>
      <c r="BI191" s="1">
        <v>8.0</v>
      </c>
      <c r="BJ191" s="1" t="s">
        <v>2729</v>
      </c>
      <c r="BK191" s="1" t="s">
        <v>149</v>
      </c>
      <c r="BL191" s="1" t="s">
        <v>2730</v>
      </c>
      <c r="BM191" s="1" t="s">
        <v>4193</v>
      </c>
      <c r="BN191" s="1">
        <v>3.3242635E7</v>
      </c>
      <c r="BO191" s="1" t="s">
        <v>74</v>
      </c>
      <c r="BP191" s="1" t="s">
        <v>74</v>
      </c>
      <c r="BQ191" s="1" t="s">
        <v>74</v>
      </c>
      <c r="BR191" s="1" t="s">
        <v>102</v>
      </c>
      <c r="BS191" s="1" t="s">
        <v>4194</v>
      </c>
      <c r="BT191" s="1" t="str">
        <f>HYPERLINK("https%3A%2F%2Fwww.webofscience.com%2Fwos%2Fwoscc%2Ffull-record%2FWOS:000740519000007","View Full Record in Web of Science")</f>
        <v>View Full Record in Web of Science</v>
      </c>
    </row>
    <row r="192" ht="12.75" customHeight="1">
      <c r="A192" s="1" t="s">
        <v>132</v>
      </c>
      <c r="B192" s="1" t="s">
        <v>4195</v>
      </c>
      <c r="C192" s="1" t="s">
        <v>74</v>
      </c>
      <c r="D192" s="1" t="s">
        <v>74</v>
      </c>
      <c r="E192" s="1" t="s">
        <v>74</v>
      </c>
      <c r="F192" s="1" t="s">
        <v>4196</v>
      </c>
      <c r="G192" s="1" t="s">
        <v>74</v>
      </c>
      <c r="H192" s="1" t="s">
        <v>74</v>
      </c>
      <c r="I192" s="1" t="s">
        <v>4197</v>
      </c>
      <c r="J192" s="1" t="s">
        <v>4198</v>
      </c>
      <c r="K192" s="1" t="s">
        <v>74</v>
      </c>
      <c r="L192" s="1" t="s">
        <v>74</v>
      </c>
      <c r="M192" s="1" t="s">
        <v>80</v>
      </c>
      <c r="N192" s="1" t="s">
        <v>136</v>
      </c>
      <c r="O192" s="1" t="s">
        <v>74</v>
      </c>
      <c r="P192" s="1" t="s">
        <v>74</v>
      </c>
      <c r="Q192" s="1" t="s">
        <v>74</v>
      </c>
      <c r="R192" s="1" t="s">
        <v>74</v>
      </c>
      <c r="S192" s="1" t="s">
        <v>74</v>
      </c>
      <c r="T192" s="1" t="s">
        <v>4199</v>
      </c>
      <c r="U192" s="1" t="s">
        <v>74</v>
      </c>
      <c r="V192" s="1" t="s">
        <v>4200</v>
      </c>
      <c r="W192" s="1" t="s">
        <v>4201</v>
      </c>
      <c r="X192" s="1" t="s">
        <v>4202</v>
      </c>
      <c r="Y192" s="1" t="s">
        <v>4203</v>
      </c>
      <c r="Z192" s="1" t="s">
        <v>4204</v>
      </c>
      <c r="AA192" s="1" t="s">
        <v>74</v>
      </c>
      <c r="AB192" s="1" t="s">
        <v>74</v>
      </c>
      <c r="AC192" s="1" t="s">
        <v>74</v>
      </c>
      <c r="AD192" s="1" t="s">
        <v>74</v>
      </c>
      <c r="AE192" s="1" t="s">
        <v>74</v>
      </c>
      <c r="AF192" s="1" t="s">
        <v>74</v>
      </c>
      <c r="AG192" s="1">
        <v>23.0</v>
      </c>
      <c r="AH192" s="1">
        <v>4.0</v>
      </c>
      <c r="AI192" s="1">
        <v>4.0</v>
      </c>
      <c r="AJ192" s="1">
        <v>1.0</v>
      </c>
      <c r="AK192" s="1">
        <v>34.0</v>
      </c>
      <c r="AL192" s="1" t="s">
        <v>595</v>
      </c>
      <c r="AM192" s="1" t="s">
        <v>467</v>
      </c>
      <c r="AN192" s="1" t="s">
        <v>596</v>
      </c>
      <c r="AO192" s="1" t="s">
        <v>4205</v>
      </c>
      <c r="AP192" s="1" t="s">
        <v>4206</v>
      </c>
      <c r="AQ192" s="1" t="s">
        <v>74</v>
      </c>
      <c r="AR192" s="1" t="s">
        <v>4207</v>
      </c>
      <c r="AS192" s="1" t="s">
        <v>4208</v>
      </c>
      <c r="AT192" s="1" t="s">
        <v>74</v>
      </c>
      <c r="AU192" s="1">
        <v>2017.0</v>
      </c>
      <c r="AV192" s="1">
        <v>73.0</v>
      </c>
      <c r="AW192" s="1">
        <v>2.0</v>
      </c>
      <c r="AX192" s="1" t="s">
        <v>74</v>
      </c>
      <c r="AY192" s="1" t="s">
        <v>74</v>
      </c>
      <c r="AZ192" s="1" t="s">
        <v>74</v>
      </c>
      <c r="BA192" s="1" t="s">
        <v>74</v>
      </c>
      <c r="BB192" s="1">
        <v>80.0</v>
      </c>
      <c r="BC192" s="1">
        <v>85.0</v>
      </c>
      <c r="BD192" s="1" t="s">
        <v>74</v>
      </c>
      <c r="BE192" s="1" t="s">
        <v>4209</v>
      </c>
      <c r="BF192" s="2" t="str">
        <f>HYPERLINK("http://dx.doi.org/10.1080/00963402.2017.1288435","http://dx.doi.org/10.1080/00963402.2017.1288435")</f>
        <v>http://dx.doi.org/10.1080/00963402.2017.1288435</v>
      </c>
      <c r="BG192" s="1" t="s">
        <v>74</v>
      </c>
      <c r="BH192" s="1" t="s">
        <v>74</v>
      </c>
      <c r="BI192" s="1">
        <v>6.0</v>
      </c>
      <c r="BJ192" s="1" t="s">
        <v>4210</v>
      </c>
      <c r="BK192" s="1" t="s">
        <v>203</v>
      </c>
      <c r="BL192" s="1" t="s">
        <v>4210</v>
      </c>
      <c r="BM192" s="1" t="s">
        <v>4211</v>
      </c>
      <c r="BN192" s="1" t="s">
        <v>74</v>
      </c>
      <c r="BO192" s="1" t="s">
        <v>74</v>
      </c>
      <c r="BP192" s="1" t="s">
        <v>74</v>
      </c>
      <c r="BQ192" s="1" t="s">
        <v>74</v>
      </c>
      <c r="BR192" s="1" t="s">
        <v>102</v>
      </c>
      <c r="BS192" s="1" t="s">
        <v>4212</v>
      </c>
      <c r="BT192" s="1" t="str">
        <f>HYPERLINK("https%3A%2F%2Fwww.webofscience.com%2Fwos%2Fwoscc%2Ffull-record%2FWOS:000397918700003","View Full Record in Web of Science")</f>
        <v>View Full Record in Web of Science</v>
      </c>
    </row>
    <row r="193" ht="12.75" customHeight="1">
      <c r="A193" s="1" t="s">
        <v>132</v>
      </c>
      <c r="B193" s="1" t="s">
        <v>4213</v>
      </c>
      <c r="C193" s="1" t="s">
        <v>74</v>
      </c>
      <c r="D193" s="1" t="s">
        <v>74</v>
      </c>
      <c r="E193" s="1" t="s">
        <v>74</v>
      </c>
      <c r="F193" s="1" t="s">
        <v>4214</v>
      </c>
      <c r="G193" s="1" t="s">
        <v>74</v>
      </c>
      <c r="H193" s="1" t="s">
        <v>74</v>
      </c>
      <c r="I193" s="1" t="s">
        <v>4215</v>
      </c>
      <c r="J193" s="1" t="s">
        <v>2775</v>
      </c>
      <c r="K193" s="1" t="s">
        <v>74</v>
      </c>
      <c r="L193" s="1" t="s">
        <v>74</v>
      </c>
      <c r="M193" s="1" t="s">
        <v>80</v>
      </c>
      <c r="N193" s="1" t="s">
        <v>136</v>
      </c>
      <c r="O193" s="1" t="s">
        <v>74</v>
      </c>
      <c r="P193" s="1" t="s">
        <v>74</v>
      </c>
      <c r="Q193" s="1" t="s">
        <v>74</v>
      </c>
      <c r="R193" s="1" t="s">
        <v>74</v>
      </c>
      <c r="S193" s="1" t="s">
        <v>74</v>
      </c>
      <c r="T193" s="1" t="s">
        <v>4216</v>
      </c>
      <c r="U193" s="1" t="s">
        <v>4217</v>
      </c>
      <c r="V193" s="1" t="s">
        <v>4218</v>
      </c>
      <c r="W193" s="1" t="s">
        <v>4219</v>
      </c>
      <c r="X193" s="1" t="s">
        <v>4220</v>
      </c>
      <c r="Y193" s="1" t="s">
        <v>4221</v>
      </c>
      <c r="Z193" s="1" t="s">
        <v>4222</v>
      </c>
      <c r="AA193" s="1" t="s">
        <v>74</v>
      </c>
      <c r="AB193" s="1" t="s">
        <v>74</v>
      </c>
      <c r="AC193" s="1" t="s">
        <v>74</v>
      </c>
      <c r="AD193" s="1" t="s">
        <v>74</v>
      </c>
      <c r="AE193" s="1" t="s">
        <v>74</v>
      </c>
      <c r="AF193" s="1" t="s">
        <v>74</v>
      </c>
      <c r="AG193" s="1">
        <v>66.0</v>
      </c>
      <c r="AH193" s="1">
        <v>13.0</v>
      </c>
      <c r="AI193" s="1">
        <v>13.0</v>
      </c>
      <c r="AJ193" s="1">
        <v>23.0</v>
      </c>
      <c r="AK193" s="1">
        <v>98.0</v>
      </c>
      <c r="AL193" s="1" t="s">
        <v>571</v>
      </c>
      <c r="AM193" s="1" t="s">
        <v>1768</v>
      </c>
      <c r="AN193" s="1" t="s">
        <v>1769</v>
      </c>
      <c r="AO193" s="1" t="s">
        <v>2783</v>
      </c>
      <c r="AP193" s="1" t="s">
        <v>2784</v>
      </c>
      <c r="AQ193" s="1" t="s">
        <v>74</v>
      </c>
      <c r="AR193" s="1" t="s">
        <v>2775</v>
      </c>
      <c r="AS193" s="1" t="s">
        <v>2785</v>
      </c>
      <c r="AT193" s="1" t="s">
        <v>4223</v>
      </c>
      <c r="AU193" s="1">
        <v>2023.0</v>
      </c>
      <c r="AV193" s="1">
        <v>25.0</v>
      </c>
      <c r="AW193" s="1">
        <v>2.0</v>
      </c>
      <c r="AX193" s="1" t="s">
        <v>74</v>
      </c>
      <c r="AY193" s="1" t="s">
        <v>74</v>
      </c>
      <c r="AZ193" s="1" t="s">
        <v>474</v>
      </c>
      <c r="BA193" s="1" t="s">
        <v>74</v>
      </c>
      <c r="BB193" s="1">
        <v>249.0</v>
      </c>
      <c r="BC193" s="1">
        <v>263.0</v>
      </c>
      <c r="BD193" s="1" t="s">
        <v>74</v>
      </c>
      <c r="BE193" s="1" t="s">
        <v>4224</v>
      </c>
      <c r="BF193" s="2" t="str">
        <f>HYPERLINK("http://dx.doi.org/10.1108/FS-10-2021-0218","http://dx.doi.org/10.1108/FS-10-2021-0218")</f>
        <v>http://dx.doi.org/10.1108/FS-10-2021-0218</v>
      </c>
      <c r="BG193" s="1" t="s">
        <v>74</v>
      </c>
      <c r="BH193" s="1" t="s">
        <v>2017</v>
      </c>
      <c r="BI193" s="1">
        <v>15.0</v>
      </c>
      <c r="BJ193" s="1" t="s">
        <v>2789</v>
      </c>
      <c r="BK193" s="1" t="s">
        <v>172</v>
      </c>
      <c r="BL193" s="1" t="s">
        <v>2790</v>
      </c>
      <c r="BM193" s="1" t="s">
        <v>4225</v>
      </c>
      <c r="BN193" s="1" t="s">
        <v>74</v>
      </c>
      <c r="BO193" s="1" t="s">
        <v>74</v>
      </c>
      <c r="BP193" s="1" t="s">
        <v>74</v>
      </c>
      <c r="BQ193" s="1" t="s">
        <v>74</v>
      </c>
      <c r="BR193" s="1" t="s">
        <v>102</v>
      </c>
      <c r="BS193" s="1" t="s">
        <v>4226</v>
      </c>
      <c r="BT193" s="1" t="str">
        <f>HYPERLINK("https%3A%2F%2Fwww.webofscience.com%2Fwos%2Fwoscc%2Ffull-record%2FWOS:000852636600001","View Full Record in Web of Science")</f>
        <v>View Full Record in Web of Science</v>
      </c>
    </row>
    <row r="194" ht="12.75" customHeight="1">
      <c r="A194" s="1" t="s">
        <v>132</v>
      </c>
      <c r="B194" s="1" t="s">
        <v>4227</v>
      </c>
      <c r="C194" s="1" t="s">
        <v>74</v>
      </c>
      <c r="D194" s="1" t="s">
        <v>74</v>
      </c>
      <c r="E194" s="1" t="s">
        <v>74</v>
      </c>
      <c r="F194" s="1" t="s">
        <v>4228</v>
      </c>
      <c r="G194" s="1" t="s">
        <v>74</v>
      </c>
      <c r="H194" s="1" t="s">
        <v>74</v>
      </c>
      <c r="I194" s="1" t="s">
        <v>4229</v>
      </c>
      <c r="J194" s="1" t="s">
        <v>4230</v>
      </c>
      <c r="K194" s="1" t="s">
        <v>74</v>
      </c>
      <c r="L194" s="1" t="s">
        <v>74</v>
      </c>
      <c r="M194" s="1" t="s">
        <v>80</v>
      </c>
      <c r="N194" s="1" t="s">
        <v>1010</v>
      </c>
      <c r="O194" s="1" t="s">
        <v>74</v>
      </c>
      <c r="P194" s="1" t="s">
        <v>74</v>
      </c>
      <c r="Q194" s="1" t="s">
        <v>74</v>
      </c>
      <c r="R194" s="1" t="s">
        <v>74</v>
      </c>
      <c r="S194" s="1" t="s">
        <v>74</v>
      </c>
      <c r="T194" s="1" t="s">
        <v>4231</v>
      </c>
      <c r="U194" s="1" t="s">
        <v>4232</v>
      </c>
      <c r="V194" s="1" t="s">
        <v>4233</v>
      </c>
      <c r="W194" s="1" t="s">
        <v>4234</v>
      </c>
      <c r="X194" s="1" t="s">
        <v>4235</v>
      </c>
      <c r="Y194" s="1" t="s">
        <v>4236</v>
      </c>
      <c r="Z194" s="1" t="s">
        <v>4237</v>
      </c>
      <c r="AA194" s="1" t="s">
        <v>4238</v>
      </c>
      <c r="AB194" s="1" t="s">
        <v>4239</v>
      </c>
      <c r="AC194" s="1" t="s">
        <v>74</v>
      </c>
      <c r="AD194" s="1" t="s">
        <v>74</v>
      </c>
      <c r="AE194" s="1" t="s">
        <v>74</v>
      </c>
      <c r="AF194" s="1" t="s">
        <v>74</v>
      </c>
      <c r="AG194" s="1">
        <v>116.0</v>
      </c>
      <c r="AH194" s="1">
        <v>4.0</v>
      </c>
      <c r="AI194" s="1">
        <v>4.0</v>
      </c>
      <c r="AJ194" s="1">
        <v>26.0</v>
      </c>
      <c r="AK194" s="1">
        <v>37.0</v>
      </c>
      <c r="AL194" s="1" t="s">
        <v>466</v>
      </c>
      <c r="AM194" s="1" t="s">
        <v>467</v>
      </c>
      <c r="AN194" s="1" t="s">
        <v>468</v>
      </c>
      <c r="AO194" s="1" t="s">
        <v>4240</v>
      </c>
      <c r="AP194" s="1" t="s">
        <v>4241</v>
      </c>
      <c r="AQ194" s="1" t="s">
        <v>74</v>
      </c>
      <c r="AR194" s="1" t="s">
        <v>4242</v>
      </c>
      <c r="AS194" s="1" t="s">
        <v>4243</v>
      </c>
      <c r="AT194" s="1" t="s">
        <v>578</v>
      </c>
      <c r="AU194" s="1">
        <v>2024.0</v>
      </c>
      <c r="AV194" s="1">
        <v>67.0</v>
      </c>
      <c r="AW194" s="1">
        <v>6.0</v>
      </c>
      <c r="AX194" s="1" t="s">
        <v>74</v>
      </c>
      <c r="AY194" s="1" t="s">
        <v>74</v>
      </c>
      <c r="AZ194" s="1" t="s">
        <v>474</v>
      </c>
      <c r="BA194" s="1" t="s">
        <v>74</v>
      </c>
      <c r="BB194" s="1">
        <v>484.0</v>
      </c>
      <c r="BC194" s="1">
        <v>502.0</v>
      </c>
      <c r="BD194" s="1" t="s">
        <v>74</v>
      </c>
      <c r="BE194" s="1" t="s">
        <v>4244</v>
      </c>
      <c r="BF194" s="2" t="str">
        <f>HYPERLINK("http://dx.doi.org/10.1080/00038628.2024.2350491","http://dx.doi.org/10.1080/00038628.2024.2350491")</f>
        <v>http://dx.doi.org/10.1080/00038628.2024.2350491</v>
      </c>
      <c r="BG194" s="1" t="s">
        <v>74</v>
      </c>
      <c r="BH194" s="1" t="s">
        <v>3129</v>
      </c>
      <c r="BI194" s="1">
        <v>19.0</v>
      </c>
      <c r="BJ194" s="1" t="s">
        <v>4245</v>
      </c>
      <c r="BK194" s="1" t="s">
        <v>3391</v>
      </c>
      <c r="BL194" s="1" t="s">
        <v>4245</v>
      </c>
      <c r="BM194" s="1" t="s">
        <v>4246</v>
      </c>
      <c r="BN194" s="1" t="s">
        <v>74</v>
      </c>
      <c r="BO194" s="1" t="s">
        <v>74</v>
      </c>
      <c r="BP194" s="1" t="s">
        <v>74</v>
      </c>
      <c r="BQ194" s="1" t="s">
        <v>74</v>
      </c>
      <c r="BR194" s="1" t="s">
        <v>102</v>
      </c>
      <c r="BS194" s="1" t="s">
        <v>4247</v>
      </c>
      <c r="BT194" s="1" t="str">
        <f>HYPERLINK("https%3A%2F%2Fwww.webofscience.com%2Fwos%2Fwoscc%2Ffull-record%2FWOS:001222450500001","View Full Record in Web of Science")</f>
        <v>View Full Record in Web of Science</v>
      </c>
    </row>
    <row r="195" ht="12.75" customHeight="1">
      <c r="A195" s="1" t="s">
        <v>132</v>
      </c>
      <c r="B195" s="1" t="s">
        <v>4248</v>
      </c>
      <c r="C195" s="1" t="s">
        <v>74</v>
      </c>
      <c r="D195" s="1" t="s">
        <v>74</v>
      </c>
      <c r="E195" s="1" t="s">
        <v>74</v>
      </c>
      <c r="F195" s="1" t="s">
        <v>4249</v>
      </c>
      <c r="G195" s="1" t="s">
        <v>74</v>
      </c>
      <c r="H195" s="1" t="s">
        <v>74</v>
      </c>
      <c r="I195" s="1" t="s">
        <v>4250</v>
      </c>
      <c r="J195" s="1" t="s">
        <v>4251</v>
      </c>
      <c r="K195" s="1" t="s">
        <v>74</v>
      </c>
      <c r="L195" s="1" t="s">
        <v>74</v>
      </c>
      <c r="M195" s="1" t="s">
        <v>80</v>
      </c>
      <c r="N195" s="1" t="s">
        <v>1010</v>
      </c>
      <c r="O195" s="1" t="s">
        <v>74</v>
      </c>
      <c r="P195" s="1" t="s">
        <v>74</v>
      </c>
      <c r="Q195" s="1" t="s">
        <v>74</v>
      </c>
      <c r="R195" s="1" t="s">
        <v>74</v>
      </c>
      <c r="S195" s="1" t="s">
        <v>74</v>
      </c>
      <c r="T195" s="1" t="s">
        <v>4252</v>
      </c>
      <c r="U195" s="1" t="s">
        <v>4253</v>
      </c>
      <c r="V195" s="1" t="s">
        <v>4254</v>
      </c>
      <c r="W195" s="1" t="s">
        <v>4255</v>
      </c>
      <c r="X195" s="1" t="s">
        <v>4256</v>
      </c>
      <c r="Y195" s="1" t="s">
        <v>4257</v>
      </c>
      <c r="Z195" s="1" t="s">
        <v>4258</v>
      </c>
      <c r="AA195" s="1" t="s">
        <v>4259</v>
      </c>
      <c r="AB195" s="1" t="s">
        <v>4260</v>
      </c>
      <c r="AC195" s="1" t="s">
        <v>4261</v>
      </c>
      <c r="AD195" s="1" t="s">
        <v>4262</v>
      </c>
      <c r="AE195" s="1" t="s">
        <v>4263</v>
      </c>
      <c r="AF195" s="1" t="s">
        <v>74</v>
      </c>
      <c r="AG195" s="1">
        <v>49.0</v>
      </c>
      <c r="AH195" s="1">
        <v>13.0</v>
      </c>
      <c r="AI195" s="1">
        <v>15.0</v>
      </c>
      <c r="AJ195" s="1">
        <v>6.0</v>
      </c>
      <c r="AK195" s="1">
        <v>20.0</v>
      </c>
      <c r="AL195" s="1" t="s">
        <v>4264</v>
      </c>
      <c r="AM195" s="1" t="s">
        <v>4265</v>
      </c>
      <c r="AN195" s="1" t="s">
        <v>4266</v>
      </c>
      <c r="AO195" s="1" t="s">
        <v>4267</v>
      </c>
      <c r="AP195" s="1" t="s">
        <v>4268</v>
      </c>
      <c r="AQ195" s="1" t="s">
        <v>74</v>
      </c>
      <c r="AR195" s="1" t="s">
        <v>4269</v>
      </c>
      <c r="AS195" s="1" t="s">
        <v>4270</v>
      </c>
      <c r="AT195" s="1" t="s">
        <v>2469</v>
      </c>
      <c r="AU195" s="1">
        <v>2020.0</v>
      </c>
      <c r="AV195" s="1">
        <v>68.0</v>
      </c>
      <c r="AW195" s="1">
        <v>5.0</v>
      </c>
      <c r="AX195" s="1" t="s">
        <v>74</v>
      </c>
      <c r="AY195" s="1" t="s">
        <v>74</v>
      </c>
      <c r="AZ195" s="1" t="s">
        <v>74</v>
      </c>
      <c r="BA195" s="1" t="s">
        <v>74</v>
      </c>
      <c r="BB195" s="1">
        <v>532.0</v>
      </c>
      <c r="BC195" s="1">
        <v>538.0</v>
      </c>
      <c r="BD195" s="1" t="s">
        <v>74</v>
      </c>
      <c r="BE195" s="1" t="s">
        <v>4271</v>
      </c>
      <c r="BF195" s="2" t="str">
        <f>HYPERLINK("http://dx.doi.org/10.23736/S0026-4725.20.05235-4","http://dx.doi.org/10.23736/S0026-4725.20.05235-4")</f>
        <v>http://dx.doi.org/10.23736/S0026-4725.20.05235-4</v>
      </c>
      <c r="BG195" s="1" t="s">
        <v>74</v>
      </c>
      <c r="BH195" s="1" t="s">
        <v>74</v>
      </c>
      <c r="BI195" s="1">
        <v>7.0</v>
      </c>
      <c r="BJ195" s="1" t="s">
        <v>2729</v>
      </c>
      <c r="BK195" s="1" t="s">
        <v>149</v>
      </c>
      <c r="BL195" s="1" t="s">
        <v>2730</v>
      </c>
      <c r="BM195" s="1" t="s">
        <v>4272</v>
      </c>
      <c r="BN195" s="1">
        <v>3.2989966E7</v>
      </c>
      <c r="BO195" s="1" t="s">
        <v>4126</v>
      </c>
      <c r="BP195" s="1" t="s">
        <v>74</v>
      </c>
      <c r="BQ195" s="1" t="s">
        <v>74</v>
      </c>
      <c r="BR195" s="1" t="s">
        <v>102</v>
      </c>
      <c r="BS195" s="1" t="s">
        <v>4273</v>
      </c>
      <c r="BT195" s="1" t="str">
        <f>HYPERLINK("https%3A%2F%2Fwww.webofscience.com%2Fwos%2Fwoscc%2Ffull-record%2FWOS:000589422000019","View Full Record in Web of Science")</f>
        <v>View Full Record in Web of Science</v>
      </c>
    </row>
    <row r="196" ht="12.75" customHeight="1">
      <c r="A196" s="1" t="s">
        <v>132</v>
      </c>
      <c r="B196" s="1" t="s">
        <v>4274</v>
      </c>
      <c r="C196" s="1" t="s">
        <v>74</v>
      </c>
      <c r="D196" s="1" t="s">
        <v>74</v>
      </c>
      <c r="E196" s="1" t="s">
        <v>74</v>
      </c>
      <c r="F196" s="1" t="s">
        <v>4275</v>
      </c>
      <c r="G196" s="1" t="s">
        <v>74</v>
      </c>
      <c r="H196" s="1" t="s">
        <v>74</v>
      </c>
      <c r="I196" s="1" t="s">
        <v>4276</v>
      </c>
      <c r="J196" s="1" t="s">
        <v>1288</v>
      </c>
      <c r="K196" s="1" t="s">
        <v>74</v>
      </c>
      <c r="L196" s="1" t="s">
        <v>74</v>
      </c>
      <c r="M196" s="1" t="s">
        <v>80</v>
      </c>
      <c r="N196" s="1" t="s">
        <v>136</v>
      </c>
      <c r="O196" s="1" t="s">
        <v>74</v>
      </c>
      <c r="P196" s="1" t="s">
        <v>74</v>
      </c>
      <c r="Q196" s="1" t="s">
        <v>74</v>
      </c>
      <c r="R196" s="1" t="s">
        <v>74</v>
      </c>
      <c r="S196" s="1" t="s">
        <v>74</v>
      </c>
      <c r="T196" s="1" t="s">
        <v>4277</v>
      </c>
      <c r="U196" s="1" t="s">
        <v>4278</v>
      </c>
      <c r="V196" s="1" t="s">
        <v>4279</v>
      </c>
      <c r="W196" s="1" t="s">
        <v>4280</v>
      </c>
      <c r="X196" s="1" t="s">
        <v>4281</v>
      </c>
      <c r="Y196" s="1" t="s">
        <v>4282</v>
      </c>
      <c r="Z196" s="1" t="s">
        <v>4283</v>
      </c>
      <c r="AA196" s="1" t="s">
        <v>4284</v>
      </c>
      <c r="AB196" s="1" t="s">
        <v>74</v>
      </c>
      <c r="AC196" s="1" t="s">
        <v>4285</v>
      </c>
      <c r="AD196" s="1" t="s">
        <v>4286</v>
      </c>
      <c r="AE196" s="1" t="s">
        <v>4287</v>
      </c>
      <c r="AF196" s="1" t="s">
        <v>74</v>
      </c>
      <c r="AG196" s="1">
        <v>32.0</v>
      </c>
      <c r="AH196" s="1">
        <v>0.0</v>
      </c>
      <c r="AI196" s="1">
        <v>0.0</v>
      </c>
      <c r="AJ196" s="1">
        <v>86.0</v>
      </c>
      <c r="AK196" s="1">
        <v>86.0</v>
      </c>
      <c r="AL196" s="1" t="s">
        <v>1294</v>
      </c>
      <c r="AM196" s="1" t="s">
        <v>1295</v>
      </c>
      <c r="AN196" s="1" t="s">
        <v>1296</v>
      </c>
      <c r="AO196" s="1" t="s">
        <v>1297</v>
      </c>
      <c r="AP196" s="1" t="s">
        <v>1298</v>
      </c>
      <c r="AQ196" s="1" t="s">
        <v>74</v>
      </c>
      <c r="AR196" s="1" t="s">
        <v>1299</v>
      </c>
      <c r="AS196" s="1" t="s">
        <v>1300</v>
      </c>
      <c r="AT196" s="1" t="s">
        <v>302</v>
      </c>
      <c r="AU196" s="1">
        <v>2024.0</v>
      </c>
      <c r="AV196" s="1">
        <v>26.0</v>
      </c>
      <c r="AW196" s="1">
        <v>67.0</v>
      </c>
      <c r="AX196" s="1" t="s">
        <v>74</v>
      </c>
      <c r="AY196" s="1" t="s">
        <v>74</v>
      </c>
      <c r="AZ196" s="1" t="s">
        <v>74</v>
      </c>
      <c r="BA196" s="1" t="s">
        <v>74</v>
      </c>
      <c r="BB196" s="1">
        <v>867.0</v>
      </c>
      <c r="BC196" s="1">
        <v>883.0</v>
      </c>
      <c r="BD196" s="1" t="s">
        <v>74</v>
      </c>
      <c r="BE196" s="1" t="s">
        <v>4288</v>
      </c>
      <c r="BF196" s="2" t="str">
        <f>HYPERLINK("http://dx.doi.org/10.24818/EA/2024/67/867","http://dx.doi.org/10.24818/EA/2024/67/867")</f>
        <v>http://dx.doi.org/10.24818/EA/2024/67/867</v>
      </c>
      <c r="BG196" s="1" t="s">
        <v>74</v>
      </c>
      <c r="BH196" s="1" t="s">
        <v>74</v>
      </c>
      <c r="BI196" s="1">
        <v>17.0</v>
      </c>
      <c r="BJ196" s="1" t="s">
        <v>1303</v>
      </c>
      <c r="BK196" s="1" t="s">
        <v>203</v>
      </c>
      <c r="BL196" s="1" t="s">
        <v>204</v>
      </c>
      <c r="BM196" s="1" t="s">
        <v>4289</v>
      </c>
      <c r="BN196" s="1" t="s">
        <v>74</v>
      </c>
      <c r="BO196" s="1" t="s">
        <v>174</v>
      </c>
      <c r="BP196" s="1" t="s">
        <v>74</v>
      </c>
      <c r="BQ196" s="1" t="s">
        <v>74</v>
      </c>
      <c r="BR196" s="1" t="s">
        <v>102</v>
      </c>
      <c r="BS196" s="1" t="s">
        <v>4290</v>
      </c>
      <c r="BT196" s="1" t="str">
        <f>HYPERLINK("https%3A%2F%2Fwww.webofscience.com%2Fwos%2Fwoscc%2Ffull-record%2FWOS:001289160200011","View Full Record in Web of Science")</f>
        <v>View Full Record in Web of Science</v>
      </c>
    </row>
    <row r="197" ht="12.75" customHeight="1">
      <c r="A197" s="1" t="s">
        <v>132</v>
      </c>
      <c r="B197" s="1" t="s">
        <v>4291</v>
      </c>
      <c r="C197" s="1" t="s">
        <v>74</v>
      </c>
      <c r="D197" s="1" t="s">
        <v>74</v>
      </c>
      <c r="E197" s="1" t="s">
        <v>74</v>
      </c>
      <c r="F197" s="1" t="s">
        <v>4292</v>
      </c>
      <c r="G197" s="1" t="s">
        <v>74</v>
      </c>
      <c r="H197" s="1" t="s">
        <v>74</v>
      </c>
      <c r="I197" s="1" t="s">
        <v>4293</v>
      </c>
      <c r="J197" s="1" t="s">
        <v>4294</v>
      </c>
      <c r="K197" s="1" t="s">
        <v>74</v>
      </c>
      <c r="L197" s="1" t="s">
        <v>74</v>
      </c>
      <c r="M197" s="1" t="s">
        <v>80</v>
      </c>
      <c r="N197" s="1" t="s">
        <v>136</v>
      </c>
      <c r="O197" s="1" t="s">
        <v>74</v>
      </c>
      <c r="P197" s="1" t="s">
        <v>74</v>
      </c>
      <c r="Q197" s="1" t="s">
        <v>74</v>
      </c>
      <c r="R197" s="1" t="s">
        <v>74</v>
      </c>
      <c r="S197" s="1" t="s">
        <v>74</v>
      </c>
      <c r="T197" s="1" t="s">
        <v>4295</v>
      </c>
      <c r="U197" s="1" t="s">
        <v>4296</v>
      </c>
      <c r="V197" s="1" t="s">
        <v>4297</v>
      </c>
      <c r="W197" s="1" t="s">
        <v>4298</v>
      </c>
      <c r="X197" s="1" t="s">
        <v>4299</v>
      </c>
      <c r="Y197" s="1" t="s">
        <v>4300</v>
      </c>
      <c r="Z197" s="1" t="s">
        <v>4301</v>
      </c>
      <c r="AA197" s="1" t="s">
        <v>74</v>
      </c>
      <c r="AB197" s="1" t="s">
        <v>74</v>
      </c>
      <c r="AC197" s="1" t="s">
        <v>74</v>
      </c>
      <c r="AD197" s="1" t="s">
        <v>74</v>
      </c>
      <c r="AE197" s="1" t="s">
        <v>74</v>
      </c>
      <c r="AF197" s="1" t="s">
        <v>74</v>
      </c>
      <c r="AG197" s="1">
        <v>22.0</v>
      </c>
      <c r="AH197" s="1">
        <v>8.0</v>
      </c>
      <c r="AI197" s="1">
        <v>8.0</v>
      </c>
      <c r="AJ197" s="1">
        <v>2.0</v>
      </c>
      <c r="AK197" s="1">
        <v>26.0</v>
      </c>
      <c r="AL197" s="1" t="s">
        <v>192</v>
      </c>
      <c r="AM197" s="1" t="s">
        <v>193</v>
      </c>
      <c r="AN197" s="1" t="s">
        <v>194</v>
      </c>
      <c r="AO197" s="1" t="s">
        <v>4302</v>
      </c>
      <c r="AP197" s="1" t="s">
        <v>4303</v>
      </c>
      <c r="AQ197" s="1" t="s">
        <v>74</v>
      </c>
      <c r="AR197" s="1" t="s">
        <v>4304</v>
      </c>
      <c r="AS197" s="1" t="s">
        <v>4305</v>
      </c>
      <c r="AT197" s="1" t="s">
        <v>2469</v>
      </c>
      <c r="AU197" s="1">
        <v>2022.0</v>
      </c>
      <c r="AV197" s="1">
        <v>52.0</v>
      </c>
      <c r="AW197" s="1">
        <v>11.0</v>
      </c>
      <c r="AX197" s="1" t="s">
        <v>74</v>
      </c>
      <c r="AY197" s="1" t="s">
        <v>74</v>
      </c>
      <c r="AZ197" s="1" t="s">
        <v>474</v>
      </c>
      <c r="BA197" s="1" t="s">
        <v>74</v>
      </c>
      <c r="BB197" s="1">
        <v>2173.0</v>
      </c>
      <c r="BC197" s="1">
        <v>2177.0</v>
      </c>
      <c r="BD197" s="1" t="s">
        <v>74</v>
      </c>
      <c r="BE197" s="1" t="s">
        <v>4306</v>
      </c>
      <c r="BF197" s="2" t="str">
        <f>HYPERLINK("http://dx.doi.org/10.1007/s00247-021-05013-y","http://dx.doi.org/10.1007/s00247-021-05013-y")</f>
        <v>http://dx.doi.org/10.1007/s00247-021-05013-y</v>
      </c>
      <c r="BG197" s="1" t="s">
        <v>74</v>
      </c>
      <c r="BH197" s="1" t="s">
        <v>4307</v>
      </c>
      <c r="BI197" s="1">
        <v>5.0</v>
      </c>
      <c r="BJ197" s="1" t="s">
        <v>4308</v>
      </c>
      <c r="BK197" s="1" t="s">
        <v>149</v>
      </c>
      <c r="BL197" s="1" t="s">
        <v>4308</v>
      </c>
      <c r="BM197" s="1" t="s">
        <v>4309</v>
      </c>
      <c r="BN197" s="1">
        <v>3.3978793E7</v>
      </c>
      <c r="BO197" s="1" t="s">
        <v>74</v>
      </c>
      <c r="BP197" s="1" t="s">
        <v>74</v>
      </c>
      <c r="BQ197" s="1" t="s">
        <v>74</v>
      </c>
      <c r="BR197" s="1" t="s">
        <v>102</v>
      </c>
      <c r="BS197" s="1" t="s">
        <v>4310</v>
      </c>
      <c r="BT197" s="1" t="str">
        <f>HYPERLINK("https%3A%2F%2Fwww.webofscience.com%2Fwos%2Fwoscc%2Ffull-record%2FWOS:000650171000016","View Full Record in Web of Science")</f>
        <v>View Full Record in Web of Science</v>
      </c>
    </row>
    <row r="198" ht="12.75" customHeight="1">
      <c r="A198" s="1" t="s">
        <v>132</v>
      </c>
      <c r="B198" s="1" t="s">
        <v>4311</v>
      </c>
      <c r="C198" s="1" t="s">
        <v>74</v>
      </c>
      <c r="D198" s="1" t="s">
        <v>74</v>
      </c>
      <c r="E198" s="1" t="s">
        <v>74</v>
      </c>
      <c r="F198" s="1" t="s">
        <v>4312</v>
      </c>
      <c r="G198" s="1" t="s">
        <v>74</v>
      </c>
      <c r="H198" s="1" t="s">
        <v>74</v>
      </c>
      <c r="I198" s="1" t="s">
        <v>4313</v>
      </c>
      <c r="J198" s="1" t="s">
        <v>4314</v>
      </c>
      <c r="K198" s="1" t="s">
        <v>74</v>
      </c>
      <c r="L198" s="1" t="s">
        <v>74</v>
      </c>
      <c r="M198" s="1" t="s">
        <v>80</v>
      </c>
      <c r="N198" s="1" t="s">
        <v>1010</v>
      </c>
      <c r="O198" s="1" t="s">
        <v>74</v>
      </c>
      <c r="P198" s="1" t="s">
        <v>74</v>
      </c>
      <c r="Q198" s="1" t="s">
        <v>74</v>
      </c>
      <c r="R198" s="1" t="s">
        <v>74</v>
      </c>
      <c r="S198" s="1" t="s">
        <v>74</v>
      </c>
      <c r="T198" s="1" t="s">
        <v>4315</v>
      </c>
      <c r="U198" s="1" t="s">
        <v>74</v>
      </c>
      <c r="V198" s="1" t="s">
        <v>4316</v>
      </c>
      <c r="W198" s="1" t="s">
        <v>4317</v>
      </c>
      <c r="X198" s="1" t="s">
        <v>4318</v>
      </c>
      <c r="Y198" s="1" t="s">
        <v>4319</v>
      </c>
      <c r="Z198" s="1" t="s">
        <v>4320</v>
      </c>
      <c r="AA198" s="1" t="s">
        <v>4321</v>
      </c>
      <c r="AB198" s="1" t="s">
        <v>74</v>
      </c>
      <c r="AC198" s="1" t="s">
        <v>74</v>
      </c>
      <c r="AD198" s="1" t="s">
        <v>74</v>
      </c>
      <c r="AE198" s="1" t="s">
        <v>74</v>
      </c>
      <c r="AF198" s="1" t="s">
        <v>74</v>
      </c>
      <c r="AG198" s="1">
        <v>13.0</v>
      </c>
      <c r="AH198" s="1">
        <v>2.0</v>
      </c>
      <c r="AI198" s="1">
        <v>2.0</v>
      </c>
      <c r="AJ198" s="1">
        <v>2.0</v>
      </c>
      <c r="AK198" s="1">
        <v>19.0</v>
      </c>
      <c r="AL198" s="1" t="s">
        <v>4322</v>
      </c>
      <c r="AM198" s="1" t="s">
        <v>4323</v>
      </c>
      <c r="AN198" s="1" t="s">
        <v>4324</v>
      </c>
      <c r="AO198" s="1" t="s">
        <v>4325</v>
      </c>
      <c r="AP198" s="1" t="s">
        <v>74</v>
      </c>
      <c r="AQ198" s="1" t="s">
        <v>74</v>
      </c>
      <c r="AR198" s="1" t="s">
        <v>4326</v>
      </c>
      <c r="AS198" s="1" t="s">
        <v>4327</v>
      </c>
      <c r="AT198" s="1" t="s">
        <v>74</v>
      </c>
      <c r="AU198" s="1">
        <v>2020.0</v>
      </c>
      <c r="AV198" s="1">
        <v>10.0</v>
      </c>
      <c r="AW198" s="1">
        <v>5.0</v>
      </c>
      <c r="AX198" s="1" t="s">
        <v>74</v>
      </c>
      <c r="AY198" s="1" t="s">
        <v>74</v>
      </c>
      <c r="AZ198" s="1" t="s">
        <v>74</v>
      </c>
      <c r="BA198" s="1" t="s">
        <v>74</v>
      </c>
      <c r="BB198" s="1">
        <v>150.0</v>
      </c>
      <c r="BC198" s="1">
        <v>154.0</v>
      </c>
      <c r="BD198" s="1" t="s">
        <v>74</v>
      </c>
      <c r="BE198" s="1" t="s">
        <v>4328</v>
      </c>
      <c r="BF198" s="2" t="str">
        <f>HYPERLINK("http://dx.doi.org/10.15421/2020_222","http://dx.doi.org/10.15421/2020_222")</f>
        <v>http://dx.doi.org/10.15421/2020_222</v>
      </c>
      <c r="BG198" s="1" t="s">
        <v>74</v>
      </c>
      <c r="BH198" s="1" t="s">
        <v>74</v>
      </c>
      <c r="BI198" s="1">
        <v>5.0</v>
      </c>
      <c r="BJ198" s="1" t="s">
        <v>4329</v>
      </c>
      <c r="BK198" s="1" t="s">
        <v>172</v>
      </c>
      <c r="BL198" s="1" t="s">
        <v>4330</v>
      </c>
      <c r="BM198" s="1" t="s">
        <v>4331</v>
      </c>
      <c r="BN198" s="1" t="s">
        <v>74</v>
      </c>
      <c r="BO198" s="1" t="s">
        <v>2204</v>
      </c>
      <c r="BP198" s="1" t="s">
        <v>74</v>
      </c>
      <c r="BQ198" s="1" t="s">
        <v>74</v>
      </c>
      <c r="BR198" s="1" t="s">
        <v>102</v>
      </c>
      <c r="BS198" s="1" t="s">
        <v>4332</v>
      </c>
      <c r="BT198" s="1" t="str">
        <f>HYPERLINK("https%3A%2F%2Fwww.webofscience.com%2Fwos%2Fwoscc%2Ffull-record%2FWOS:000594653300025","View Full Record in Web of Science")</f>
        <v>View Full Record in Web of Science</v>
      </c>
    </row>
    <row r="199" ht="12.75" customHeight="1">
      <c r="A199" s="1" t="s">
        <v>132</v>
      </c>
      <c r="B199" s="1" t="s">
        <v>4333</v>
      </c>
      <c r="C199" s="1" t="s">
        <v>74</v>
      </c>
      <c r="D199" s="1" t="s">
        <v>74</v>
      </c>
      <c r="E199" s="1" t="s">
        <v>74</v>
      </c>
      <c r="F199" s="1" t="s">
        <v>4334</v>
      </c>
      <c r="G199" s="1" t="s">
        <v>74</v>
      </c>
      <c r="H199" s="1" t="s">
        <v>74</v>
      </c>
      <c r="I199" s="1" t="s">
        <v>4335</v>
      </c>
      <c r="J199" s="1" t="s">
        <v>4336</v>
      </c>
      <c r="K199" s="1" t="s">
        <v>74</v>
      </c>
      <c r="L199" s="1" t="s">
        <v>74</v>
      </c>
      <c r="M199" s="1" t="s">
        <v>80</v>
      </c>
      <c r="N199" s="1" t="s">
        <v>136</v>
      </c>
      <c r="O199" s="1" t="s">
        <v>74</v>
      </c>
      <c r="P199" s="1" t="s">
        <v>74</v>
      </c>
      <c r="Q199" s="1" t="s">
        <v>74</v>
      </c>
      <c r="R199" s="1" t="s">
        <v>74</v>
      </c>
      <c r="S199" s="1" t="s">
        <v>74</v>
      </c>
      <c r="T199" s="1" t="s">
        <v>4337</v>
      </c>
      <c r="U199" s="1" t="s">
        <v>74</v>
      </c>
      <c r="V199" s="1" t="s">
        <v>4338</v>
      </c>
      <c r="W199" s="1" t="s">
        <v>4339</v>
      </c>
      <c r="X199" s="1" t="s">
        <v>4340</v>
      </c>
      <c r="Y199" s="1" t="s">
        <v>4341</v>
      </c>
      <c r="Z199" s="1" t="s">
        <v>4342</v>
      </c>
      <c r="AA199" s="1" t="s">
        <v>74</v>
      </c>
      <c r="AB199" s="1" t="s">
        <v>74</v>
      </c>
      <c r="AC199" s="1" t="s">
        <v>4343</v>
      </c>
      <c r="AD199" s="1" t="s">
        <v>4344</v>
      </c>
      <c r="AE199" s="1" t="s">
        <v>4345</v>
      </c>
      <c r="AF199" s="1" t="s">
        <v>74</v>
      </c>
      <c r="AG199" s="1">
        <v>12.0</v>
      </c>
      <c r="AH199" s="1">
        <v>0.0</v>
      </c>
      <c r="AI199" s="1">
        <v>0.0</v>
      </c>
      <c r="AJ199" s="1">
        <v>49.0</v>
      </c>
      <c r="AK199" s="1">
        <v>49.0</v>
      </c>
      <c r="AL199" s="1" t="s">
        <v>595</v>
      </c>
      <c r="AM199" s="1" t="s">
        <v>467</v>
      </c>
      <c r="AN199" s="1" t="s">
        <v>596</v>
      </c>
      <c r="AO199" s="1" t="s">
        <v>4346</v>
      </c>
      <c r="AP199" s="1" t="s">
        <v>4347</v>
      </c>
      <c r="AQ199" s="1" t="s">
        <v>74</v>
      </c>
      <c r="AR199" s="1" t="s">
        <v>4348</v>
      </c>
      <c r="AS199" s="1" t="s">
        <v>4349</v>
      </c>
      <c r="AT199" s="1" t="s">
        <v>4350</v>
      </c>
      <c r="AU199" s="1">
        <v>2024.0</v>
      </c>
      <c r="AV199" s="1">
        <v>31.0</v>
      </c>
      <c r="AW199" s="1">
        <v>16.0</v>
      </c>
      <c r="AX199" s="1" t="s">
        <v>74</v>
      </c>
      <c r="AY199" s="1" t="s">
        <v>74</v>
      </c>
      <c r="AZ199" s="1" t="s">
        <v>74</v>
      </c>
      <c r="BA199" s="1" t="s">
        <v>74</v>
      </c>
      <c r="BB199" s="1">
        <v>1590.0</v>
      </c>
      <c r="BC199" s="1">
        <v>1597.0</v>
      </c>
      <c r="BD199" s="1" t="s">
        <v>74</v>
      </c>
      <c r="BE199" s="1" t="s">
        <v>4351</v>
      </c>
      <c r="BF199" s="2" t="str">
        <f>HYPERLINK("http://dx.doi.org/10.1080/13504851.2024.2384532","http://dx.doi.org/10.1080/13504851.2024.2384532")</f>
        <v>http://dx.doi.org/10.1080/13504851.2024.2384532</v>
      </c>
      <c r="BG199" s="1" t="s">
        <v>74</v>
      </c>
      <c r="BH199" s="1" t="s">
        <v>74</v>
      </c>
      <c r="BI199" s="1">
        <v>8.0</v>
      </c>
      <c r="BJ199" s="1" t="s">
        <v>202</v>
      </c>
      <c r="BK199" s="1" t="s">
        <v>203</v>
      </c>
      <c r="BL199" s="1" t="s">
        <v>204</v>
      </c>
      <c r="BM199" s="1" t="s">
        <v>4352</v>
      </c>
      <c r="BN199" s="1" t="s">
        <v>74</v>
      </c>
      <c r="BO199" s="1" t="s">
        <v>74</v>
      </c>
      <c r="BP199" s="1" t="s">
        <v>74</v>
      </c>
      <c r="BQ199" s="1" t="s">
        <v>74</v>
      </c>
      <c r="BR199" s="1" t="s">
        <v>102</v>
      </c>
      <c r="BS199" s="1" t="s">
        <v>4353</v>
      </c>
      <c r="BT199" s="1" t="str">
        <f>HYPERLINK("https%3A%2F%2Fwww.webofscience.com%2Fwos%2Fwoscc%2Ffull-record%2FWOS:001286183500016","View Full Record in Web of Science")</f>
        <v>View Full Record in Web of Science</v>
      </c>
    </row>
    <row r="200" ht="12.75" customHeight="1">
      <c r="A200" s="1" t="s">
        <v>132</v>
      </c>
      <c r="B200" s="1" t="s">
        <v>4354</v>
      </c>
      <c r="C200" s="1" t="s">
        <v>74</v>
      </c>
      <c r="D200" s="1" t="s">
        <v>74</v>
      </c>
      <c r="E200" s="1" t="s">
        <v>74</v>
      </c>
      <c r="F200" s="1" t="s">
        <v>4355</v>
      </c>
      <c r="G200" s="1" t="s">
        <v>74</v>
      </c>
      <c r="H200" s="1" t="s">
        <v>74</v>
      </c>
      <c r="I200" s="1" t="s">
        <v>4356</v>
      </c>
      <c r="J200" s="1" t="s">
        <v>4357</v>
      </c>
      <c r="K200" s="1" t="s">
        <v>74</v>
      </c>
      <c r="L200" s="1" t="s">
        <v>74</v>
      </c>
      <c r="M200" s="1" t="s">
        <v>80</v>
      </c>
      <c r="N200" s="1" t="s">
        <v>136</v>
      </c>
      <c r="O200" s="1" t="s">
        <v>74</v>
      </c>
      <c r="P200" s="1" t="s">
        <v>74</v>
      </c>
      <c r="Q200" s="1" t="s">
        <v>74</v>
      </c>
      <c r="R200" s="1" t="s">
        <v>74</v>
      </c>
      <c r="S200" s="1" t="s">
        <v>74</v>
      </c>
      <c r="T200" s="1" t="s">
        <v>4358</v>
      </c>
      <c r="U200" s="1" t="s">
        <v>4359</v>
      </c>
      <c r="V200" s="1" t="s">
        <v>4360</v>
      </c>
      <c r="W200" s="1" t="s">
        <v>4361</v>
      </c>
      <c r="X200" s="1" t="s">
        <v>4362</v>
      </c>
      <c r="Y200" s="1" t="s">
        <v>4363</v>
      </c>
      <c r="Z200" s="1" t="s">
        <v>4364</v>
      </c>
      <c r="AA200" s="1" t="s">
        <v>4365</v>
      </c>
      <c r="AB200" s="1" t="s">
        <v>4366</v>
      </c>
      <c r="AC200" s="1" t="s">
        <v>4367</v>
      </c>
      <c r="AD200" s="1" t="s">
        <v>4368</v>
      </c>
      <c r="AE200" s="1" t="s">
        <v>4369</v>
      </c>
      <c r="AF200" s="1" t="s">
        <v>74</v>
      </c>
      <c r="AG200" s="1">
        <v>80.0</v>
      </c>
      <c r="AH200" s="1">
        <v>10.0</v>
      </c>
      <c r="AI200" s="1">
        <v>10.0</v>
      </c>
      <c r="AJ200" s="1">
        <v>1.0</v>
      </c>
      <c r="AK200" s="1">
        <v>7.0</v>
      </c>
      <c r="AL200" s="1" t="s">
        <v>3551</v>
      </c>
      <c r="AM200" s="1" t="s">
        <v>193</v>
      </c>
      <c r="AN200" s="1" t="s">
        <v>3552</v>
      </c>
      <c r="AO200" s="1" t="s">
        <v>4370</v>
      </c>
      <c r="AP200" s="1" t="s">
        <v>4371</v>
      </c>
      <c r="AQ200" s="1" t="s">
        <v>74</v>
      </c>
      <c r="AR200" s="1" t="s">
        <v>4372</v>
      </c>
      <c r="AS200" s="1" t="s">
        <v>4373</v>
      </c>
      <c r="AT200" s="1" t="s">
        <v>302</v>
      </c>
      <c r="AU200" s="1">
        <v>2023.0</v>
      </c>
      <c r="AV200" s="1">
        <v>32.0</v>
      </c>
      <c r="AW200" s="1">
        <v>8.0</v>
      </c>
      <c r="AX200" s="1" t="s">
        <v>74</v>
      </c>
      <c r="AY200" s="1" t="s">
        <v>74</v>
      </c>
      <c r="AZ200" s="1" t="s">
        <v>74</v>
      </c>
      <c r="BA200" s="1" t="s">
        <v>74</v>
      </c>
      <c r="BB200" s="1">
        <v>894.0</v>
      </c>
      <c r="BC200" s="1">
        <v>904.0</v>
      </c>
      <c r="BD200" s="1" t="s">
        <v>74</v>
      </c>
      <c r="BE200" s="1" t="s">
        <v>4374</v>
      </c>
      <c r="BF200" s="2" t="str">
        <f>HYPERLINK("http://dx.doi.org/10.1016/j.hlc.2023.06.703","http://dx.doi.org/10.1016/j.hlc.2023.06.703")</f>
        <v>http://dx.doi.org/10.1016/j.hlc.2023.06.703</v>
      </c>
      <c r="BG200" s="1" t="s">
        <v>74</v>
      </c>
      <c r="BH200" s="1" t="s">
        <v>357</v>
      </c>
      <c r="BI200" s="1">
        <v>11.0</v>
      </c>
      <c r="BJ200" s="1" t="s">
        <v>2729</v>
      </c>
      <c r="BK200" s="1" t="s">
        <v>149</v>
      </c>
      <c r="BL200" s="1" t="s">
        <v>2730</v>
      </c>
      <c r="BM200" s="1" t="s">
        <v>4375</v>
      </c>
      <c r="BN200" s="1">
        <v>3.7507275E7</v>
      </c>
      <c r="BO200" s="1" t="s">
        <v>74</v>
      </c>
      <c r="BP200" s="1" t="s">
        <v>74</v>
      </c>
      <c r="BQ200" s="1" t="s">
        <v>74</v>
      </c>
      <c r="BR200" s="1" t="s">
        <v>102</v>
      </c>
      <c r="BS200" s="1" t="s">
        <v>4376</v>
      </c>
      <c r="BT200" s="1" t="str">
        <f>HYPERLINK("https%3A%2F%2Fwww.webofscience.com%2Fwos%2Fwoscc%2Ffull-record%2FWOS:001073043300001","View Full Record in Web of Science")</f>
        <v>View Full Record in Web of Science</v>
      </c>
    </row>
    <row r="201" ht="12.75" customHeight="1">
      <c r="A201" s="1" t="s">
        <v>132</v>
      </c>
      <c r="B201" s="1" t="s">
        <v>4377</v>
      </c>
      <c r="C201" s="1" t="s">
        <v>74</v>
      </c>
      <c r="D201" s="1" t="s">
        <v>74</v>
      </c>
      <c r="E201" s="1" t="s">
        <v>74</v>
      </c>
      <c r="F201" s="1" t="s">
        <v>4378</v>
      </c>
      <c r="G201" s="1" t="s">
        <v>74</v>
      </c>
      <c r="H201" s="1" t="s">
        <v>74</v>
      </c>
      <c r="I201" s="1" t="s">
        <v>4379</v>
      </c>
      <c r="J201" s="1" t="s">
        <v>4380</v>
      </c>
      <c r="K201" s="1" t="s">
        <v>74</v>
      </c>
      <c r="L201" s="1" t="s">
        <v>74</v>
      </c>
      <c r="M201" s="1" t="s">
        <v>80</v>
      </c>
      <c r="N201" s="1" t="s">
        <v>1010</v>
      </c>
      <c r="O201" s="1" t="s">
        <v>74</v>
      </c>
      <c r="P201" s="1" t="s">
        <v>74</v>
      </c>
      <c r="Q201" s="1" t="s">
        <v>74</v>
      </c>
      <c r="R201" s="1" t="s">
        <v>74</v>
      </c>
      <c r="S201" s="1" t="s">
        <v>74</v>
      </c>
      <c r="T201" s="1" t="s">
        <v>4381</v>
      </c>
      <c r="U201" s="1" t="s">
        <v>4382</v>
      </c>
      <c r="V201" s="1" t="s">
        <v>4383</v>
      </c>
      <c r="W201" s="1" t="s">
        <v>4384</v>
      </c>
      <c r="X201" s="1" t="s">
        <v>4385</v>
      </c>
      <c r="Y201" s="1" t="s">
        <v>4386</v>
      </c>
      <c r="Z201" s="1" t="s">
        <v>4387</v>
      </c>
      <c r="AA201" s="1" t="s">
        <v>4388</v>
      </c>
      <c r="AB201" s="1" t="s">
        <v>74</v>
      </c>
      <c r="AC201" s="1" t="s">
        <v>74</v>
      </c>
      <c r="AD201" s="1" t="s">
        <v>74</v>
      </c>
      <c r="AE201" s="1" t="s">
        <v>74</v>
      </c>
      <c r="AF201" s="1" t="s">
        <v>74</v>
      </c>
      <c r="AG201" s="1">
        <v>94.0</v>
      </c>
      <c r="AH201" s="1">
        <v>2.0</v>
      </c>
      <c r="AI201" s="1">
        <v>2.0</v>
      </c>
      <c r="AJ201" s="1">
        <v>27.0</v>
      </c>
      <c r="AK201" s="1">
        <v>59.0</v>
      </c>
      <c r="AL201" s="1" t="s">
        <v>321</v>
      </c>
      <c r="AM201" s="1" t="s">
        <v>322</v>
      </c>
      <c r="AN201" s="1" t="s">
        <v>323</v>
      </c>
      <c r="AO201" s="1" t="s">
        <v>4389</v>
      </c>
      <c r="AP201" s="1" t="s">
        <v>4390</v>
      </c>
      <c r="AQ201" s="1" t="s">
        <v>74</v>
      </c>
      <c r="AR201" s="1" t="s">
        <v>4391</v>
      </c>
      <c r="AS201" s="1" t="s">
        <v>4392</v>
      </c>
      <c r="AT201" s="1" t="s">
        <v>4393</v>
      </c>
      <c r="AU201" s="1">
        <v>2024.0</v>
      </c>
      <c r="AV201" s="1">
        <v>71.0</v>
      </c>
      <c r="AW201" s="1" t="s">
        <v>74</v>
      </c>
      <c r="AX201" s="1" t="s">
        <v>74</v>
      </c>
      <c r="AY201" s="1" t="s">
        <v>74</v>
      </c>
      <c r="AZ201" s="1" t="s">
        <v>74</v>
      </c>
      <c r="BA201" s="1" t="s">
        <v>74</v>
      </c>
      <c r="BB201" s="1" t="s">
        <v>74</v>
      </c>
      <c r="BC201" s="1" t="s">
        <v>74</v>
      </c>
      <c r="BD201" s="1">
        <v>101800.0</v>
      </c>
      <c r="BE201" s="1" t="s">
        <v>4394</v>
      </c>
      <c r="BF201" s="2" t="str">
        <f>HYPERLINK("http://dx.doi.org/10.1016/j.jengtecman.2024.101800","http://dx.doi.org/10.1016/j.jengtecman.2024.101800")</f>
        <v>http://dx.doi.org/10.1016/j.jengtecman.2024.101800</v>
      </c>
      <c r="BG201" s="1" t="s">
        <v>74</v>
      </c>
      <c r="BH201" s="1" t="s">
        <v>1001</v>
      </c>
      <c r="BI201" s="1">
        <v>19.0</v>
      </c>
      <c r="BJ201" s="1" t="s">
        <v>1812</v>
      </c>
      <c r="BK201" s="1" t="s">
        <v>783</v>
      </c>
      <c r="BL201" s="1" t="s">
        <v>1813</v>
      </c>
      <c r="BM201" s="1" t="s">
        <v>4395</v>
      </c>
      <c r="BN201" s="1" t="s">
        <v>74</v>
      </c>
      <c r="BO201" s="1" t="s">
        <v>306</v>
      </c>
      <c r="BP201" s="1" t="s">
        <v>74</v>
      </c>
      <c r="BQ201" s="1" t="s">
        <v>74</v>
      </c>
      <c r="BR201" s="1" t="s">
        <v>102</v>
      </c>
      <c r="BS201" s="1" t="s">
        <v>4396</v>
      </c>
      <c r="BT201" s="1" t="str">
        <f>HYPERLINK("https%3A%2F%2Fwww.webofscience.com%2Fwos%2Fwoscc%2Ffull-record%2FWOS:001188487700001","View Full Record in Web of Science")</f>
        <v>View Full Record in Web of Science</v>
      </c>
    </row>
    <row r="202" ht="12.75" customHeight="1">
      <c r="A202" s="1" t="s">
        <v>132</v>
      </c>
      <c r="B202" s="1" t="s">
        <v>4397</v>
      </c>
      <c r="C202" s="1" t="s">
        <v>74</v>
      </c>
      <c r="D202" s="1" t="s">
        <v>74</v>
      </c>
      <c r="E202" s="1" t="s">
        <v>74</v>
      </c>
      <c r="F202" s="1" t="s">
        <v>4398</v>
      </c>
      <c r="G202" s="1" t="s">
        <v>74</v>
      </c>
      <c r="H202" s="1" t="s">
        <v>74</v>
      </c>
      <c r="I202" s="1" t="s">
        <v>4399</v>
      </c>
      <c r="J202" s="1" t="s">
        <v>4400</v>
      </c>
      <c r="K202" s="1" t="s">
        <v>74</v>
      </c>
      <c r="L202" s="1" t="s">
        <v>74</v>
      </c>
      <c r="M202" s="1" t="s">
        <v>80</v>
      </c>
      <c r="N202" s="1" t="s">
        <v>136</v>
      </c>
      <c r="O202" s="1" t="s">
        <v>74</v>
      </c>
      <c r="P202" s="1" t="s">
        <v>74</v>
      </c>
      <c r="Q202" s="1" t="s">
        <v>74</v>
      </c>
      <c r="R202" s="1" t="s">
        <v>74</v>
      </c>
      <c r="S202" s="1" t="s">
        <v>74</v>
      </c>
      <c r="T202" s="1" t="s">
        <v>4401</v>
      </c>
      <c r="U202" s="1" t="s">
        <v>4402</v>
      </c>
      <c r="V202" s="1" t="s">
        <v>4403</v>
      </c>
      <c r="W202" s="1" t="s">
        <v>4404</v>
      </c>
      <c r="X202" s="1" t="s">
        <v>4405</v>
      </c>
      <c r="Y202" s="1" t="s">
        <v>4406</v>
      </c>
      <c r="Z202" s="1" t="s">
        <v>74</v>
      </c>
      <c r="AA202" s="1" t="s">
        <v>4407</v>
      </c>
      <c r="AB202" s="1" t="s">
        <v>4408</v>
      </c>
      <c r="AC202" s="1" t="s">
        <v>74</v>
      </c>
      <c r="AD202" s="1" t="s">
        <v>74</v>
      </c>
      <c r="AE202" s="1" t="s">
        <v>74</v>
      </c>
      <c r="AF202" s="1" t="s">
        <v>74</v>
      </c>
      <c r="AG202" s="1">
        <v>57.0</v>
      </c>
      <c r="AH202" s="1">
        <v>0.0</v>
      </c>
      <c r="AI202" s="1">
        <v>0.0</v>
      </c>
      <c r="AJ202" s="1">
        <v>26.0</v>
      </c>
      <c r="AK202" s="1">
        <v>55.0</v>
      </c>
      <c r="AL202" s="1" t="s">
        <v>4409</v>
      </c>
      <c r="AM202" s="1" t="s">
        <v>4410</v>
      </c>
      <c r="AN202" s="1" t="s">
        <v>4411</v>
      </c>
      <c r="AO202" s="1" t="s">
        <v>4412</v>
      </c>
      <c r="AP202" s="1" t="s">
        <v>74</v>
      </c>
      <c r="AQ202" s="1" t="s">
        <v>74</v>
      </c>
      <c r="AR202" s="1" t="s">
        <v>4413</v>
      </c>
      <c r="AS202" s="1" t="s">
        <v>4414</v>
      </c>
      <c r="AT202" s="1" t="s">
        <v>74</v>
      </c>
      <c r="AU202" s="1">
        <v>2023.0</v>
      </c>
      <c r="AV202" s="1">
        <v>10.0</v>
      </c>
      <c r="AW202" s="1">
        <v>5.0</v>
      </c>
      <c r="AX202" s="1" t="s">
        <v>74</v>
      </c>
      <c r="AY202" s="1" t="s">
        <v>74</v>
      </c>
      <c r="AZ202" s="1" t="s">
        <v>74</v>
      </c>
      <c r="BA202" s="1" t="s">
        <v>74</v>
      </c>
      <c r="BB202" s="1" t="s">
        <v>74</v>
      </c>
      <c r="BC202" s="1" t="s">
        <v>74</v>
      </c>
      <c r="BD202" s="1" t="s">
        <v>74</v>
      </c>
      <c r="BE202" s="1" t="s">
        <v>4415</v>
      </c>
      <c r="BF202" s="2" t="str">
        <f>HYPERLINK("http://dx.doi.org/10.4108/eetsis.3841","http://dx.doi.org/10.4108/eetsis.3841")</f>
        <v>http://dx.doi.org/10.4108/eetsis.3841</v>
      </c>
      <c r="BG202" s="1" t="s">
        <v>74</v>
      </c>
      <c r="BH202" s="1" t="s">
        <v>74</v>
      </c>
      <c r="BI202" s="1">
        <v>8.0</v>
      </c>
      <c r="BJ202" s="1" t="s">
        <v>554</v>
      </c>
      <c r="BK202" s="1" t="s">
        <v>172</v>
      </c>
      <c r="BL202" s="1" t="s">
        <v>232</v>
      </c>
      <c r="BM202" s="1" t="s">
        <v>4416</v>
      </c>
      <c r="BN202" s="1" t="s">
        <v>74</v>
      </c>
      <c r="BO202" s="1" t="s">
        <v>174</v>
      </c>
      <c r="BP202" s="1" t="s">
        <v>74</v>
      </c>
      <c r="BQ202" s="1" t="s">
        <v>74</v>
      </c>
      <c r="BR202" s="1" t="s">
        <v>102</v>
      </c>
      <c r="BS202" s="1" t="s">
        <v>4417</v>
      </c>
      <c r="BT202" s="1" t="str">
        <f>HYPERLINK("https%3A%2F%2Fwww.webofscience.com%2Fwos%2Fwoscc%2Ffull-record%2FWOS:001149947600002","View Full Record in Web of Science")</f>
        <v>View Full Record in Web of Science</v>
      </c>
    </row>
    <row r="203" ht="12.75" customHeight="1">
      <c r="A203" s="1" t="s">
        <v>132</v>
      </c>
      <c r="B203" s="1" t="s">
        <v>4418</v>
      </c>
      <c r="C203" s="1" t="s">
        <v>74</v>
      </c>
      <c r="D203" s="1" t="s">
        <v>74</v>
      </c>
      <c r="E203" s="1" t="s">
        <v>74</v>
      </c>
      <c r="F203" s="1" t="s">
        <v>4419</v>
      </c>
      <c r="G203" s="1" t="s">
        <v>74</v>
      </c>
      <c r="H203" s="1" t="s">
        <v>74</v>
      </c>
      <c r="I203" s="1" t="s">
        <v>4420</v>
      </c>
      <c r="J203" s="1" t="s">
        <v>4421</v>
      </c>
      <c r="K203" s="1" t="s">
        <v>74</v>
      </c>
      <c r="L203" s="1" t="s">
        <v>74</v>
      </c>
      <c r="M203" s="1" t="s">
        <v>80</v>
      </c>
      <c r="N203" s="1" t="s">
        <v>136</v>
      </c>
      <c r="O203" s="1" t="s">
        <v>74</v>
      </c>
      <c r="P203" s="1" t="s">
        <v>74</v>
      </c>
      <c r="Q203" s="1" t="s">
        <v>74</v>
      </c>
      <c r="R203" s="1" t="s">
        <v>74</v>
      </c>
      <c r="S203" s="1" t="s">
        <v>74</v>
      </c>
      <c r="T203" s="1" t="s">
        <v>4422</v>
      </c>
      <c r="U203" s="1" t="s">
        <v>74</v>
      </c>
      <c r="V203" s="1" t="s">
        <v>4423</v>
      </c>
      <c r="W203" s="1" t="s">
        <v>4424</v>
      </c>
      <c r="X203" s="1" t="s">
        <v>4425</v>
      </c>
      <c r="Y203" s="1" t="s">
        <v>4426</v>
      </c>
      <c r="Z203" s="1" t="s">
        <v>4427</v>
      </c>
      <c r="AA203" s="1" t="s">
        <v>74</v>
      </c>
      <c r="AB203" s="1" t="s">
        <v>4428</v>
      </c>
      <c r="AC203" s="1" t="s">
        <v>4429</v>
      </c>
      <c r="AD203" s="1" t="s">
        <v>4430</v>
      </c>
      <c r="AE203" s="1" t="s">
        <v>4431</v>
      </c>
      <c r="AF203" s="1" t="s">
        <v>74</v>
      </c>
      <c r="AG203" s="1">
        <v>42.0</v>
      </c>
      <c r="AH203" s="1">
        <v>5.0</v>
      </c>
      <c r="AI203" s="1">
        <v>5.0</v>
      </c>
      <c r="AJ203" s="1">
        <v>115.0</v>
      </c>
      <c r="AK203" s="1">
        <v>115.0</v>
      </c>
      <c r="AL203" s="1" t="s">
        <v>321</v>
      </c>
      <c r="AM203" s="1" t="s">
        <v>322</v>
      </c>
      <c r="AN203" s="1" t="s">
        <v>323</v>
      </c>
      <c r="AO203" s="1" t="s">
        <v>4432</v>
      </c>
      <c r="AP203" s="1" t="s">
        <v>4433</v>
      </c>
      <c r="AQ203" s="1" t="s">
        <v>74</v>
      </c>
      <c r="AR203" s="1" t="s">
        <v>4434</v>
      </c>
      <c r="AS203" s="1" t="s">
        <v>4435</v>
      </c>
      <c r="AT203" s="1" t="s">
        <v>4436</v>
      </c>
      <c r="AU203" s="1">
        <v>2024.0</v>
      </c>
      <c r="AV203" s="1">
        <v>113.0</v>
      </c>
      <c r="AW203" s="1" t="s">
        <v>74</v>
      </c>
      <c r="AX203" s="1" t="s">
        <v>74</v>
      </c>
      <c r="AY203" s="1" t="s">
        <v>74</v>
      </c>
      <c r="AZ203" s="1" t="s">
        <v>74</v>
      </c>
      <c r="BA203" s="1" t="s">
        <v>74</v>
      </c>
      <c r="BB203" s="1" t="s">
        <v>74</v>
      </c>
      <c r="BC203" s="1" t="s">
        <v>74</v>
      </c>
      <c r="BD203" s="1">
        <v>105682.0</v>
      </c>
      <c r="BE203" s="1" t="s">
        <v>4437</v>
      </c>
      <c r="BF203" s="2" t="str">
        <f>HYPERLINK("http://dx.doi.org/10.1016/j.scs.2024.105682","http://dx.doi.org/10.1016/j.scs.2024.105682")</f>
        <v>http://dx.doi.org/10.1016/j.scs.2024.105682</v>
      </c>
      <c r="BG203" s="1" t="s">
        <v>74</v>
      </c>
      <c r="BH203" s="1" t="s">
        <v>1929</v>
      </c>
      <c r="BI203" s="1">
        <v>13.0</v>
      </c>
      <c r="BJ203" s="1" t="s">
        <v>4438</v>
      </c>
      <c r="BK203" s="1" t="s">
        <v>149</v>
      </c>
      <c r="BL203" s="1" t="s">
        <v>4439</v>
      </c>
      <c r="BM203" s="1" t="s">
        <v>4440</v>
      </c>
      <c r="BN203" s="1" t="s">
        <v>74</v>
      </c>
      <c r="BO203" s="1" t="s">
        <v>74</v>
      </c>
      <c r="BP203" s="1" t="s">
        <v>74</v>
      </c>
      <c r="BQ203" s="1" t="s">
        <v>74</v>
      </c>
      <c r="BR203" s="1" t="s">
        <v>102</v>
      </c>
      <c r="BS203" s="1" t="s">
        <v>4441</v>
      </c>
      <c r="BT203" s="1" t="str">
        <f>HYPERLINK("https%3A%2F%2Fwww.webofscience.com%2Fwos%2Fwoscc%2Ffull-record%2FWOS:001285790800001","View Full Record in Web of Science")</f>
        <v>View Full Record in Web of Science</v>
      </c>
    </row>
    <row r="204" ht="12.75" customHeight="1">
      <c r="A204" s="1" t="s">
        <v>132</v>
      </c>
      <c r="B204" s="1" t="s">
        <v>4442</v>
      </c>
      <c r="C204" s="1" t="s">
        <v>74</v>
      </c>
      <c r="D204" s="1" t="s">
        <v>74</v>
      </c>
      <c r="E204" s="1" t="s">
        <v>74</v>
      </c>
      <c r="F204" s="1" t="s">
        <v>4443</v>
      </c>
      <c r="G204" s="1" t="s">
        <v>74</v>
      </c>
      <c r="H204" s="1" t="s">
        <v>74</v>
      </c>
      <c r="I204" s="1" t="s">
        <v>4444</v>
      </c>
      <c r="J204" s="1" t="s">
        <v>4445</v>
      </c>
      <c r="K204" s="1" t="s">
        <v>74</v>
      </c>
      <c r="L204" s="1" t="s">
        <v>74</v>
      </c>
      <c r="M204" s="1" t="s">
        <v>80</v>
      </c>
      <c r="N204" s="1" t="s">
        <v>136</v>
      </c>
      <c r="O204" s="1" t="s">
        <v>74</v>
      </c>
      <c r="P204" s="1" t="s">
        <v>74</v>
      </c>
      <c r="Q204" s="1" t="s">
        <v>74</v>
      </c>
      <c r="R204" s="1" t="s">
        <v>74</v>
      </c>
      <c r="S204" s="1" t="s">
        <v>74</v>
      </c>
      <c r="T204" s="1" t="s">
        <v>4446</v>
      </c>
      <c r="U204" s="1" t="s">
        <v>4447</v>
      </c>
      <c r="V204" s="1" t="s">
        <v>4448</v>
      </c>
      <c r="W204" s="1" t="s">
        <v>4449</v>
      </c>
      <c r="X204" s="1" t="s">
        <v>4450</v>
      </c>
      <c r="Y204" s="1" t="s">
        <v>4451</v>
      </c>
      <c r="Z204" s="1" t="s">
        <v>4452</v>
      </c>
      <c r="AA204" s="1" t="s">
        <v>4453</v>
      </c>
      <c r="AB204" s="1" t="s">
        <v>4454</v>
      </c>
      <c r="AC204" s="1" t="s">
        <v>74</v>
      </c>
      <c r="AD204" s="1" t="s">
        <v>74</v>
      </c>
      <c r="AE204" s="1" t="s">
        <v>4455</v>
      </c>
      <c r="AF204" s="1" t="s">
        <v>74</v>
      </c>
      <c r="AG204" s="1">
        <v>75.0</v>
      </c>
      <c r="AH204" s="1">
        <v>0.0</v>
      </c>
      <c r="AI204" s="1">
        <v>0.0</v>
      </c>
      <c r="AJ204" s="1">
        <v>21.0</v>
      </c>
      <c r="AK204" s="1">
        <v>21.0</v>
      </c>
      <c r="AL204" s="1" t="s">
        <v>4456</v>
      </c>
      <c r="AM204" s="1" t="s">
        <v>4457</v>
      </c>
      <c r="AN204" s="1" t="s">
        <v>4458</v>
      </c>
      <c r="AO204" s="1" t="s">
        <v>4459</v>
      </c>
      <c r="AP204" s="1" t="s">
        <v>4460</v>
      </c>
      <c r="AQ204" s="1" t="s">
        <v>74</v>
      </c>
      <c r="AR204" s="1" t="s">
        <v>4461</v>
      </c>
      <c r="AS204" s="1" t="s">
        <v>4462</v>
      </c>
      <c r="AT204" s="1" t="s">
        <v>74</v>
      </c>
      <c r="AU204" s="1">
        <v>2024.0</v>
      </c>
      <c r="AV204" s="1">
        <v>82.0</v>
      </c>
      <c r="AW204" s="1">
        <v>5.0</v>
      </c>
      <c r="AX204" s="1" t="s">
        <v>74</v>
      </c>
      <c r="AY204" s="1" t="s">
        <v>74</v>
      </c>
      <c r="AZ204" s="1" t="s">
        <v>74</v>
      </c>
      <c r="BA204" s="1" t="s">
        <v>74</v>
      </c>
      <c r="BB204" s="1">
        <v>630.0</v>
      </c>
      <c r="BC204" s="1">
        <v>657.0</v>
      </c>
      <c r="BD204" s="1" t="s">
        <v>74</v>
      </c>
      <c r="BE204" s="1" t="s">
        <v>4463</v>
      </c>
      <c r="BF204" s="2" t="str">
        <f>HYPERLINK("http://dx.doi.org/10.33225/pec/24.82.630","http://dx.doi.org/10.33225/pec/24.82.630")</f>
        <v>http://dx.doi.org/10.33225/pec/24.82.630</v>
      </c>
      <c r="BG204" s="1" t="s">
        <v>74</v>
      </c>
      <c r="BH204" s="1" t="s">
        <v>74</v>
      </c>
      <c r="BI204" s="1">
        <v>28.0</v>
      </c>
      <c r="BJ204" s="1" t="s">
        <v>171</v>
      </c>
      <c r="BK204" s="1" t="s">
        <v>172</v>
      </c>
      <c r="BL204" s="1" t="s">
        <v>171</v>
      </c>
      <c r="BM204" s="1" t="s">
        <v>4464</v>
      </c>
      <c r="BN204" s="1" t="s">
        <v>74</v>
      </c>
      <c r="BO204" s="1" t="s">
        <v>174</v>
      </c>
      <c r="BP204" s="1" t="s">
        <v>74</v>
      </c>
      <c r="BQ204" s="1" t="s">
        <v>74</v>
      </c>
      <c r="BR204" s="1" t="s">
        <v>102</v>
      </c>
      <c r="BS204" s="1" t="s">
        <v>4465</v>
      </c>
      <c r="BT204" s="1" t="str">
        <f>HYPERLINK("https%3A%2F%2Fwww.webofscience.com%2Fwos%2Fwoscc%2Ffull-record%2FWOS:001334776400005","View Full Record in Web of Science")</f>
        <v>View Full Record in Web of Science</v>
      </c>
    </row>
    <row r="205" ht="12.75" customHeight="1">
      <c r="A205" s="1" t="s">
        <v>72</v>
      </c>
      <c r="B205" s="1" t="s">
        <v>4466</v>
      </c>
      <c r="C205" s="1" t="s">
        <v>74</v>
      </c>
      <c r="D205" s="1" t="s">
        <v>74</v>
      </c>
      <c r="E205" s="1" t="s">
        <v>236</v>
      </c>
      <c r="F205" s="1" t="s">
        <v>4467</v>
      </c>
      <c r="G205" s="1" t="s">
        <v>74</v>
      </c>
      <c r="H205" s="1" t="s">
        <v>74</v>
      </c>
      <c r="I205" s="1" t="s">
        <v>4468</v>
      </c>
      <c r="J205" s="1" t="s">
        <v>4469</v>
      </c>
      <c r="K205" s="1" t="s">
        <v>74</v>
      </c>
      <c r="L205" s="1" t="s">
        <v>74</v>
      </c>
      <c r="M205" s="1" t="s">
        <v>80</v>
      </c>
      <c r="N205" s="1" t="s">
        <v>81</v>
      </c>
      <c r="O205" s="1" t="s">
        <v>4470</v>
      </c>
      <c r="P205" s="1" t="s">
        <v>4471</v>
      </c>
      <c r="Q205" s="1" t="s">
        <v>4472</v>
      </c>
      <c r="R205" s="1" t="s">
        <v>236</v>
      </c>
      <c r="S205" s="1" t="s">
        <v>74</v>
      </c>
      <c r="T205" s="1" t="s">
        <v>4473</v>
      </c>
      <c r="U205" s="1" t="s">
        <v>74</v>
      </c>
      <c r="V205" s="1" t="s">
        <v>4474</v>
      </c>
      <c r="W205" s="1" t="s">
        <v>4475</v>
      </c>
      <c r="X205" s="1" t="s">
        <v>4476</v>
      </c>
      <c r="Y205" s="1" t="s">
        <v>4477</v>
      </c>
      <c r="Z205" s="1" t="s">
        <v>4478</v>
      </c>
      <c r="AA205" s="1" t="s">
        <v>74</v>
      </c>
      <c r="AB205" s="1" t="s">
        <v>74</v>
      </c>
      <c r="AC205" s="1" t="s">
        <v>4479</v>
      </c>
      <c r="AD205" s="1" t="s">
        <v>4480</v>
      </c>
      <c r="AE205" s="1" t="s">
        <v>4481</v>
      </c>
      <c r="AF205" s="1" t="s">
        <v>74</v>
      </c>
      <c r="AG205" s="1">
        <v>12.0</v>
      </c>
      <c r="AH205" s="1">
        <v>3.0</v>
      </c>
      <c r="AI205" s="1">
        <v>3.0</v>
      </c>
      <c r="AJ205" s="1">
        <v>0.0</v>
      </c>
      <c r="AK205" s="1">
        <v>10.0</v>
      </c>
      <c r="AL205" s="1" t="s">
        <v>236</v>
      </c>
      <c r="AM205" s="1" t="s">
        <v>193</v>
      </c>
      <c r="AN205" s="1" t="s">
        <v>252</v>
      </c>
      <c r="AO205" s="1" t="s">
        <v>74</v>
      </c>
      <c r="AP205" s="1" t="s">
        <v>74</v>
      </c>
      <c r="AQ205" s="1" t="s">
        <v>4482</v>
      </c>
      <c r="AR205" s="1" t="s">
        <v>74</v>
      </c>
      <c r="AS205" s="1" t="s">
        <v>74</v>
      </c>
      <c r="AT205" s="1" t="s">
        <v>74</v>
      </c>
      <c r="AU205" s="1">
        <v>2017.0</v>
      </c>
      <c r="AV205" s="1" t="s">
        <v>74</v>
      </c>
      <c r="AW205" s="1" t="s">
        <v>74</v>
      </c>
      <c r="AX205" s="1" t="s">
        <v>74</v>
      </c>
      <c r="AY205" s="1" t="s">
        <v>74</v>
      </c>
      <c r="AZ205" s="1" t="s">
        <v>74</v>
      </c>
      <c r="BA205" s="1" t="s">
        <v>74</v>
      </c>
      <c r="BB205" s="1">
        <v>104.0</v>
      </c>
      <c r="BC205" s="1">
        <v>108.0</v>
      </c>
      <c r="BD205" s="1" t="s">
        <v>74</v>
      </c>
      <c r="BE205" s="1" t="s">
        <v>74</v>
      </c>
      <c r="BF205" s="1" t="s">
        <v>74</v>
      </c>
      <c r="BG205" s="1" t="s">
        <v>74</v>
      </c>
      <c r="BH205" s="1" t="s">
        <v>74</v>
      </c>
      <c r="BI205" s="1">
        <v>5.0</v>
      </c>
      <c r="BJ205" s="1" t="s">
        <v>4483</v>
      </c>
      <c r="BK205" s="1" t="s">
        <v>128</v>
      </c>
      <c r="BL205" s="1" t="s">
        <v>4484</v>
      </c>
      <c r="BM205" s="1" t="s">
        <v>4485</v>
      </c>
      <c r="BN205" s="1" t="s">
        <v>74</v>
      </c>
      <c r="BO205" s="1" t="s">
        <v>74</v>
      </c>
      <c r="BP205" s="1" t="s">
        <v>74</v>
      </c>
      <c r="BQ205" s="1" t="s">
        <v>74</v>
      </c>
      <c r="BR205" s="1" t="s">
        <v>102</v>
      </c>
      <c r="BS205" s="1" t="s">
        <v>4486</v>
      </c>
      <c r="BT205" s="1" t="str">
        <f>HYPERLINK("https%3A%2F%2Fwww.webofscience.com%2Fwos%2Fwoscc%2Ffull-record%2FWOS:000426992200021","View Full Record in Web of Science")</f>
        <v>View Full Record in Web of Science</v>
      </c>
    </row>
    <row r="206" ht="12.75" customHeight="1">
      <c r="A206" s="1" t="s">
        <v>72</v>
      </c>
      <c r="B206" s="1" t="s">
        <v>4487</v>
      </c>
      <c r="C206" s="1" t="s">
        <v>74</v>
      </c>
      <c r="D206" s="1" t="s">
        <v>2963</v>
      </c>
      <c r="E206" s="1" t="s">
        <v>74</v>
      </c>
      <c r="F206" s="1" t="s">
        <v>4488</v>
      </c>
      <c r="G206" s="1" t="s">
        <v>74</v>
      </c>
      <c r="H206" s="1" t="s">
        <v>74</v>
      </c>
      <c r="I206" s="1" t="s">
        <v>4489</v>
      </c>
      <c r="J206" s="1" t="s">
        <v>4490</v>
      </c>
      <c r="K206" s="1" t="s">
        <v>2386</v>
      </c>
      <c r="L206" s="1" t="s">
        <v>74</v>
      </c>
      <c r="M206" s="1" t="s">
        <v>80</v>
      </c>
      <c r="N206" s="1" t="s">
        <v>81</v>
      </c>
      <c r="O206" s="1" t="s">
        <v>2967</v>
      </c>
      <c r="P206" s="1" t="s">
        <v>2968</v>
      </c>
      <c r="Q206" s="1" t="s">
        <v>2969</v>
      </c>
      <c r="R206" s="1" t="s">
        <v>74</v>
      </c>
      <c r="S206" s="1" t="s">
        <v>74</v>
      </c>
      <c r="T206" s="1" t="s">
        <v>4491</v>
      </c>
      <c r="U206" s="1" t="s">
        <v>4492</v>
      </c>
      <c r="V206" s="1" t="s">
        <v>4493</v>
      </c>
      <c r="W206" s="1" t="s">
        <v>4494</v>
      </c>
      <c r="X206" s="1" t="s">
        <v>4495</v>
      </c>
      <c r="Y206" s="1" t="s">
        <v>4496</v>
      </c>
      <c r="Z206" s="1" t="s">
        <v>4497</v>
      </c>
      <c r="AA206" s="1" t="s">
        <v>74</v>
      </c>
      <c r="AB206" s="1" t="s">
        <v>74</v>
      </c>
      <c r="AC206" s="1" t="s">
        <v>74</v>
      </c>
      <c r="AD206" s="1" t="s">
        <v>74</v>
      </c>
      <c r="AE206" s="1" t="s">
        <v>74</v>
      </c>
      <c r="AF206" s="1" t="s">
        <v>74</v>
      </c>
      <c r="AG206" s="1">
        <v>43.0</v>
      </c>
      <c r="AH206" s="1">
        <v>0.0</v>
      </c>
      <c r="AI206" s="1">
        <v>0.0</v>
      </c>
      <c r="AJ206" s="1">
        <v>19.0</v>
      </c>
      <c r="AK206" s="1">
        <v>19.0</v>
      </c>
      <c r="AL206" s="1" t="s">
        <v>223</v>
      </c>
      <c r="AM206" s="1" t="s">
        <v>224</v>
      </c>
      <c r="AN206" s="1" t="s">
        <v>225</v>
      </c>
      <c r="AO206" s="1" t="s">
        <v>2398</v>
      </c>
      <c r="AP206" s="1" t="s">
        <v>2399</v>
      </c>
      <c r="AQ206" s="1" t="s">
        <v>4498</v>
      </c>
      <c r="AR206" s="1" t="s">
        <v>2401</v>
      </c>
      <c r="AS206" s="1" t="s">
        <v>74</v>
      </c>
      <c r="AT206" s="1" t="s">
        <v>74</v>
      </c>
      <c r="AU206" s="1">
        <v>2024.0</v>
      </c>
      <c r="AV206" s="1">
        <v>1101.0</v>
      </c>
      <c r="AW206" s="1" t="s">
        <v>74</v>
      </c>
      <c r="AX206" s="1" t="s">
        <v>74</v>
      </c>
      <c r="AY206" s="1" t="s">
        <v>74</v>
      </c>
      <c r="AZ206" s="1" t="s">
        <v>74</v>
      </c>
      <c r="BA206" s="1" t="s">
        <v>74</v>
      </c>
      <c r="BB206" s="1">
        <v>3.0</v>
      </c>
      <c r="BC206" s="1">
        <v>12.0</v>
      </c>
      <c r="BD206" s="1" t="s">
        <v>74</v>
      </c>
      <c r="BE206" s="1" t="s">
        <v>4499</v>
      </c>
      <c r="BF206" s="2" t="str">
        <f>HYPERLINK("http://dx.doi.org/10.1007/978-3-031-68675-7_1","http://dx.doi.org/10.1007/978-3-031-68675-7_1")</f>
        <v>http://dx.doi.org/10.1007/978-3-031-68675-7_1</v>
      </c>
      <c r="BG206" s="1" t="s">
        <v>74</v>
      </c>
      <c r="BH206" s="1" t="s">
        <v>74</v>
      </c>
      <c r="BI206" s="1">
        <v>10.0</v>
      </c>
      <c r="BJ206" s="1" t="s">
        <v>257</v>
      </c>
      <c r="BK206" s="1" t="s">
        <v>128</v>
      </c>
      <c r="BL206" s="1" t="s">
        <v>232</v>
      </c>
      <c r="BM206" s="1" t="s">
        <v>4500</v>
      </c>
      <c r="BN206" s="1" t="s">
        <v>74</v>
      </c>
      <c r="BO206" s="1" t="s">
        <v>74</v>
      </c>
      <c r="BP206" s="1" t="s">
        <v>74</v>
      </c>
      <c r="BQ206" s="1" t="s">
        <v>74</v>
      </c>
      <c r="BR206" s="1" t="s">
        <v>102</v>
      </c>
      <c r="BS206" s="1" t="s">
        <v>4501</v>
      </c>
      <c r="BT206" s="1" t="str">
        <f>HYPERLINK("https%3A%2F%2Fwww.webofscience.com%2Fwos%2Fwoscc%2Ffull-record%2FWOS:001329106700001","View Full Record in Web of Science")</f>
        <v>View Full Record in Web of Science</v>
      </c>
    </row>
    <row r="207" ht="12.75" customHeight="1">
      <c r="A207" s="1" t="s">
        <v>72</v>
      </c>
      <c r="B207" s="1" t="s">
        <v>4502</v>
      </c>
      <c r="C207" s="1" t="s">
        <v>74</v>
      </c>
      <c r="D207" s="1" t="s">
        <v>4503</v>
      </c>
      <c r="E207" s="1" t="s">
        <v>74</v>
      </c>
      <c r="F207" s="1" t="s">
        <v>4504</v>
      </c>
      <c r="G207" s="1" t="s">
        <v>74</v>
      </c>
      <c r="H207" s="1" t="s">
        <v>74</v>
      </c>
      <c r="I207" s="1" t="s">
        <v>4505</v>
      </c>
      <c r="J207" s="1" t="s">
        <v>4506</v>
      </c>
      <c r="K207" s="1" t="s">
        <v>4507</v>
      </c>
      <c r="L207" s="1" t="s">
        <v>74</v>
      </c>
      <c r="M207" s="1" t="s">
        <v>80</v>
      </c>
      <c r="N207" s="1" t="s">
        <v>81</v>
      </c>
      <c r="O207" s="1" t="s">
        <v>4508</v>
      </c>
      <c r="P207" s="1" t="s">
        <v>4509</v>
      </c>
      <c r="Q207" s="1" t="s">
        <v>667</v>
      </c>
      <c r="R207" s="1" t="s">
        <v>74</v>
      </c>
      <c r="S207" s="1" t="s">
        <v>74</v>
      </c>
      <c r="T207" s="1" t="s">
        <v>4510</v>
      </c>
      <c r="U207" s="1" t="s">
        <v>4511</v>
      </c>
      <c r="V207" s="1" t="s">
        <v>4512</v>
      </c>
      <c r="W207" s="1" t="s">
        <v>4513</v>
      </c>
      <c r="X207" s="1" t="s">
        <v>4514</v>
      </c>
      <c r="Y207" s="1" t="s">
        <v>4515</v>
      </c>
      <c r="Z207" s="1" t="s">
        <v>4516</v>
      </c>
      <c r="AA207" s="1" t="s">
        <v>4517</v>
      </c>
      <c r="AB207" s="1" t="s">
        <v>4518</v>
      </c>
      <c r="AC207" s="1" t="s">
        <v>4519</v>
      </c>
      <c r="AD207" s="1" t="s">
        <v>4520</v>
      </c>
      <c r="AE207" s="1" t="s">
        <v>4521</v>
      </c>
      <c r="AF207" s="1" t="s">
        <v>74</v>
      </c>
      <c r="AG207" s="1">
        <v>28.0</v>
      </c>
      <c r="AH207" s="1">
        <v>2.0</v>
      </c>
      <c r="AI207" s="1">
        <v>2.0</v>
      </c>
      <c r="AJ207" s="1">
        <v>3.0</v>
      </c>
      <c r="AK207" s="1">
        <v>5.0</v>
      </c>
      <c r="AL207" s="1" t="s">
        <v>223</v>
      </c>
      <c r="AM207" s="1" t="s">
        <v>224</v>
      </c>
      <c r="AN207" s="1" t="s">
        <v>225</v>
      </c>
      <c r="AO207" s="1" t="s">
        <v>74</v>
      </c>
      <c r="AP207" s="1" t="s">
        <v>74</v>
      </c>
      <c r="AQ207" s="1" t="s">
        <v>4522</v>
      </c>
      <c r="AR207" s="1" t="s">
        <v>4523</v>
      </c>
      <c r="AS207" s="1" t="s">
        <v>74</v>
      </c>
      <c r="AT207" s="1" t="s">
        <v>74</v>
      </c>
      <c r="AU207" s="1">
        <v>2021.0</v>
      </c>
      <c r="AV207" s="1">
        <v>12774.0</v>
      </c>
      <c r="AW207" s="1" t="s">
        <v>74</v>
      </c>
      <c r="AX207" s="1" t="s">
        <v>74</v>
      </c>
      <c r="AY207" s="1" t="s">
        <v>74</v>
      </c>
      <c r="AZ207" s="1" t="s">
        <v>74</v>
      </c>
      <c r="BA207" s="1" t="s">
        <v>74</v>
      </c>
      <c r="BB207" s="1">
        <v>500.0</v>
      </c>
      <c r="BC207" s="1">
        <v>510.0</v>
      </c>
      <c r="BD207" s="1" t="s">
        <v>74</v>
      </c>
      <c r="BE207" s="1" t="s">
        <v>4524</v>
      </c>
      <c r="BF207" s="2" t="str">
        <f>HYPERLINK("http://dx.doi.org/10.1007/978-3-030-77626-8_34","http://dx.doi.org/10.1007/978-3-030-77626-8_34")</f>
        <v>http://dx.doi.org/10.1007/978-3-030-77626-8_34</v>
      </c>
      <c r="BG207" s="1" t="s">
        <v>74</v>
      </c>
      <c r="BH207" s="1" t="s">
        <v>74</v>
      </c>
      <c r="BI207" s="1">
        <v>11.0</v>
      </c>
      <c r="BJ207" s="1" t="s">
        <v>4525</v>
      </c>
      <c r="BK207" s="1" t="s">
        <v>405</v>
      </c>
      <c r="BL207" s="1" t="s">
        <v>4526</v>
      </c>
      <c r="BM207" s="1" t="s">
        <v>4527</v>
      </c>
      <c r="BN207" s="1" t="s">
        <v>74</v>
      </c>
      <c r="BO207" s="1" t="s">
        <v>74</v>
      </c>
      <c r="BP207" s="1" t="s">
        <v>74</v>
      </c>
      <c r="BQ207" s="1" t="s">
        <v>74</v>
      </c>
      <c r="BR207" s="1" t="s">
        <v>102</v>
      </c>
      <c r="BS207" s="1" t="s">
        <v>4528</v>
      </c>
      <c r="BT207" s="1" t="str">
        <f>HYPERLINK("https%3A%2F%2Fwww.webofscience.com%2Fwos%2Fwoscc%2Ffull-record%2FWOS:001297915300034","View Full Record in Web of Science")</f>
        <v>View Full Record in Web of Science</v>
      </c>
    </row>
    <row r="208" ht="12.75" customHeight="1">
      <c r="A208" s="1" t="s">
        <v>132</v>
      </c>
      <c r="B208" s="1" t="s">
        <v>4529</v>
      </c>
      <c r="C208" s="1" t="s">
        <v>74</v>
      </c>
      <c r="D208" s="1" t="s">
        <v>74</v>
      </c>
      <c r="E208" s="1" t="s">
        <v>74</v>
      </c>
      <c r="F208" s="1" t="s">
        <v>4530</v>
      </c>
      <c r="G208" s="1" t="s">
        <v>74</v>
      </c>
      <c r="H208" s="1" t="s">
        <v>74</v>
      </c>
      <c r="I208" s="1" t="s">
        <v>4531</v>
      </c>
      <c r="J208" s="1" t="s">
        <v>4532</v>
      </c>
      <c r="K208" s="1" t="s">
        <v>74</v>
      </c>
      <c r="L208" s="1" t="s">
        <v>74</v>
      </c>
      <c r="M208" s="1" t="s">
        <v>80</v>
      </c>
      <c r="N208" s="1" t="s">
        <v>136</v>
      </c>
      <c r="O208" s="1" t="s">
        <v>74</v>
      </c>
      <c r="P208" s="1" t="s">
        <v>74</v>
      </c>
      <c r="Q208" s="1" t="s">
        <v>74</v>
      </c>
      <c r="R208" s="1" t="s">
        <v>74</v>
      </c>
      <c r="S208" s="1" t="s">
        <v>74</v>
      </c>
      <c r="T208" s="1" t="s">
        <v>4533</v>
      </c>
      <c r="U208" s="1" t="s">
        <v>4534</v>
      </c>
      <c r="V208" s="1" t="s">
        <v>4535</v>
      </c>
      <c r="W208" s="1" t="s">
        <v>4536</v>
      </c>
      <c r="X208" s="1" t="s">
        <v>4537</v>
      </c>
      <c r="Y208" s="1" t="s">
        <v>4538</v>
      </c>
      <c r="Z208" s="1" t="s">
        <v>4539</v>
      </c>
      <c r="AA208" s="1" t="s">
        <v>4540</v>
      </c>
      <c r="AB208" s="1" t="s">
        <v>4541</v>
      </c>
      <c r="AC208" s="1" t="s">
        <v>4542</v>
      </c>
      <c r="AD208" s="1" t="s">
        <v>4542</v>
      </c>
      <c r="AE208" s="1" t="s">
        <v>4543</v>
      </c>
      <c r="AF208" s="1" t="s">
        <v>74</v>
      </c>
      <c r="AG208" s="1">
        <v>67.0</v>
      </c>
      <c r="AH208" s="1">
        <v>132.0</v>
      </c>
      <c r="AI208" s="1">
        <v>133.0</v>
      </c>
      <c r="AJ208" s="1">
        <v>45.0</v>
      </c>
      <c r="AK208" s="1">
        <v>209.0</v>
      </c>
      <c r="AL208" s="1" t="s">
        <v>192</v>
      </c>
      <c r="AM208" s="1" t="s">
        <v>193</v>
      </c>
      <c r="AN208" s="1" t="s">
        <v>194</v>
      </c>
      <c r="AO208" s="1" t="s">
        <v>4544</v>
      </c>
      <c r="AP208" s="1" t="s">
        <v>74</v>
      </c>
      <c r="AQ208" s="1" t="s">
        <v>74</v>
      </c>
      <c r="AR208" s="1" t="s">
        <v>4545</v>
      </c>
      <c r="AS208" s="1" t="s">
        <v>4546</v>
      </c>
      <c r="AT208" s="1" t="s">
        <v>4547</v>
      </c>
      <c r="AU208" s="1">
        <v>2021.0</v>
      </c>
      <c r="AV208" s="1">
        <v>18.0</v>
      </c>
      <c r="AW208" s="1">
        <v>1.0</v>
      </c>
      <c r="AX208" s="1" t="s">
        <v>74</v>
      </c>
      <c r="AY208" s="1" t="s">
        <v>74</v>
      </c>
      <c r="AZ208" s="1" t="s">
        <v>74</v>
      </c>
      <c r="BA208" s="1" t="s">
        <v>74</v>
      </c>
      <c r="BB208" s="1" t="s">
        <v>74</v>
      </c>
      <c r="BC208" s="1" t="s">
        <v>74</v>
      </c>
      <c r="BD208" s="1">
        <v>54.0</v>
      </c>
      <c r="BE208" s="1" t="s">
        <v>4548</v>
      </c>
      <c r="BF208" s="2" t="str">
        <f>HYPERLINK("http://dx.doi.org/10.1186/s41239-021-00292-9","http://dx.doi.org/10.1186/s41239-021-00292-9")</f>
        <v>http://dx.doi.org/10.1186/s41239-021-00292-9</v>
      </c>
      <c r="BG208" s="1" t="s">
        <v>74</v>
      </c>
      <c r="BH208" s="1" t="s">
        <v>74</v>
      </c>
      <c r="BI208" s="1">
        <v>23.0</v>
      </c>
      <c r="BJ208" s="1" t="s">
        <v>171</v>
      </c>
      <c r="BK208" s="1" t="s">
        <v>203</v>
      </c>
      <c r="BL208" s="1" t="s">
        <v>171</v>
      </c>
      <c r="BM208" s="1" t="s">
        <v>4549</v>
      </c>
      <c r="BN208" s="1">
        <v>3.477854E7</v>
      </c>
      <c r="BO208" s="1" t="s">
        <v>1161</v>
      </c>
      <c r="BP208" s="1" t="s">
        <v>74</v>
      </c>
      <c r="BQ208" s="1" t="s">
        <v>74</v>
      </c>
      <c r="BR208" s="1" t="s">
        <v>102</v>
      </c>
      <c r="BS208" s="1" t="s">
        <v>4550</v>
      </c>
      <c r="BT208" s="1" t="str">
        <f>HYPERLINK("https%3A%2F%2Fwww.webofscience.com%2Fwos%2Fwoscc%2Ffull-record%2FWOS:000710947200001","View Full Record in Web of Science")</f>
        <v>View Full Record in Web of Science</v>
      </c>
    </row>
    <row r="209" ht="12.75" customHeight="1">
      <c r="A209" s="1" t="s">
        <v>132</v>
      </c>
      <c r="B209" s="1" t="s">
        <v>4551</v>
      </c>
      <c r="C209" s="1" t="s">
        <v>74</v>
      </c>
      <c r="D209" s="1" t="s">
        <v>74</v>
      </c>
      <c r="E209" s="1" t="s">
        <v>74</v>
      </c>
      <c r="F209" s="1" t="s">
        <v>4552</v>
      </c>
      <c r="G209" s="1" t="s">
        <v>74</v>
      </c>
      <c r="H209" s="1" t="s">
        <v>74</v>
      </c>
      <c r="I209" s="1" t="s">
        <v>4553</v>
      </c>
      <c r="J209" s="1" t="s">
        <v>4554</v>
      </c>
      <c r="K209" s="1" t="s">
        <v>74</v>
      </c>
      <c r="L209" s="1" t="s">
        <v>74</v>
      </c>
      <c r="M209" s="1" t="s">
        <v>80</v>
      </c>
      <c r="N209" s="1" t="s">
        <v>1010</v>
      </c>
      <c r="O209" s="1" t="s">
        <v>74</v>
      </c>
      <c r="P209" s="1" t="s">
        <v>74</v>
      </c>
      <c r="Q209" s="1" t="s">
        <v>74</v>
      </c>
      <c r="R209" s="1" t="s">
        <v>74</v>
      </c>
      <c r="S209" s="1" t="s">
        <v>74</v>
      </c>
      <c r="T209" s="1" t="s">
        <v>4555</v>
      </c>
      <c r="U209" s="1" t="s">
        <v>74</v>
      </c>
      <c r="V209" s="1" t="s">
        <v>4556</v>
      </c>
      <c r="W209" s="1" t="s">
        <v>4557</v>
      </c>
      <c r="X209" s="1" t="s">
        <v>4558</v>
      </c>
      <c r="Y209" s="1" t="s">
        <v>4559</v>
      </c>
      <c r="Z209" s="1" t="s">
        <v>4560</v>
      </c>
      <c r="AA209" s="1" t="s">
        <v>74</v>
      </c>
      <c r="AB209" s="1" t="s">
        <v>74</v>
      </c>
      <c r="AC209" s="1" t="s">
        <v>74</v>
      </c>
      <c r="AD209" s="1" t="s">
        <v>74</v>
      </c>
      <c r="AE209" s="1" t="s">
        <v>74</v>
      </c>
      <c r="AF209" s="1" t="s">
        <v>74</v>
      </c>
      <c r="AG209" s="1">
        <v>21.0</v>
      </c>
      <c r="AH209" s="1">
        <v>88.0</v>
      </c>
      <c r="AI209" s="1">
        <v>89.0</v>
      </c>
      <c r="AJ209" s="1">
        <v>17.0</v>
      </c>
      <c r="AK209" s="1">
        <v>163.0</v>
      </c>
      <c r="AL209" s="1" t="s">
        <v>4561</v>
      </c>
      <c r="AM209" s="1" t="s">
        <v>4562</v>
      </c>
      <c r="AN209" s="1" t="s">
        <v>4563</v>
      </c>
      <c r="AO209" s="1" t="s">
        <v>4564</v>
      </c>
      <c r="AP209" s="1" t="s">
        <v>4565</v>
      </c>
      <c r="AQ209" s="1" t="s">
        <v>74</v>
      </c>
      <c r="AR209" s="1" t="s">
        <v>4566</v>
      </c>
      <c r="AS209" s="1" t="s">
        <v>4567</v>
      </c>
      <c r="AT209" s="1" t="s">
        <v>870</v>
      </c>
      <c r="AU209" s="1">
        <v>2020.0</v>
      </c>
      <c r="AV209" s="1">
        <v>122.0</v>
      </c>
      <c r="AW209" s="1" t="s">
        <v>74</v>
      </c>
      <c r="AX209" s="1" t="s">
        <v>74</v>
      </c>
      <c r="AY209" s="1" t="s">
        <v>74</v>
      </c>
      <c r="AZ209" s="1" t="s">
        <v>74</v>
      </c>
      <c r="BA209" s="1" t="s">
        <v>74</v>
      </c>
      <c r="BB209" s="1" t="s">
        <v>74</v>
      </c>
      <c r="BC209" s="1" t="s">
        <v>74</v>
      </c>
      <c r="BD209" s="1">
        <v>108768.0</v>
      </c>
      <c r="BE209" s="1" t="s">
        <v>4568</v>
      </c>
      <c r="BF209" s="2" t="str">
        <f>HYPERLINK("http://dx.doi.org/10.1016/j.ejrad.2019.108768","http://dx.doi.org/10.1016/j.ejrad.2019.108768")</f>
        <v>http://dx.doi.org/10.1016/j.ejrad.2019.108768</v>
      </c>
      <c r="BG209" s="1" t="s">
        <v>74</v>
      </c>
      <c r="BH209" s="1" t="s">
        <v>74</v>
      </c>
      <c r="BI209" s="1">
        <v>3.0</v>
      </c>
      <c r="BJ209" s="1" t="s">
        <v>656</v>
      </c>
      <c r="BK209" s="1" t="s">
        <v>149</v>
      </c>
      <c r="BL209" s="1" t="s">
        <v>656</v>
      </c>
      <c r="BM209" s="1" t="s">
        <v>4569</v>
      </c>
      <c r="BN209" s="1">
        <v>3.1786504E7</v>
      </c>
      <c r="BO209" s="1" t="s">
        <v>74</v>
      </c>
      <c r="BP209" s="1" t="s">
        <v>74</v>
      </c>
      <c r="BQ209" s="1" t="s">
        <v>74</v>
      </c>
      <c r="BR209" s="1" t="s">
        <v>102</v>
      </c>
      <c r="BS209" s="1" t="s">
        <v>4570</v>
      </c>
      <c r="BT209" s="1" t="str">
        <f>HYPERLINK("https%3A%2F%2Fwww.webofscience.com%2Fwos%2Fwoscc%2Ffull-record%2FWOS:000505150900005","View Full Record in Web of Science")</f>
        <v>View Full Record in Web of Science</v>
      </c>
    </row>
    <row r="210" ht="12.75" customHeight="1">
      <c r="A210" s="1" t="s">
        <v>132</v>
      </c>
      <c r="B210" s="1" t="s">
        <v>4571</v>
      </c>
      <c r="C210" s="1" t="s">
        <v>74</v>
      </c>
      <c r="D210" s="1" t="s">
        <v>74</v>
      </c>
      <c r="E210" s="1" t="s">
        <v>74</v>
      </c>
      <c r="F210" s="1" t="s">
        <v>4572</v>
      </c>
      <c r="G210" s="1" t="s">
        <v>74</v>
      </c>
      <c r="H210" s="1" t="s">
        <v>74</v>
      </c>
      <c r="I210" s="1" t="s">
        <v>4573</v>
      </c>
      <c r="J210" s="1" t="s">
        <v>4574</v>
      </c>
      <c r="K210" s="1" t="s">
        <v>74</v>
      </c>
      <c r="L210" s="1" t="s">
        <v>74</v>
      </c>
      <c r="M210" s="1" t="s">
        <v>80</v>
      </c>
      <c r="N210" s="1" t="s">
        <v>136</v>
      </c>
      <c r="O210" s="1" t="s">
        <v>74</v>
      </c>
      <c r="P210" s="1" t="s">
        <v>74</v>
      </c>
      <c r="Q210" s="1" t="s">
        <v>74</v>
      </c>
      <c r="R210" s="1" t="s">
        <v>74</v>
      </c>
      <c r="S210" s="1" t="s">
        <v>74</v>
      </c>
      <c r="T210" s="1" t="s">
        <v>4575</v>
      </c>
      <c r="U210" s="1" t="s">
        <v>74</v>
      </c>
      <c r="V210" s="1" t="s">
        <v>4576</v>
      </c>
      <c r="W210" s="1" t="s">
        <v>4577</v>
      </c>
      <c r="X210" s="1" t="s">
        <v>74</v>
      </c>
      <c r="Y210" s="1" t="s">
        <v>4578</v>
      </c>
      <c r="Z210" s="1" t="s">
        <v>4579</v>
      </c>
      <c r="AA210" s="1" t="s">
        <v>74</v>
      </c>
      <c r="AB210" s="1" t="s">
        <v>4580</v>
      </c>
      <c r="AC210" s="1" t="s">
        <v>4581</v>
      </c>
      <c r="AD210" s="1" t="s">
        <v>4581</v>
      </c>
      <c r="AE210" s="1" t="s">
        <v>4582</v>
      </c>
      <c r="AF210" s="1" t="s">
        <v>74</v>
      </c>
      <c r="AG210" s="1">
        <v>58.0</v>
      </c>
      <c r="AH210" s="1">
        <v>0.0</v>
      </c>
      <c r="AI210" s="1">
        <v>0.0</v>
      </c>
      <c r="AJ210" s="1">
        <v>2.0</v>
      </c>
      <c r="AK210" s="1">
        <v>2.0</v>
      </c>
      <c r="AL210" s="1" t="s">
        <v>4583</v>
      </c>
      <c r="AM210" s="1" t="s">
        <v>4584</v>
      </c>
      <c r="AN210" s="1" t="s">
        <v>4585</v>
      </c>
      <c r="AO210" s="1" t="s">
        <v>74</v>
      </c>
      <c r="AP210" s="1" t="s">
        <v>4586</v>
      </c>
      <c r="AQ210" s="1" t="s">
        <v>74</v>
      </c>
      <c r="AR210" s="1" t="s">
        <v>4587</v>
      </c>
      <c r="AS210" s="1" t="s">
        <v>4588</v>
      </c>
      <c r="AT210" s="1" t="s">
        <v>74</v>
      </c>
      <c r="AU210" s="1">
        <v>2024.0</v>
      </c>
      <c r="AV210" s="1">
        <v>6.0</v>
      </c>
      <c r="AW210" s="1" t="s">
        <v>74</v>
      </c>
      <c r="AX210" s="1" t="s">
        <v>74</v>
      </c>
      <c r="AY210" s="1" t="s">
        <v>74</v>
      </c>
      <c r="AZ210" s="1" t="s">
        <v>74</v>
      </c>
      <c r="BA210" s="1" t="s">
        <v>74</v>
      </c>
      <c r="BB210" s="1" t="s">
        <v>74</v>
      </c>
      <c r="BC210" s="1" t="s">
        <v>74</v>
      </c>
      <c r="BD210" s="1" t="s">
        <v>4589</v>
      </c>
      <c r="BE210" s="1" t="s">
        <v>4590</v>
      </c>
      <c r="BF210" s="2" t="str">
        <f>HYPERLINK("http://dx.doi.org/10.1017/dap.2024.60","http://dx.doi.org/10.1017/dap.2024.60")</f>
        <v>http://dx.doi.org/10.1017/dap.2024.60</v>
      </c>
      <c r="BG210" s="1" t="s">
        <v>74</v>
      </c>
      <c r="BH210" s="1" t="s">
        <v>74</v>
      </c>
      <c r="BI210" s="1">
        <v>25.0</v>
      </c>
      <c r="BJ210" s="1" t="s">
        <v>2790</v>
      </c>
      <c r="BK210" s="1" t="s">
        <v>172</v>
      </c>
      <c r="BL210" s="1" t="s">
        <v>2790</v>
      </c>
      <c r="BM210" s="1" t="s">
        <v>4591</v>
      </c>
      <c r="BN210" s="1" t="s">
        <v>74</v>
      </c>
      <c r="BO210" s="1" t="s">
        <v>2204</v>
      </c>
      <c r="BP210" s="1" t="s">
        <v>74</v>
      </c>
      <c r="BQ210" s="1" t="s">
        <v>74</v>
      </c>
      <c r="BR210" s="1" t="s">
        <v>102</v>
      </c>
      <c r="BS210" s="1" t="s">
        <v>4592</v>
      </c>
      <c r="BT210" s="1" t="str">
        <f>HYPERLINK("https%3A%2F%2Fwww.webofscience.com%2Fwos%2Fwoscc%2Ffull-record%2FWOS:001380529700008","View Full Record in Web of Science")</f>
        <v>View Full Record in Web of Science</v>
      </c>
    </row>
    <row r="211" ht="12.75" customHeight="1">
      <c r="A211" s="1" t="s">
        <v>132</v>
      </c>
      <c r="B211" s="1" t="s">
        <v>4593</v>
      </c>
      <c r="C211" s="1" t="s">
        <v>74</v>
      </c>
      <c r="D211" s="1" t="s">
        <v>74</v>
      </c>
      <c r="E211" s="1" t="s">
        <v>74</v>
      </c>
      <c r="F211" s="1" t="s">
        <v>4594</v>
      </c>
      <c r="G211" s="1" t="s">
        <v>74</v>
      </c>
      <c r="H211" s="1" t="s">
        <v>74</v>
      </c>
      <c r="I211" s="1" t="s">
        <v>4595</v>
      </c>
      <c r="J211" s="1" t="s">
        <v>4596</v>
      </c>
      <c r="K211" s="1" t="s">
        <v>74</v>
      </c>
      <c r="L211" s="1" t="s">
        <v>74</v>
      </c>
      <c r="M211" s="1" t="s">
        <v>80</v>
      </c>
      <c r="N211" s="1" t="s">
        <v>136</v>
      </c>
      <c r="O211" s="1" t="s">
        <v>74</v>
      </c>
      <c r="P211" s="1" t="s">
        <v>74</v>
      </c>
      <c r="Q211" s="1" t="s">
        <v>74</v>
      </c>
      <c r="R211" s="1" t="s">
        <v>74</v>
      </c>
      <c r="S211" s="1" t="s">
        <v>74</v>
      </c>
      <c r="T211" s="1" t="s">
        <v>4597</v>
      </c>
      <c r="U211" s="1" t="s">
        <v>4598</v>
      </c>
      <c r="V211" s="1" t="s">
        <v>4599</v>
      </c>
      <c r="W211" s="1" t="s">
        <v>4600</v>
      </c>
      <c r="X211" s="1" t="s">
        <v>4601</v>
      </c>
      <c r="Y211" s="1" t="s">
        <v>4602</v>
      </c>
      <c r="Z211" s="1" t="s">
        <v>4603</v>
      </c>
      <c r="AA211" s="1" t="s">
        <v>74</v>
      </c>
      <c r="AB211" s="1" t="s">
        <v>4604</v>
      </c>
      <c r="AC211" s="1" t="s">
        <v>4605</v>
      </c>
      <c r="AD211" s="1" t="s">
        <v>4606</v>
      </c>
      <c r="AE211" s="1" t="s">
        <v>4607</v>
      </c>
      <c r="AF211" s="1" t="s">
        <v>74</v>
      </c>
      <c r="AG211" s="1">
        <v>44.0</v>
      </c>
      <c r="AH211" s="1">
        <v>7.0</v>
      </c>
      <c r="AI211" s="1">
        <v>7.0</v>
      </c>
      <c r="AJ211" s="1">
        <v>26.0</v>
      </c>
      <c r="AK211" s="1">
        <v>85.0</v>
      </c>
      <c r="AL211" s="1" t="s">
        <v>3551</v>
      </c>
      <c r="AM211" s="1" t="s">
        <v>193</v>
      </c>
      <c r="AN211" s="1" t="s">
        <v>3552</v>
      </c>
      <c r="AO211" s="1" t="s">
        <v>4608</v>
      </c>
      <c r="AP211" s="1" t="s">
        <v>4609</v>
      </c>
      <c r="AQ211" s="1" t="s">
        <v>74</v>
      </c>
      <c r="AR211" s="1" t="s">
        <v>4610</v>
      </c>
      <c r="AS211" s="1" t="s">
        <v>4611</v>
      </c>
      <c r="AT211" s="1" t="s">
        <v>2469</v>
      </c>
      <c r="AU211" s="1">
        <v>2022.0</v>
      </c>
      <c r="AV211" s="1">
        <v>183.0</v>
      </c>
      <c r="AW211" s="1" t="s">
        <v>74</v>
      </c>
      <c r="AX211" s="1" t="s">
        <v>74</v>
      </c>
      <c r="AY211" s="1" t="s">
        <v>74</v>
      </c>
      <c r="AZ211" s="1" t="s">
        <v>74</v>
      </c>
      <c r="BA211" s="1" t="s">
        <v>74</v>
      </c>
      <c r="BB211" s="1" t="s">
        <v>74</v>
      </c>
      <c r="BC211" s="1" t="s">
        <v>74</v>
      </c>
      <c r="BD211" s="1">
        <v>121889.0</v>
      </c>
      <c r="BE211" s="1" t="s">
        <v>4612</v>
      </c>
      <c r="BF211" s="2" t="str">
        <f>HYPERLINK("http://dx.doi.org/10.1016/j.techfore.2022.121889","http://dx.doi.org/10.1016/j.techfore.2022.121889")</f>
        <v>http://dx.doi.org/10.1016/j.techfore.2022.121889</v>
      </c>
      <c r="BG211" s="1" t="s">
        <v>74</v>
      </c>
      <c r="BH211" s="1" t="s">
        <v>4613</v>
      </c>
      <c r="BI211" s="1">
        <v>12.0</v>
      </c>
      <c r="BJ211" s="1" t="s">
        <v>4614</v>
      </c>
      <c r="BK211" s="1" t="s">
        <v>203</v>
      </c>
      <c r="BL211" s="1" t="s">
        <v>4615</v>
      </c>
      <c r="BM211" s="1" t="s">
        <v>4616</v>
      </c>
      <c r="BN211" s="1" t="s">
        <v>74</v>
      </c>
      <c r="BO211" s="1" t="s">
        <v>74</v>
      </c>
      <c r="BP211" s="1" t="s">
        <v>74</v>
      </c>
      <c r="BQ211" s="1" t="s">
        <v>74</v>
      </c>
      <c r="BR211" s="1" t="s">
        <v>102</v>
      </c>
      <c r="BS211" s="1" t="s">
        <v>4617</v>
      </c>
      <c r="BT211" s="1" t="str">
        <f>HYPERLINK("https%3A%2F%2Fwww.webofscience.com%2Fwos%2Fwoscc%2Ffull-record%2FWOS:000838147600002","View Full Record in Web of Science")</f>
        <v>View Full Record in Web of Science</v>
      </c>
    </row>
    <row r="212" ht="12.75" customHeight="1">
      <c r="A212" s="1" t="s">
        <v>72</v>
      </c>
      <c r="B212" s="1" t="s">
        <v>1852</v>
      </c>
      <c r="C212" s="1" t="s">
        <v>74</v>
      </c>
      <c r="D212" s="1" t="s">
        <v>74</v>
      </c>
      <c r="E212" s="1" t="s">
        <v>2207</v>
      </c>
      <c r="F212" s="1" t="s">
        <v>4618</v>
      </c>
      <c r="G212" s="1" t="s">
        <v>74</v>
      </c>
      <c r="H212" s="1" t="s">
        <v>74</v>
      </c>
      <c r="I212" s="1" t="s">
        <v>4619</v>
      </c>
      <c r="J212" s="1" t="s">
        <v>2210</v>
      </c>
      <c r="K212" s="1" t="s">
        <v>74</v>
      </c>
      <c r="L212" s="1" t="s">
        <v>74</v>
      </c>
      <c r="M212" s="1" t="s">
        <v>80</v>
      </c>
      <c r="N212" s="1" t="s">
        <v>81</v>
      </c>
      <c r="O212" s="1" t="s">
        <v>2211</v>
      </c>
      <c r="P212" s="1" t="s">
        <v>2212</v>
      </c>
      <c r="Q212" s="1" t="s">
        <v>667</v>
      </c>
      <c r="R212" s="1" t="s">
        <v>2207</v>
      </c>
      <c r="S212" s="1" t="s">
        <v>74</v>
      </c>
      <c r="T212" s="1" t="s">
        <v>4620</v>
      </c>
      <c r="U212" s="1" t="s">
        <v>2084</v>
      </c>
      <c r="V212" s="1" t="s">
        <v>4621</v>
      </c>
      <c r="W212" s="1" t="s">
        <v>4622</v>
      </c>
      <c r="X212" s="1" t="s">
        <v>1859</v>
      </c>
      <c r="Y212" s="1" t="s">
        <v>4623</v>
      </c>
      <c r="Z212" s="1" t="s">
        <v>4624</v>
      </c>
      <c r="AA212" s="1" t="s">
        <v>1862</v>
      </c>
      <c r="AB212" s="1" t="s">
        <v>4625</v>
      </c>
      <c r="AC212" s="1" t="s">
        <v>74</v>
      </c>
      <c r="AD212" s="1" t="s">
        <v>74</v>
      </c>
      <c r="AE212" s="1" t="s">
        <v>74</v>
      </c>
      <c r="AF212" s="1" t="s">
        <v>74</v>
      </c>
      <c r="AG212" s="1">
        <v>19.0</v>
      </c>
      <c r="AH212" s="1">
        <v>0.0</v>
      </c>
      <c r="AI212" s="1">
        <v>0.0</v>
      </c>
      <c r="AJ212" s="1">
        <v>2.0</v>
      </c>
      <c r="AK212" s="1">
        <v>14.0</v>
      </c>
      <c r="AL212" s="1" t="s">
        <v>1725</v>
      </c>
      <c r="AM212" s="1" t="s">
        <v>1726</v>
      </c>
      <c r="AN212" s="1" t="s">
        <v>2219</v>
      </c>
      <c r="AO212" s="1" t="s">
        <v>74</v>
      </c>
      <c r="AP212" s="1" t="s">
        <v>74</v>
      </c>
      <c r="AQ212" s="1" t="s">
        <v>2220</v>
      </c>
      <c r="AR212" s="1" t="s">
        <v>74</v>
      </c>
      <c r="AS212" s="1" t="s">
        <v>74</v>
      </c>
      <c r="AT212" s="1" t="s">
        <v>74</v>
      </c>
      <c r="AU212" s="1">
        <v>2020.0</v>
      </c>
      <c r="AV212" s="1" t="s">
        <v>74</v>
      </c>
      <c r="AW212" s="1" t="s">
        <v>74</v>
      </c>
      <c r="AX212" s="1" t="s">
        <v>74</v>
      </c>
      <c r="AY212" s="1" t="s">
        <v>74</v>
      </c>
      <c r="AZ212" s="1" t="s">
        <v>74</v>
      </c>
      <c r="BA212" s="1" t="s">
        <v>74</v>
      </c>
      <c r="BB212" s="1" t="s">
        <v>74</v>
      </c>
      <c r="BC212" s="1" t="s">
        <v>74</v>
      </c>
      <c r="BD212" s="1" t="s">
        <v>74</v>
      </c>
      <c r="BE212" s="1" t="s">
        <v>74</v>
      </c>
      <c r="BF212" s="1" t="s">
        <v>74</v>
      </c>
      <c r="BG212" s="1" t="s">
        <v>74</v>
      </c>
      <c r="BH212" s="1" t="s">
        <v>74</v>
      </c>
      <c r="BI212" s="1">
        <v>5.0</v>
      </c>
      <c r="BJ212" s="1" t="s">
        <v>2221</v>
      </c>
      <c r="BK212" s="1" t="s">
        <v>128</v>
      </c>
      <c r="BL212" s="1" t="s">
        <v>232</v>
      </c>
      <c r="BM212" s="1" t="s">
        <v>2222</v>
      </c>
      <c r="BN212" s="1" t="s">
        <v>74</v>
      </c>
      <c r="BO212" s="1" t="s">
        <v>74</v>
      </c>
      <c r="BP212" s="1" t="s">
        <v>74</v>
      </c>
      <c r="BQ212" s="1" t="s">
        <v>74</v>
      </c>
      <c r="BR212" s="1" t="s">
        <v>102</v>
      </c>
      <c r="BS212" s="1" t="s">
        <v>4626</v>
      </c>
      <c r="BT212" s="1" t="str">
        <f>HYPERLINK("https%3A%2F%2Fwww.webofscience.com%2Fwos%2Fwoscc%2Ffull-record%2FWOS:000559924503046","View Full Record in Web of Science")</f>
        <v>View Full Record in Web of Science</v>
      </c>
    </row>
    <row r="213" ht="12.75" customHeight="1">
      <c r="A213" s="1" t="s">
        <v>72</v>
      </c>
      <c r="B213" s="1" t="s">
        <v>4627</v>
      </c>
      <c r="C213" s="1" t="s">
        <v>74</v>
      </c>
      <c r="D213" s="1" t="s">
        <v>738</v>
      </c>
      <c r="E213" s="1" t="s">
        <v>74</v>
      </c>
      <c r="F213" s="1" t="s">
        <v>4628</v>
      </c>
      <c r="G213" s="1" t="s">
        <v>74</v>
      </c>
      <c r="H213" s="1" t="s">
        <v>74</v>
      </c>
      <c r="I213" s="1" t="s">
        <v>4629</v>
      </c>
      <c r="J213" s="1" t="s">
        <v>4630</v>
      </c>
      <c r="K213" s="1" t="s">
        <v>4631</v>
      </c>
      <c r="L213" s="1" t="s">
        <v>74</v>
      </c>
      <c r="M213" s="1" t="s">
        <v>80</v>
      </c>
      <c r="N213" s="1" t="s">
        <v>81</v>
      </c>
      <c r="O213" s="1" t="s">
        <v>4632</v>
      </c>
      <c r="P213" s="1" t="s">
        <v>4633</v>
      </c>
      <c r="Q213" s="1" t="s">
        <v>4634</v>
      </c>
      <c r="R213" s="1" t="s">
        <v>74</v>
      </c>
      <c r="S213" s="1" t="s">
        <v>74</v>
      </c>
      <c r="T213" s="1" t="s">
        <v>4635</v>
      </c>
      <c r="U213" s="1" t="s">
        <v>74</v>
      </c>
      <c r="V213" s="1" t="s">
        <v>4636</v>
      </c>
      <c r="W213" s="1" t="s">
        <v>4637</v>
      </c>
      <c r="X213" s="1" t="s">
        <v>4638</v>
      </c>
      <c r="Y213" s="1" t="s">
        <v>4639</v>
      </c>
      <c r="Z213" s="1" t="s">
        <v>74</v>
      </c>
      <c r="AA213" s="1" t="s">
        <v>4640</v>
      </c>
      <c r="AB213" s="1" t="s">
        <v>4641</v>
      </c>
      <c r="AC213" s="1" t="s">
        <v>74</v>
      </c>
      <c r="AD213" s="1" t="s">
        <v>74</v>
      </c>
      <c r="AE213" s="1" t="s">
        <v>74</v>
      </c>
      <c r="AF213" s="1" t="s">
        <v>74</v>
      </c>
      <c r="AG213" s="1">
        <v>8.0</v>
      </c>
      <c r="AH213" s="1">
        <v>1.0</v>
      </c>
      <c r="AI213" s="1">
        <v>1.0</v>
      </c>
      <c r="AJ213" s="1">
        <v>2.0</v>
      </c>
      <c r="AK213" s="1">
        <v>22.0</v>
      </c>
      <c r="AL213" s="1" t="s">
        <v>753</v>
      </c>
      <c r="AM213" s="1" t="s">
        <v>754</v>
      </c>
      <c r="AN213" s="1" t="s">
        <v>755</v>
      </c>
      <c r="AO213" s="1" t="s">
        <v>4642</v>
      </c>
      <c r="AP213" s="1" t="s">
        <v>74</v>
      </c>
      <c r="AQ213" s="1" t="s">
        <v>4643</v>
      </c>
      <c r="AR213" s="1" t="s">
        <v>4644</v>
      </c>
      <c r="AS213" s="1" t="s">
        <v>74</v>
      </c>
      <c r="AT213" s="1" t="s">
        <v>74</v>
      </c>
      <c r="AU213" s="1">
        <v>2019.0</v>
      </c>
      <c r="AV213" s="1" t="s">
        <v>74</v>
      </c>
      <c r="AW213" s="1" t="s">
        <v>74</v>
      </c>
      <c r="AX213" s="1" t="s">
        <v>74</v>
      </c>
      <c r="AY213" s="1" t="s">
        <v>74</v>
      </c>
      <c r="AZ213" s="1" t="s">
        <v>74</v>
      </c>
      <c r="BA213" s="1" t="s">
        <v>74</v>
      </c>
      <c r="BB213" s="1">
        <v>4257.0</v>
      </c>
      <c r="BC213" s="1">
        <v>4259.0</v>
      </c>
      <c r="BD213" s="1" t="s">
        <v>74</v>
      </c>
      <c r="BE213" s="1" t="s">
        <v>74</v>
      </c>
      <c r="BF213" s="1" t="s">
        <v>74</v>
      </c>
      <c r="BG213" s="1" t="s">
        <v>74</v>
      </c>
      <c r="BH213" s="1" t="s">
        <v>74</v>
      </c>
      <c r="BI213" s="1">
        <v>3.0</v>
      </c>
      <c r="BJ213" s="1" t="s">
        <v>4645</v>
      </c>
      <c r="BK213" s="1" t="s">
        <v>99</v>
      </c>
      <c r="BL213" s="1" t="s">
        <v>4646</v>
      </c>
      <c r="BM213" s="1" t="s">
        <v>4647</v>
      </c>
      <c r="BN213" s="1" t="s">
        <v>74</v>
      </c>
      <c r="BO213" s="1" t="s">
        <v>74</v>
      </c>
      <c r="BP213" s="1" t="s">
        <v>74</v>
      </c>
      <c r="BQ213" s="1" t="s">
        <v>74</v>
      </c>
      <c r="BR213" s="1" t="s">
        <v>102</v>
      </c>
      <c r="BS213" s="1" t="s">
        <v>4648</v>
      </c>
      <c r="BT213" s="1" t="str">
        <f>HYPERLINK("https%3A%2F%2Fwww.webofscience.com%2Fwos%2Fwoscc%2Ffull-record%2FWOS:000536018104058","View Full Record in Web of Science")</f>
        <v>View Full Record in Web of Science</v>
      </c>
    </row>
    <row r="214" ht="12.75" customHeight="1">
      <c r="A214" s="1" t="s">
        <v>132</v>
      </c>
      <c r="B214" s="1" t="s">
        <v>4649</v>
      </c>
      <c r="C214" s="1" t="s">
        <v>74</v>
      </c>
      <c r="D214" s="1" t="s">
        <v>74</v>
      </c>
      <c r="E214" s="1" t="s">
        <v>74</v>
      </c>
      <c r="F214" s="1" t="s">
        <v>4650</v>
      </c>
      <c r="G214" s="1" t="s">
        <v>74</v>
      </c>
      <c r="H214" s="1" t="s">
        <v>74</v>
      </c>
      <c r="I214" s="1" t="s">
        <v>4651</v>
      </c>
      <c r="J214" s="1" t="s">
        <v>4652</v>
      </c>
      <c r="K214" s="1" t="s">
        <v>74</v>
      </c>
      <c r="L214" s="1" t="s">
        <v>74</v>
      </c>
      <c r="M214" s="1" t="s">
        <v>638</v>
      </c>
      <c r="N214" s="1" t="s">
        <v>136</v>
      </c>
      <c r="O214" s="1" t="s">
        <v>74</v>
      </c>
      <c r="P214" s="1" t="s">
        <v>74</v>
      </c>
      <c r="Q214" s="1" t="s">
        <v>74</v>
      </c>
      <c r="R214" s="1" t="s">
        <v>74</v>
      </c>
      <c r="S214" s="1" t="s">
        <v>74</v>
      </c>
      <c r="T214" s="1" t="s">
        <v>4653</v>
      </c>
      <c r="U214" s="1" t="s">
        <v>74</v>
      </c>
      <c r="V214" s="1" t="s">
        <v>4654</v>
      </c>
      <c r="W214" s="1" t="s">
        <v>4655</v>
      </c>
      <c r="X214" s="1" t="s">
        <v>4656</v>
      </c>
      <c r="Y214" s="1" t="s">
        <v>4657</v>
      </c>
      <c r="Z214" s="1" t="s">
        <v>4658</v>
      </c>
      <c r="AA214" s="1" t="s">
        <v>4659</v>
      </c>
      <c r="AB214" s="1" t="s">
        <v>74</v>
      </c>
      <c r="AC214" s="1" t="s">
        <v>74</v>
      </c>
      <c r="AD214" s="1" t="s">
        <v>74</v>
      </c>
      <c r="AE214" s="1" t="s">
        <v>74</v>
      </c>
      <c r="AF214" s="1" t="s">
        <v>74</v>
      </c>
      <c r="AG214" s="1">
        <v>34.0</v>
      </c>
      <c r="AH214" s="1">
        <v>0.0</v>
      </c>
      <c r="AI214" s="1">
        <v>0.0</v>
      </c>
      <c r="AJ214" s="1">
        <v>8.0</v>
      </c>
      <c r="AK214" s="1">
        <v>25.0</v>
      </c>
      <c r="AL214" s="1" t="s">
        <v>4660</v>
      </c>
      <c r="AM214" s="1" t="s">
        <v>4661</v>
      </c>
      <c r="AN214" s="1" t="s">
        <v>4662</v>
      </c>
      <c r="AO214" s="1" t="s">
        <v>4663</v>
      </c>
      <c r="AP214" s="1" t="s">
        <v>4664</v>
      </c>
      <c r="AQ214" s="1" t="s">
        <v>74</v>
      </c>
      <c r="AR214" s="1" t="s">
        <v>4665</v>
      </c>
      <c r="AS214" s="1" t="s">
        <v>4666</v>
      </c>
      <c r="AT214" s="1" t="s">
        <v>4667</v>
      </c>
      <c r="AU214" s="1">
        <v>2022.0</v>
      </c>
      <c r="AV214" s="1">
        <v>18.0</v>
      </c>
      <c r="AW214" s="1">
        <v>3.0</v>
      </c>
      <c r="AX214" s="1" t="s">
        <v>74</v>
      </c>
      <c r="AY214" s="1" t="s">
        <v>74</v>
      </c>
      <c r="AZ214" s="1" t="s">
        <v>74</v>
      </c>
      <c r="BA214" s="1" t="s">
        <v>74</v>
      </c>
      <c r="BB214" s="1" t="s">
        <v>74</v>
      </c>
      <c r="BC214" s="1" t="s">
        <v>74</v>
      </c>
      <c r="BD214" s="1" t="s">
        <v>74</v>
      </c>
      <c r="BE214" s="1" t="s">
        <v>74</v>
      </c>
      <c r="BF214" s="1" t="s">
        <v>74</v>
      </c>
      <c r="BG214" s="1" t="s">
        <v>74</v>
      </c>
      <c r="BH214" s="1" t="s">
        <v>74</v>
      </c>
      <c r="BI214" s="1">
        <v>12.0</v>
      </c>
      <c r="BJ214" s="1" t="s">
        <v>358</v>
      </c>
      <c r="BK214" s="1" t="s">
        <v>172</v>
      </c>
      <c r="BL214" s="1" t="s">
        <v>358</v>
      </c>
      <c r="BM214" s="1" t="s">
        <v>4668</v>
      </c>
      <c r="BN214" s="1" t="s">
        <v>74</v>
      </c>
      <c r="BO214" s="1" t="s">
        <v>74</v>
      </c>
      <c r="BP214" s="1" t="s">
        <v>74</v>
      </c>
      <c r="BQ214" s="1" t="s">
        <v>74</v>
      </c>
      <c r="BR214" s="1" t="s">
        <v>102</v>
      </c>
      <c r="BS214" s="1" t="s">
        <v>4669</v>
      </c>
      <c r="BT214" s="1" t="str">
        <f>HYPERLINK("https%3A%2F%2Fwww.webofscience.com%2Fwos%2Fwoscc%2Ffull-record%2FWOS:000914674300003","View Full Record in Web of Science")</f>
        <v>View Full Record in Web of Science</v>
      </c>
    </row>
    <row r="215" ht="12.75" customHeight="1">
      <c r="A215" s="1" t="s">
        <v>132</v>
      </c>
      <c r="B215" s="1" t="s">
        <v>4670</v>
      </c>
      <c r="C215" s="1" t="s">
        <v>74</v>
      </c>
      <c r="D215" s="1" t="s">
        <v>74</v>
      </c>
      <c r="E215" s="1" t="s">
        <v>74</v>
      </c>
      <c r="F215" s="1" t="s">
        <v>4671</v>
      </c>
      <c r="G215" s="1" t="s">
        <v>74</v>
      </c>
      <c r="H215" s="1" t="s">
        <v>74</v>
      </c>
      <c r="I215" s="1" t="s">
        <v>4672</v>
      </c>
      <c r="J215" s="1" t="s">
        <v>1009</v>
      </c>
      <c r="K215" s="1" t="s">
        <v>74</v>
      </c>
      <c r="L215" s="1" t="s">
        <v>74</v>
      </c>
      <c r="M215" s="1" t="s">
        <v>80</v>
      </c>
      <c r="N215" s="1" t="s">
        <v>1010</v>
      </c>
      <c r="O215" s="1" t="s">
        <v>74</v>
      </c>
      <c r="P215" s="1" t="s">
        <v>74</v>
      </c>
      <c r="Q215" s="1" t="s">
        <v>74</v>
      </c>
      <c r="R215" s="1" t="s">
        <v>74</v>
      </c>
      <c r="S215" s="1" t="s">
        <v>74</v>
      </c>
      <c r="T215" s="1" t="s">
        <v>4673</v>
      </c>
      <c r="U215" s="1" t="s">
        <v>4674</v>
      </c>
      <c r="V215" s="1" t="s">
        <v>4675</v>
      </c>
      <c r="W215" s="1" t="s">
        <v>4676</v>
      </c>
      <c r="X215" s="1" t="s">
        <v>4677</v>
      </c>
      <c r="Y215" s="1" t="s">
        <v>4678</v>
      </c>
      <c r="Z215" s="1" t="s">
        <v>4679</v>
      </c>
      <c r="AA215" s="1" t="s">
        <v>74</v>
      </c>
      <c r="AB215" s="1" t="s">
        <v>4680</v>
      </c>
      <c r="AC215" s="1" t="s">
        <v>4681</v>
      </c>
      <c r="AD215" s="1" t="s">
        <v>4682</v>
      </c>
      <c r="AE215" s="1" t="s">
        <v>4683</v>
      </c>
      <c r="AF215" s="1" t="s">
        <v>74</v>
      </c>
      <c r="AG215" s="1">
        <v>55.0</v>
      </c>
      <c r="AH215" s="1">
        <v>32.0</v>
      </c>
      <c r="AI215" s="1">
        <v>38.0</v>
      </c>
      <c r="AJ215" s="1">
        <v>2.0</v>
      </c>
      <c r="AK215" s="1">
        <v>32.0</v>
      </c>
      <c r="AL215" s="1" t="s">
        <v>1020</v>
      </c>
      <c r="AM215" s="1" t="s">
        <v>1021</v>
      </c>
      <c r="AN215" s="1" t="s">
        <v>1022</v>
      </c>
      <c r="AO215" s="1" t="s">
        <v>1023</v>
      </c>
      <c r="AP215" s="1" t="s">
        <v>1024</v>
      </c>
      <c r="AQ215" s="1" t="s">
        <v>74</v>
      </c>
      <c r="AR215" s="1" t="s">
        <v>1025</v>
      </c>
      <c r="AS215" s="1" t="s">
        <v>1026</v>
      </c>
      <c r="AT215" s="1" t="s">
        <v>1709</v>
      </c>
      <c r="AU215" s="1">
        <v>2020.0</v>
      </c>
      <c r="AV215" s="1">
        <v>31.0</v>
      </c>
      <c r="AW215" s="1">
        <v>5.0</v>
      </c>
      <c r="AX215" s="1" t="s">
        <v>74</v>
      </c>
      <c r="AY215" s="1" t="s">
        <v>74</v>
      </c>
      <c r="AZ215" s="1" t="s">
        <v>74</v>
      </c>
      <c r="BA215" s="1" t="s">
        <v>74</v>
      </c>
      <c r="BB215" s="1">
        <v>312.0</v>
      </c>
      <c r="BC215" s="1">
        <v>317.0</v>
      </c>
      <c r="BD215" s="1" t="s">
        <v>74</v>
      </c>
      <c r="BE215" s="1" t="s">
        <v>4684</v>
      </c>
      <c r="BF215" s="2" t="str">
        <f>HYPERLINK("http://dx.doi.org/10.1097/ICU.0000000000000680","http://dx.doi.org/10.1097/ICU.0000000000000680")</f>
        <v>http://dx.doi.org/10.1097/ICU.0000000000000680</v>
      </c>
      <c r="BG215" s="1" t="s">
        <v>74</v>
      </c>
      <c r="BH215" s="1" t="s">
        <v>74</v>
      </c>
      <c r="BI215" s="1">
        <v>6.0</v>
      </c>
      <c r="BJ215" s="1" t="s">
        <v>1029</v>
      </c>
      <c r="BK215" s="1" t="s">
        <v>149</v>
      </c>
      <c r="BL215" s="1" t="s">
        <v>1029</v>
      </c>
      <c r="BM215" s="1" t="s">
        <v>4685</v>
      </c>
      <c r="BN215" s="1">
        <v>3.2694266E7</v>
      </c>
      <c r="BO215" s="1" t="s">
        <v>4126</v>
      </c>
      <c r="BP215" s="1" t="s">
        <v>74</v>
      </c>
      <c r="BQ215" s="1" t="s">
        <v>74</v>
      </c>
      <c r="BR215" s="1" t="s">
        <v>102</v>
      </c>
      <c r="BS215" s="1" t="s">
        <v>4686</v>
      </c>
      <c r="BT215" s="1" t="str">
        <f>HYPERLINK("https%3A%2F%2Fwww.webofscience.com%2Fwos%2Fwoscc%2Ffull-record%2FWOS:000570190900002","View Full Record in Web of Science")</f>
        <v>View Full Record in Web of Science</v>
      </c>
    </row>
    <row r="216" ht="12.75" customHeight="1">
      <c r="A216" s="1" t="s">
        <v>72</v>
      </c>
      <c r="B216" s="1" t="s">
        <v>4687</v>
      </c>
      <c r="C216" s="1" t="s">
        <v>74</v>
      </c>
      <c r="D216" s="1" t="s">
        <v>74</v>
      </c>
      <c r="E216" s="1" t="s">
        <v>74</v>
      </c>
      <c r="F216" s="1" t="s">
        <v>4688</v>
      </c>
      <c r="G216" s="1" t="s">
        <v>74</v>
      </c>
      <c r="H216" s="1" t="s">
        <v>74</v>
      </c>
      <c r="I216" s="1" t="s">
        <v>4689</v>
      </c>
      <c r="J216" s="1" t="s">
        <v>4690</v>
      </c>
      <c r="K216" s="1" t="s">
        <v>74</v>
      </c>
      <c r="L216" s="1" t="s">
        <v>74</v>
      </c>
      <c r="M216" s="1" t="s">
        <v>80</v>
      </c>
      <c r="N216" s="1" t="s">
        <v>81</v>
      </c>
      <c r="O216" s="1" t="s">
        <v>4691</v>
      </c>
      <c r="P216" s="1" t="s">
        <v>4692</v>
      </c>
      <c r="Q216" s="1" t="s">
        <v>4693</v>
      </c>
      <c r="R216" s="1" t="s">
        <v>4694</v>
      </c>
      <c r="S216" s="1" t="s">
        <v>74</v>
      </c>
      <c r="T216" s="1" t="s">
        <v>4695</v>
      </c>
      <c r="U216" s="1" t="s">
        <v>4696</v>
      </c>
      <c r="V216" s="1" t="s">
        <v>4697</v>
      </c>
      <c r="W216" s="1" t="s">
        <v>4698</v>
      </c>
      <c r="X216" s="1" t="s">
        <v>4699</v>
      </c>
      <c r="Y216" s="1" t="s">
        <v>4700</v>
      </c>
      <c r="Z216" s="1" t="s">
        <v>74</v>
      </c>
      <c r="AA216" s="1" t="s">
        <v>4701</v>
      </c>
      <c r="AB216" s="1" t="s">
        <v>4702</v>
      </c>
      <c r="AC216" s="1" t="s">
        <v>4703</v>
      </c>
      <c r="AD216" s="1" t="s">
        <v>4704</v>
      </c>
      <c r="AE216" s="1" t="s">
        <v>4705</v>
      </c>
      <c r="AF216" s="1" t="s">
        <v>74</v>
      </c>
      <c r="AG216" s="1">
        <v>50.0</v>
      </c>
      <c r="AH216" s="1">
        <v>0.0</v>
      </c>
      <c r="AI216" s="1">
        <v>0.0</v>
      </c>
      <c r="AJ216" s="1">
        <v>1.0</v>
      </c>
      <c r="AK216" s="1">
        <v>12.0</v>
      </c>
      <c r="AL216" s="1" t="s">
        <v>4706</v>
      </c>
      <c r="AM216" s="1" t="s">
        <v>4707</v>
      </c>
      <c r="AN216" s="1" t="s">
        <v>4708</v>
      </c>
      <c r="AO216" s="1" t="s">
        <v>4709</v>
      </c>
      <c r="AP216" s="1" t="s">
        <v>4710</v>
      </c>
      <c r="AQ216" s="1" t="s">
        <v>74</v>
      </c>
      <c r="AR216" s="1" t="s">
        <v>4711</v>
      </c>
      <c r="AS216" s="1" t="s">
        <v>4712</v>
      </c>
      <c r="AT216" s="1" t="s">
        <v>199</v>
      </c>
      <c r="AU216" s="1">
        <v>2018.0</v>
      </c>
      <c r="AV216" s="1">
        <v>24.0</v>
      </c>
      <c r="AW216" s="1">
        <v>11.0</v>
      </c>
      <c r="AX216" s="1" t="s">
        <v>74</v>
      </c>
      <c r="AY216" s="1" t="s">
        <v>74</v>
      </c>
      <c r="AZ216" s="1" t="s">
        <v>74</v>
      </c>
      <c r="BA216" s="1" t="s">
        <v>74</v>
      </c>
      <c r="BB216" s="1">
        <v>8997.0</v>
      </c>
      <c r="BC216" s="1">
        <v>9000.0</v>
      </c>
      <c r="BD216" s="1" t="s">
        <v>74</v>
      </c>
      <c r="BE216" s="1" t="s">
        <v>4713</v>
      </c>
      <c r="BF216" s="2" t="str">
        <f>HYPERLINK("http://dx.doi.org/10.1166/asl.2018.12392","http://dx.doi.org/10.1166/asl.2018.12392")</f>
        <v>http://dx.doi.org/10.1166/asl.2018.12392</v>
      </c>
      <c r="BG216" s="1" t="s">
        <v>74</v>
      </c>
      <c r="BH216" s="1" t="s">
        <v>74</v>
      </c>
      <c r="BI216" s="1">
        <v>4.0</v>
      </c>
      <c r="BJ216" s="1" t="s">
        <v>4714</v>
      </c>
      <c r="BK216" s="1" t="s">
        <v>128</v>
      </c>
      <c r="BL216" s="1" t="s">
        <v>4715</v>
      </c>
      <c r="BM216" s="1" t="s">
        <v>4716</v>
      </c>
      <c r="BN216" s="1" t="s">
        <v>74</v>
      </c>
      <c r="BO216" s="1" t="s">
        <v>74</v>
      </c>
      <c r="BP216" s="1" t="s">
        <v>74</v>
      </c>
      <c r="BQ216" s="1" t="s">
        <v>74</v>
      </c>
      <c r="BR216" s="1" t="s">
        <v>102</v>
      </c>
      <c r="BS216" s="1" t="s">
        <v>4717</v>
      </c>
      <c r="BT216" s="1" t="str">
        <f>HYPERLINK("https%3A%2F%2Fwww.webofscience.com%2Fwos%2Fwoscc%2Ffull-record%2FWOS:000454508700257","View Full Record in Web of Science")</f>
        <v>View Full Record in Web of Science</v>
      </c>
    </row>
    <row r="217" ht="12.75" customHeight="1">
      <c r="A217" s="1" t="s">
        <v>72</v>
      </c>
      <c r="B217" s="1" t="s">
        <v>4718</v>
      </c>
      <c r="C217" s="1" t="s">
        <v>74</v>
      </c>
      <c r="D217" s="1" t="s">
        <v>74</v>
      </c>
      <c r="E217" s="1" t="s">
        <v>4719</v>
      </c>
      <c r="F217" s="1" t="s">
        <v>4720</v>
      </c>
      <c r="G217" s="1" t="s">
        <v>74</v>
      </c>
      <c r="H217" s="1" t="s">
        <v>74</v>
      </c>
      <c r="I217" s="1" t="s">
        <v>4721</v>
      </c>
      <c r="J217" s="1" t="s">
        <v>4722</v>
      </c>
      <c r="K217" s="1" t="s">
        <v>74</v>
      </c>
      <c r="L217" s="1" t="s">
        <v>74</v>
      </c>
      <c r="M217" s="1" t="s">
        <v>80</v>
      </c>
      <c r="N217" s="1" t="s">
        <v>81</v>
      </c>
      <c r="O217" s="1" t="s">
        <v>4723</v>
      </c>
      <c r="P217" s="1" t="s">
        <v>4724</v>
      </c>
      <c r="Q217" s="1" t="s">
        <v>4725</v>
      </c>
      <c r="R217" s="1" t="s">
        <v>74</v>
      </c>
      <c r="S217" s="1" t="s">
        <v>74</v>
      </c>
      <c r="T217" s="1" t="s">
        <v>4726</v>
      </c>
      <c r="U217" s="1" t="s">
        <v>74</v>
      </c>
      <c r="V217" s="1" t="s">
        <v>4727</v>
      </c>
      <c r="W217" s="1" t="s">
        <v>4728</v>
      </c>
      <c r="X217" s="1" t="s">
        <v>4729</v>
      </c>
      <c r="Y217" s="1" t="s">
        <v>4730</v>
      </c>
      <c r="Z217" s="1" t="s">
        <v>4731</v>
      </c>
      <c r="AA217" s="1" t="s">
        <v>74</v>
      </c>
      <c r="AB217" s="1" t="s">
        <v>74</v>
      </c>
      <c r="AC217" s="1" t="s">
        <v>74</v>
      </c>
      <c r="AD217" s="1" t="s">
        <v>74</v>
      </c>
      <c r="AE217" s="1" t="s">
        <v>74</v>
      </c>
      <c r="AF217" s="1" t="s">
        <v>74</v>
      </c>
      <c r="AG217" s="1">
        <v>5.0</v>
      </c>
      <c r="AH217" s="1">
        <v>0.0</v>
      </c>
      <c r="AI217" s="1">
        <v>1.0</v>
      </c>
      <c r="AJ217" s="1">
        <v>4.0</v>
      </c>
      <c r="AK217" s="1">
        <v>70.0</v>
      </c>
      <c r="AL217" s="1" t="s">
        <v>1426</v>
      </c>
      <c r="AM217" s="1" t="s">
        <v>193</v>
      </c>
      <c r="AN217" s="1" t="s">
        <v>1427</v>
      </c>
      <c r="AO217" s="1" t="s">
        <v>74</v>
      </c>
      <c r="AP217" s="1" t="s">
        <v>74</v>
      </c>
      <c r="AQ217" s="1" t="s">
        <v>4732</v>
      </c>
      <c r="AR217" s="1" t="s">
        <v>74</v>
      </c>
      <c r="AS217" s="1" t="s">
        <v>74</v>
      </c>
      <c r="AT217" s="1" t="s">
        <v>74</v>
      </c>
      <c r="AU217" s="1">
        <v>2021.0</v>
      </c>
      <c r="AV217" s="1" t="s">
        <v>74</v>
      </c>
      <c r="AW217" s="1" t="s">
        <v>74</v>
      </c>
      <c r="AX217" s="1" t="s">
        <v>74</v>
      </c>
      <c r="AY217" s="1" t="s">
        <v>74</v>
      </c>
      <c r="AZ217" s="1" t="s">
        <v>74</v>
      </c>
      <c r="BA217" s="1" t="s">
        <v>74</v>
      </c>
      <c r="BB217" s="1" t="s">
        <v>74</v>
      </c>
      <c r="BC217" s="1" t="s">
        <v>74</v>
      </c>
      <c r="BD217" s="1" t="s">
        <v>74</v>
      </c>
      <c r="BE217" s="1" t="s">
        <v>4733</v>
      </c>
      <c r="BF217" s="2" t="str">
        <f>HYPERLINK("http://dx.doi.org/10.1145/3469213.3470671","http://dx.doi.org/10.1145/3469213.3470671")</f>
        <v>http://dx.doi.org/10.1145/3469213.3470671</v>
      </c>
      <c r="BG217" s="1" t="s">
        <v>74</v>
      </c>
      <c r="BH217" s="1" t="s">
        <v>74</v>
      </c>
      <c r="BI217" s="1">
        <v>4.0</v>
      </c>
      <c r="BJ217" s="1" t="s">
        <v>282</v>
      </c>
      <c r="BK217" s="1" t="s">
        <v>128</v>
      </c>
      <c r="BL217" s="1" t="s">
        <v>232</v>
      </c>
      <c r="BM217" s="1" t="s">
        <v>4734</v>
      </c>
      <c r="BN217" s="1" t="s">
        <v>74</v>
      </c>
      <c r="BO217" s="1" t="s">
        <v>74</v>
      </c>
      <c r="BP217" s="1" t="s">
        <v>74</v>
      </c>
      <c r="BQ217" s="1" t="s">
        <v>74</v>
      </c>
      <c r="BR217" s="1" t="s">
        <v>102</v>
      </c>
      <c r="BS217" s="1" t="s">
        <v>4735</v>
      </c>
      <c r="BT217" s="1" t="str">
        <f>HYPERLINK("https%3A%2F%2Fwww.webofscience.com%2Fwos%2Fwoscc%2Ffull-record%2FWOS:000770803700238","View Full Record in Web of Science")</f>
        <v>View Full Record in Web of Science</v>
      </c>
    </row>
    <row r="218" ht="12.75" customHeight="1">
      <c r="A218" s="1" t="s">
        <v>132</v>
      </c>
      <c r="B218" s="1" t="s">
        <v>4736</v>
      </c>
      <c r="C218" s="1" t="s">
        <v>74</v>
      </c>
      <c r="D218" s="1" t="s">
        <v>74</v>
      </c>
      <c r="E218" s="1" t="s">
        <v>74</v>
      </c>
      <c r="F218" s="1" t="s">
        <v>4737</v>
      </c>
      <c r="G218" s="1" t="s">
        <v>74</v>
      </c>
      <c r="H218" s="1" t="s">
        <v>74</v>
      </c>
      <c r="I218" s="1" t="s">
        <v>4738</v>
      </c>
      <c r="J218" s="1" t="s">
        <v>4739</v>
      </c>
      <c r="K218" s="1" t="s">
        <v>74</v>
      </c>
      <c r="L218" s="1" t="s">
        <v>74</v>
      </c>
      <c r="M218" s="1" t="s">
        <v>80</v>
      </c>
      <c r="N218" s="1" t="s">
        <v>136</v>
      </c>
      <c r="O218" s="1" t="s">
        <v>74</v>
      </c>
      <c r="P218" s="1" t="s">
        <v>74</v>
      </c>
      <c r="Q218" s="1" t="s">
        <v>74</v>
      </c>
      <c r="R218" s="1" t="s">
        <v>74</v>
      </c>
      <c r="S218" s="1" t="s">
        <v>74</v>
      </c>
      <c r="T218" s="1" t="s">
        <v>4740</v>
      </c>
      <c r="U218" s="1" t="s">
        <v>74</v>
      </c>
      <c r="V218" s="1" t="s">
        <v>4741</v>
      </c>
      <c r="W218" s="1" t="s">
        <v>4742</v>
      </c>
      <c r="X218" s="1" t="s">
        <v>4743</v>
      </c>
      <c r="Y218" s="1" t="s">
        <v>4744</v>
      </c>
      <c r="Z218" s="1" t="s">
        <v>4745</v>
      </c>
      <c r="AA218" s="1" t="s">
        <v>4746</v>
      </c>
      <c r="AB218" s="1" t="s">
        <v>74</v>
      </c>
      <c r="AC218" s="1" t="s">
        <v>4747</v>
      </c>
      <c r="AD218" s="1" t="s">
        <v>4748</v>
      </c>
      <c r="AE218" s="1" t="s">
        <v>4749</v>
      </c>
      <c r="AF218" s="1" t="s">
        <v>74</v>
      </c>
      <c r="AG218" s="1">
        <v>21.0</v>
      </c>
      <c r="AH218" s="1">
        <v>1.0</v>
      </c>
      <c r="AI218" s="1">
        <v>1.0</v>
      </c>
      <c r="AJ218" s="1">
        <v>3.0</v>
      </c>
      <c r="AK218" s="1">
        <v>36.0</v>
      </c>
      <c r="AL218" s="1" t="s">
        <v>4750</v>
      </c>
      <c r="AM218" s="1" t="s">
        <v>681</v>
      </c>
      <c r="AN218" s="1" t="s">
        <v>4751</v>
      </c>
      <c r="AO218" s="1" t="s">
        <v>4752</v>
      </c>
      <c r="AP218" s="1" t="s">
        <v>4753</v>
      </c>
      <c r="AQ218" s="1" t="s">
        <v>74</v>
      </c>
      <c r="AR218" s="1" t="s">
        <v>4754</v>
      </c>
      <c r="AS218" s="1" t="s">
        <v>4755</v>
      </c>
      <c r="AT218" s="1" t="s">
        <v>4756</v>
      </c>
      <c r="AU218" s="1">
        <v>2022.0</v>
      </c>
      <c r="AV218" s="1">
        <v>31.0</v>
      </c>
      <c r="AW218" s="1">
        <v>1.0</v>
      </c>
      <c r="AX218" s="1" t="s">
        <v>74</v>
      </c>
      <c r="AY218" s="1" t="s">
        <v>74</v>
      </c>
      <c r="AZ218" s="1" t="s">
        <v>74</v>
      </c>
      <c r="BA218" s="1" t="s">
        <v>74</v>
      </c>
      <c r="BB218" s="1">
        <v>891.0</v>
      </c>
      <c r="BC218" s="1">
        <v>901.0</v>
      </c>
      <c r="BD218" s="1" t="s">
        <v>74</v>
      </c>
      <c r="BE218" s="1" t="s">
        <v>4757</v>
      </c>
      <c r="BF218" s="2" t="str">
        <f>HYPERLINK("http://dx.doi.org/10.1515/jisys-2022-0065","http://dx.doi.org/10.1515/jisys-2022-0065")</f>
        <v>http://dx.doi.org/10.1515/jisys-2022-0065</v>
      </c>
      <c r="BG218" s="1" t="s">
        <v>74</v>
      </c>
      <c r="BH218" s="1" t="s">
        <v>74</v>
      </c>
      <c r="BI218" s="1">
        <v>11.0</v>
      </c>
      <c r="BJ218" s="1" t="s">
        <v>1214</v>
      </c>
      <c r="BK218" s="1" t="s">
        <v>172</v>
      </c>
      <c r="BL218" s="1" t="s">
        <v>232</v>
      </c>
      <c r="BM218" s="1" t="s">
        <v>4758</v>
      </c>
      <c r="BN218" s="1" t="s">
        <v>74</v>
      </c>
      <c r="BO218" s="1" t="s">
        <v>174</v>
      </c>
      <c r="BP218" s="1" t="s">
        <v>74</v>
      </c>
      <c r="BQ218" s="1" t="s">
        <v>74</v>
      </c>
      <c r="BR218" s="1" t="s">
        <v>102</v>
      </c>
      <c r="BS218" s="1" t="s">
        <v>4759</v>
      </c>
      <c r="BT218" s="1" t="str">
        <f>HYPERLINK("https%3A%2F%2Fwww.webofscience.com%2Fwos%2Fwoscc%2Ffull-record%2FWOS:000824872900002","View Full Record in Web of Science")</f>
        <v>View Full Record in Web of Science</v>
      </c>
    </row>
    <row r="219" ht="12.75" customHeight="1">
      <c r="A219" s="1" t="s">
        <v>132</v>
      </c>
      <c r="B219" s="1" t="s">
        <v>4760</v>
      </c>
      <c r="C219" s="1" t="s">
        <v>74</v>
      </c>
      <c r="D219" s="1" t="s">
        <v>74</v>
      </c>
      <c r="E219" s="1" t="s">
        <v>74</v>
      </c>
      <c r="F219" s="1" t="s">
        <v>4761</v>
      </c>
      <c r="G219" s="1" t="s">
        <v>74</v>
      </c>
      <c r="H219" s="1" t="s">
        <v>74</v>
      </c>
      <c r="I219" s="1" t="s">
        <v>4762</v>
      </c>
      <c r="J219" s="1" t="s">
        <v>4763</v>
      </c>
      <c r="K219" s="1" t="s">
        <v>74</v>
      </c>
      <c r="L219" s="1" t="s">
        <v>74</v>
      </c>
      <c r="M219" s="1" t="s">
        <v>80</v>
      </c>
      <c r="N219" s="1" t="s">
        <v>1010</v>
      </c>
      <c r="O219" s="1" t="s">
        <v>74</v>
      </c>
      <c r="P219" s="1" t="s">
        <v>74</v>
      </c>
      <c r="Q219" s="1" t="s">
        <v>74</v>
      </c>
      <c r="R219" s="1" t="s">
        <v>74</v>
      </c>
      <c r="S219" s="1" t="s">
        <v>74</v>
      </c>
      <c r="T219" s="1" t="s">
        <v>4764</v>
      </c>
      <c r="U219" s="1" t="s">
        <v>4765</v>
      </c>
      <c r="V219" s="1" t="s">
        <v>4766</v>
      </c>
      <c r="W219" s="1" t="s">
        <v>4767</v>
      </c>
      <c r="X219" s="1" t="s">
        <v>4768</v>
      </c>
      <c r="Y219" s="1" t="s">
        <v>4769</v>
      </c>
      <c r="Z219" s="1" t="s">
        <v>4770</v>
      </c>
      <c r="AA219" s="1" t="s">
        <v>74</v>
      </c>
      <c r="AB219" s="1" t="s">
        <v>74</v>
      </c>
      <c r="AC219" s="1" t="s">
        <v>74</v>
      </c>
      <c r="AD219" s="1" t="s">
        <v>74</v>
      </c>
      <c r="AE219" s="1" t="s">
        <v>74</v>
      </c>
      <c r="AF219" s="1" t="s">
        <v>74</v>
      </c>
      <c r="AG219" s="1">
        <v>30.0</v>
      </c>
      <c r="AH219" s="1">
        <v>4.0</v>
      </c>
      <c r="AI219" s="1">
        <v>4.0</v>
      </c>
      <c r="AJ219" s="1">
        <v>1.0</v>
      </c>
      <c r="AK219" s="1">
        <v>9.0</v>
      </c>
      <c r="AL219" s="1" t="s">
        <v>1020</v>
      </c>
      <c r="AM219" s="1" t="s">
        <v>1021</v>
      </c>
      <c r="AN219" s="1" t="s">
        <v>1022</v>
      </c>
      <c r="AO219" s="1" t="s">
        <v>4771</v>
      </c>
      <c r="AP219" s="1" t="s">
        <v>4772</v>
      </c>
      <c r="AQ219" s="1" t="s">
        <v>74</v>
      </c>
      <c r="AR219" s="1" t="s">
        <v>4773</v>
      </c>
      <c r="AS219" s="1" t="s">
        <v>4774</v>
      </c>
      <c r="AT219" s="1" t="s">
        <v>1709</v>
      </c>
      <c r="AU219" s="1">
        <v>2021.0</v>
      </c>
      <c r="AV219" s="1">
        <v>37.0</v>
      </c>
      <c r="AW219" s="1">
        <v>5.0</v>
      </c>
      <c r="AX219" s="1" t="s">
        <v>74</v>
      </c>
      <c r="AY219" s="1" t="s">
        <v>74</v>
      </c>
      <c r="AZ219" s="1" t="s">
        <v>74</v>
      </c>
      <c r="BA219" s="1" t="s">
        <v>74</v>
      </c>
      <c r="BB219" s="1">
        <v>428.0</v>
      </c>
      <c r="BC219" s="1">
        <v>433.0</v>
      </c>
      <c r="BD219" s="1" t="s">
        <v>74</v>
      </c>
      <c r="BE219" s="1" t="s">
        <v>4775</v>
      </c>
      <c r="BF219" s="2" t="str">
        <f>HYPERLINK("http://dx.doi.org/10.1097/MOG.0000000000000774","http://dx.doi.org/10.1097/MOG.0000000000000774")</f>
        <v>http://dx.doi.org/10.1097/MOG.0000000000000774</v>
      </c>
      <c r="BG219" s="1" t="s">
        <v>74</v>
      </c>
      <c r="BH219" s="1" t="s">
        <v>74</v>
      </c>
      <c r="BI219" s="1">
        <v>6.0</v>
      </c>
      <c r="BJ219" s="1" t="s">
        <v>1282</v>
      </c>
      <c r="BK219" s="1" t="s">
        <v>149</v>
      </c>
      <c r="BL219" s="1" t="s">
        <v>1282</v>
      </c>
      <c r="BM219" s="1" t="s">
        <v>4776</v>
      </c>
      <c r="BN219" s="1">
        <v>3.4387253E7</v>
      </c>
      <c r="BO219" s="1" t="s">
        <v>74</v>
      </c>
      <c r="BP219" s="1" t="s">
        <v>74</v>
      </c>
      <c r="BQ219" s="1" t="s">
        <v>74</v>
      </c>
      <c r="BR219" s="1" t="s">
        <v>102</v>
      </c>
      <c r="BS219" s="1" t="s">
        <v>4777</v>
      </c>
      <c r="BT219" s="1" t="str">
        <f>HYPERLINK("https%3A%2F%2Fwww.webofscience.com%2Fwos%2Fwoscc%2Ffull-record%2FWOS:000678567500005","View Full Record in Web of Science")</f>
        <v>View Full Record in Web of Science</v>
      </c>
    </row>
    <row r="220" ht="12.75" customHeight="1">
      <c r="A220" s="1" t="s">
        <v>132</v>
      </c>
      <c r="B220" s="1" t="s">
        <v>4778</v>
      </c>
      <c r="C220" s="1" t="s">
        <v>74</v>
      </c>
      <c r="D220" s="1" t="s">
        <v>74</v>
      </c>
      <c r="E220" s="1" t="s">
        <v>74</v>
      </c>
      <c r="F220" s="1" t="s">
        <v>4779</v>
      </c>
      <c r="G220" s="1" t="s">
        <v>74</v>
      </c>
      <c r="H220" s="1" t="s">
        <v>74</v>
      </c>
      <c r="I220" s="1" t="s">
        <v>4780</v>
      </c>
      <c r="J220" s="1" t="s">
        <v>4781</v>
      </c>
      <c r="K220" s="1" t="s">
        <v>74</v>
      </c>
      <c r="L220" s="1" t="s">
        <v>74</v>
      </c>
      <c r="M220" s="1" t="s">
        <v>638</v>
      </c>
      <c r="N220" s="1" t="s">
        <v>136</v>
      </c>
      <c r="O220" s="1" t="s">
        <v>74</v>
      </c>
      <c r="P220" s="1" t="s">
        <v>74</v>
      </c>
      <c r="Q220" s="1" t="s">
        <v>74</v>
      </c>
      <c r="R220" s="1" t="s">
        <v>74</v>
      </c>
      <c r="S220" s="1" t="s">
        <v>74</v>
      </c>
      <c r="T220" s="1" t="s">
        <v>4782</v>
      </c>
      <c r="U220" s="1" t="s">
        <v>74</v>
      </c>
      <c r="V220" s="1" t="s">
        <v>4783</v>
      </c>
      <c r="W220" s="1" t="s">
        <v>4784</v>
      </c>
      <c r="X220" s="1" t="s">
        <v>4785</v>
      </c>
      <c r="Y220" s="1" t="s">
        <v>4786</v>
      </c>
      <c r="Z220" s="1" t="s">
        <v>4787</v>
      </c>
      <c r="AA220" s="1" t="s">
        <v>74</v>
      </c>
      <c r="AB220" s="1" t="s">
        <v>74</v>
      </c>
      <c r="AC220" s="1" t="s">
        <v>74</v>
      </c>
      <c r="AD220" s="1" t="s">
        <v>74</v>
      </c>
      <c r="AE220" s="1" t="s">
        <v>74</v>
      </c>
      <c r="AF220" s="1" t="s">
        <v>74</v>
      </c>
      <c r="AG220" s="1">
        <v>38.0</v>
      </c>
      <c r="AH220" s="1">
        <v>0.0</v>
      </c>
      <c r="AI220" s="1">
        <v>0.0</v>
      </c>
      <c r="AJ220" s="1">
        <v>5.0</v>
      </c>
      <c r="AK220" s="1">
        <v>11.0</v>
      </c>
      <c r="AL220" s="1" t="s">
        <v>4788</v>
      </c>
      <c r="AM220" s="1" t="s">
        <v>648</v>
      </c>
      <c r="AN220" s="1" t="s">
        <v>4789</v>
      </c>
      <c r="AO220" s="1" t="s">
        <v>4790</v>
      </c>
      <c r="AP220" s="1" t="s">
        <v>74</v>
      </c>
      <c r="AQ220" s="1" t="s">
        <v>74</v>
      </c>
      <c r="AR220" s="1" t="s">
        <v>4791</v>
      </c>
      <c r="AS220" s="1" t="s">
        <v>4792</v>
      </c>
      <c r="AT220" s="1" t="s">
        <v>2469</v>
      </c>
      <c r="AU220" s="1">
        <v>2023.0</v>
      </c>
      <c r="AV220" s="1" t="s">
        <v>74</v>
      </c>
      <c r="AW220" s="1">
        <v>64.0</v>
      </c>
      <c r="AX220" s="1" t="s">
        <v>74</v>
      </c>
      <c r="AY220" s="1" t="s">
        <v>74</v>
      </c>
      <c r="AZ220" s="1" t="s">
        <v>74</v>
      </c>
      <c r="BA220" s="1" t="s">
        <v>74</v>
      </c>
      <c r="BB220" s="1" t="s">
        <v>74</v>
      </c>
      <c r="BC220" s="1" t="s">
        <v>74</v>
      </c>
      <c r="BD220" s="1">
        <v>426403.0</v>
      </c>
      <c r="BE220" s="1" t="s">
        <v>74</v>
      </c>
      <c r="BF220" s="1" t="s">
        <v>74</v>
      </c>
      <c r="BG220" s="1" t="s">
        <v>74</v>
      </c>
      <c r="BH220" s="1" t="s">
        <v>74</v>
      </c>
      <c r="BI220" s="1">
        <v>28.0</v>
      </c>
      <c r="BJ220" s="1" t="s">
        <v>915</v>
      </c>
      <c r="BK220" s="1" t="s">
        <v>172</v>
      </c>
      <c r="BL220" s="1" t="s">
        <v>916</v>
      </c>
      <c r="BM220" s="1" t="s">
        <v>4793</v>
      </c>
      <c r="BN220" s="1" t="s">
        <v>74</v>
      </c>
      <c r="BO220" s="1" t="s">
        <v>74</v>
      </c>
      <c r="BP220" s="1" t="s">
        <v>74</v>
      </c>
      <c r="BQ220" s="1" t="s">
        <v>74</v>
      </c>
      <c r="BR220" s="1" t="s">
        <v>102</v>
      </c>
      <c r="BS220" s="1" t="s">
        <v>4794</v>
      </c>
      <c r="BT220" s="1" t="str">
        <f>HYPERLINK("https%3A%2F%2Fwww.webofscience.com%2Fwos%2Fwoscc%2Ffull-record%2FWOS:001091477400012","View Full Record in Web of Science")</f>
        <v>View Full Record in Web of Science</v>
      </c>
    </row>
    <row r="221" ht="12.75" customHeight="1">
      <c r="A221" s="1" t="s">
        <v>132</v>
      </c>
      <c r="B221" s="1" t="s">
        <v>4795</v>
      </c>
      <c r="C221" s="1" t="s">
        <v>74</v>
      </c>
      <c r="D221" s="1" t="s">
        <v>74</v>
      </c>
      <c r="E221" s="1" t="s">
        <v>74</v>
      </c>
      <c r="F221" s="1" t="s">
        <v>4796</v>
      </c>
      <c r="G221" s="1" t="s">
        <v>74</v>
      </c>
      <c r="H221" s="1" t="s">
        <v>74</v>
      </c>
      <c r="I221" s="1" t="s">
        <v>4797</v>
      </c>
      <c r="J221" s="1" t="s">
        <v>4798</v>
      </c>
      <c r="K221" s="1" t="s">
        <v>74</v>
      </c>
      <c r="L221" s="1" t="s">
        <v>74</v>
      </c>
      <c r="M221" s="1" t="s">
        <v>80</v>
      </c>
      <c r="N221" s="1" t="s">
        <v>136</v>
      </c>
      <c r="O221" s="1" t="s">
        <v>74</v>
      </c>
      <c r="P221" s="1" t="s">
        <v>74</v>
      </c>
      <c r="Q221" s="1" t="s">
        <v>74</v>
      </c>
      <c r="R221" s="1" t="s">
        <v>74</v>
      </c>
      <c r="S221" s="1" t="s">
        <v>74</v>
      </c>
      <c r="T221" s="1" t="s">
        <v>4799</v>
      </c>
      <c r="U221" s="1" t="s">
        <v>4800</v>
      </c>
      <c r="V221" s="1" t="s">
        <v>4801</v>
      </c>
      <c r="W221" s="1" t="s">
        <v>4802</v>
      </c>
      <c r="X221" s="1" t="s">
        <v>4803</v>
      </c>
      <c r="Y221" s="1" t="s">
        <v>4804</v>
      </c>
      <c r="Z221" s="1" t="s">
        <v>4805</v>
      </c>
      <c r="AA221" s="1" t="s">
        <v>74</v>
      </c>
      <c r="AB221" s="1" t="s">
        <v>74</v>
      </c>
      <c r="AC221" s="1" t="s">
        <v>4806</v>
      </c>
      <c r="AD221" s="1" t="s">
        <v>4807</v>
      </c>
      <c r="AE221" s="1" t="s">
        <v>4808</v>
      </c>
      <c r="AF221" s="1" t="s">
        <v>74</v>
      </c>
      <c r="AG221" s="1">
        <v>84.0</v>
      </c>
      <c r="AH221" s="1">
        <v>0.0</v>
      </c>
      <c r="AI221" s="1">
        <v>0.0</v>
      </c>
      <c r="AJ221" s="1">
        <v>2.0</v>
      </c>
      <c r="AK221" s="1">
        <v>2.0</v>
      </c>
      <c r="AL221" s="1" t="s">
        <v>4809</v>
      </c>
      <c r="AM221" s="1" t="s">
        <v>4810</v>
      </c>
      <c r="AN221" s="1" t="s">
        <v>4811</v>
      </c>
      <c r="AO221" s="1" t="s">
        <v>4812</v>
      </c>
      <c r="AP221" s="1" t="s">
        <v>4813</v>
      </c>
      <c r="AQ221" s="1" t="s">
        <v>74</v>
      </c>
      <c r="AR221" s="1" t="s">
        <v>4814</v>
      </c>
      <c r="AS221" s="1" t="s">
        <v>4815</v>
      </c>
      <c r="AT221" s="1" t="s">
        <v>302</v>
      </c>
      <c r="AU221" s="1">
        <v>2024.0</v>
      </c>
      <c r="AV221" s="1">
        <v>13.0</v>
      </c>
      <c r="AW221" s="1">
        <v>3.0</v>
      </c>
      <c r="AX221" s="1" t="s">
        <v>74</v>
      </c>
      <c r="AY221" s="1" t="s">
        <v>74</v>
      </c>
      <c r="AZ221" s="1" t="s">
        <v>74</v>
      </c>
      <c r="BA221" s="1" t="s">
        <v>74</v>
      </c>
      <c r="BB221" s="1">
        <v>1905.0</v>
      </c>
      <c r="BC221" s="1">
        <v>1915.0</v>
      </c>
      <c r="BD221" s="1" t="s">
        <v>74</v>
      </c>
      <c r="BE221" s="1" t="s">
        <v>74</v>
      </c>
      <c r="BF221" s="1" t="s">
        <v>74</v>
      </c>
      <c r="BG221" s="1" t="s">
        <v>74</v>
      </c>
      <c r="BH221" s="1" t="s">
        <v>74</v>
      </c>
      <c r="BI221" s="1">
        <v>11.0</v>
      </c>
      <c r="BJ221" s="1" t="s">
        <v>554</v>
      </c>
      <c r="BK221" s="1" t="s">
        <v>172</v>
      </c>
      <c r="BL221" s="1" t="s">
        <v>232</v>
      </c>
      <c r="BM221" s="1" t="s">
        <v>4816</v>
      </c>
      <c r="BN221" s="1" t="s">
        <v>74</v>
      </c>
      <c r="BO221" s="1" t="s">
        <v>74</v>
      </c>
      <c r="BP221" s="1" t="s">
        <v>74</v>
      </c>
      <c r="BQ221" s="1" t="s">
        <v>74</v>
      </c>
      <c r="BR221" s="1" t="s">
        <v>102</v>
      </c>
      <c r="BS221" s="1" t="s">
        <v>4817</v>
      </c>
      <c r="BT221" s="1" t="str">
        <f>HYPERLINK("https%3A%2F%2Fwww.webofscience.com%2Fwos%2Fwoscc%2Ffull-record%2FWOS:001315548100018","View Full Record in Web of Science")</f>
        <v>View Full Record in Web of Science</v>
      </c>
    </row>
    <row r="222" ht="12.75" customHeight="1">
      <c r="A222" s="1" t="s">
        <v>72</v>
      </c>
      <c r="B222" s="1" t="s">
        <v>4818</v>
      </c>
      <c r="C222" s="1" t="s">
        <v>74</v>
      </c>
      <c r="D222" s="1" t="s">
        <v>74</v>
      </c>
      <c r="E222" s="1" t="s">
        <v>74</v>
      </c>
      <c r="F222" s="1" t="s">
        <v>4819</v>
      </c>
      <c r="G222" s="1" t="s">
        <v>74</v>
      </c>
      <c r="H222" s="1" t="s">
        <v>74</v>
      </c>
      <c r="I222" s="1" t="s">
        <v>4820</v>
      </c>
      <c r="J222" s="1" t="s">
        <v>2361</v>
      </c>
      <c r="K222" s="1" t="s">
        <v>74</v>
      </c>
      <c r="L222" s="1" t="s">
        <v>74</v>
      </c>
      <c r="M222" s="1" t="s">
        <v>80</v>
      </c>
      <c r="N222" s="1" t="s">
        <v>81</v>
      </c>
      <c r="O222" s="1" t="s">
        <v>4821</v>
      </c>
      <c r="P222" s="1" t="s">
        <v>4822</v>
      </c>
      <c r="Q222" s="1" t="s">
        <v>812</v>
      </c>
      <c r="R222" s="1" t="s">
        <v>74</v>
      </c>
      <c r="S222" s="1" t="s">
        <v>74</v>
      </c>
      <c r="T222" s="1" t="s">
        <v>4823</v>
      </c>
      <c r="U222" s="1" t="s">
        <v>74</v>
      </c>
      <c r="V222" s="1" t="s">
        <v>4824</v>
      </c>
      <c r="W222" s="1" t="s">
        <v>4825</v>
      </c>
      <c r="X222" s="1" t="s">
        <v>4826</v>
      </c>
      <c r="Y222" s="1" t="s">
        <v>4827</v>
      </c>
      <c r="Z222" s="1" t="s">
        <v>4828</v>
      </c>
      <c r="AA222" s="1" t="s">
        <v>74</v>
      </c>
      <c r="AB222" s="1" t="s">
        <v>74</v>
      </c>
      <c r="AC222" s="1" t="s">
        <v>74</v>
      </c>
      <c r="AD222" s="1" t="s">
        <v>74</v>
      </c>
      <c r="AE222" s="1" t="s">
        <v>74</v>
      </c>
      <c r="AF222" s="1" t="s">
        <v>74</v>
      </c>
      <c r="AG222" s="1">
        <v>28.0</v>
      </c>
      <c r="AH222" s="1">
        <v>1.0</v>
      </c>
      <c r="AI222" s="1">
        <v>1.0</v>
      </c>
      <c r="AJ222" s="1">
        <v>12.0</v>
      </c>
      <c r="AK222" s="1">
        <v>13.0</v>
      </c>
      <c r="AL222" s="1" t="s">
        <v>680</v>
      </c>
      <c r="AM222" s="1" t="s">
        <v>681</v>
      </c>
      <c r="AN222" s="1" t="s">
        <v>2372</v>
      </c>
      <c r="AO222" s="1" t="s">
        <v>2373</v>
      </c>
      <c r="AP222" s="1" t="s">
        <v>2374</v>
      </c>
      <c r="AQ222" s="1" t="s">
        <v>74</v>
      </c>
      <c r="AR222" s="1" t="s">
        <v>2375</v>
      </c>
      <c r="AS222" s="1" t="s">
        <v>2376</v>
      </c>
      <c r="AT222" s="1" t="s">
        <v>4829</v>
      </c>
      <c r="AU222" s="1">
        <v>2024.0</v>
      </c>
      <c r="AV222" s="1">
        <v>18.0</v>
      </c>
      <c r="AW222" s="1">
        <v>1.0</v>
      </c>
      <c r="AX222" s="1" t="s">
        <v>74</v>
      </c>
      <c r="AY222" s="1" t="s">
        <v>74</v>
      </c>
      <c r="AZ222" s="1" t="s">
        <v>74</v>
      </c>
      <c r="BA222" s="1" t="s">
        <v>74</v>
      </c>
      <c r="BB222" s="1">
        <v>2776.0</v>
      </c>
      <c r="BC222" s="1">
        <v>2783.0</v>
      </c>
      <c r="BD222" s="1" t="s">
        <v>74</v>
      </c>
      <c r="BE222" s="1" t="s">
        <v>4830</v>
      </c>
      <c r="BF222" s="2" t="str">
        <f>HYPERLINK("http://dx.doi.org/10.2478/picbe-2024-0231","http://dx.doi.org/10.2478/picbe-2024-0231")</f>
        <v>http://dx.doi.org/10.2478/picbe-2024-0231</v>
      </c>
      <c r="BG222" s="1" t="s">
        <v>74</v>
      </c>
      <c r="BH222" s="1" t="s">
        <v>74</v>
      </c>
      <c r="BI222" s="1">
        <v>8.0</v>
      </c>
      <c r="BJ222" s="1" t="s">
        <v>2040</v>
      </c>
      <c r="BK222" s="1" t="s">
        <v>128</v>
      </c>
      <c r="BL222" s="1" t="s">
        <v>204</v>
      </c>
      <c r="BM222" s="1" t="s">
        <v>4831</v>
      </c>
      <c r="BN222" s="1" t="s">
        <v>74</v>
      </c>
      <c r="BO222" s="1" t="s">
        <v>74</v>
      </c>
      <c r="BP222" s="1" t="s">
        <v>74</v>
      </c>
      <c r="BQ222" s="1" t="s">
        <v>74</v>
      </c>
      <c r="BR222" s="1" t="s">
        <v>102</v>
      </c>
      <c r="BS222" s="1" t="s">
        <v>4832</v>
      </c>
      <c r="BT222" s="1" t="str">
        <f>HYPERLINK("https%3A%2F%2Fwww.webofscience.com%2Fwos%2Fwoscc%2Ffull-record%2FWOS:001262143700018","View Full Record in Web of Science")</f>
        <v>View Full Record in Web of Science</v>
      </c>
    </row>
    <row r="223" ht="12.75" customHeight="1">
      <c r="A223" s="1" t="s">
        <v>72</v>
      </c>
      <c r="B223" s="1" t="s">
        <v>4833</v>
      </c>
      <c r="C223" s="1" t="s">
        <v>74</v>
      </c>
      <c r="D223" s="1" t="s">
        <v>4834</v>
      </c>
      <c r="E223" s="1" t="s">
        <v>74</v>
      </c>
      <c r="F223" s="1" t="s">
        <v>4835</v>
      </c>
      <c r="G223" s="1" t="s">
        <v>74</v>
      </c>
      <c r="H223" s="1" t="s">
        <v>74</v>
      </c>
      <c r="I223" s="1" t="s">
        <v>4836</v>
      </c>
      <c r="J223" s="1" t="s">
        <v>4837</v>
      </c>
      <c r="K223" s="1" t="s">
        <v>4838</v>
      </c>
      <c r="L223" s="1" t="s">
        <v>74</v>
      </c>
      <c r="M223" s="1" t="s">
        <v>80</v>
      </c>
      <c r="N223" s="1" t="s">
        <v>81</v>
      </c>
      <c r="O223" s="1" t="s">
        <v>4839</v>
      </c>
      <c r="P223" s="1" t="s">
        <v>4840</v>
      </c>
      <c r="Q223" s="1" t="s">
        <v>4841</v>
      </c>
      <c r="R223" s="1" t="s">
        <v>74</v>
      </c>
      <c r="S223" s="1" t="s">
        <v>74</v>
      </c>
      <c r="T223" s="1" t="s">
        <v>4842</v>
      </c>
      <c r="U223" s="1" t="s">
        <v>4843</v>
      </c>
      <c r="V223" s="1" t="s">
        <v>4844</v>
      </c>
      <c r="W223" s="1" t="s">
        <v>4845</v>
      </c>
      <c r="X223" s="1" t="s">
        <v>4846</v>
      </c>
      <c r="Y223" s="1" t="s">
        <v>4847</v>
      </c>
      <c r="Z223" s="1" t="s">
        <v>4848</v>
      </c>
      <c r="AA223" s="1" t="s">
        <v>4849</v>
      </c>
      <c r="AB223" s="1" t="s">
        <v>4850</v>
      </c>
      <c r="AC223" s="1" t="s">
        <v>74</v>
      </c>
      <c r="AD223" s="1" t="s">
        <v>74</v>
      </c>
      <c r="AE223" s="1" t="s">
        <v>74</v>
      </c>
      <c r="AF223" s="1" t="s">
        <v>74</v>
      </c>
      <c r="AG223" s="1">
        <v>34.0</v>
      </c>
      <c r="AH223" s="1">
        <v>0.0</v>
      </c>
      <c r="AI223" s="1">
        <v>0.0</v>
      </c>
      <c r="AJ223" s="1">
        <v>2.0</v>
      </c>
      <c r="AK223" s="1">
        <v>2.0</v>
      </c>
      <c r="AL223" s="1" t="s">
        <v>223</v>
      </c>
      <c r="AM223" s="1" t="s">
        <v>224</v>
      </c>
      <c r="AN223" s="1" t="s">
        <v>225</v>
      </c>
      <c r="AO223" s="1" t="s">
        <v>4851</v>
      </c>
      <c r="AP223" s="1" t="s">
        <v>74</v>
      </c>
      <c r="AQ223" s="1" t="s">
        <v>4852</v>
      </c>
      <c r="AR223" s="1" t="s">
        <v>4853</v>
      </c>
      <c r="AS223" s="1" t="s">
        <v>74</v>
      </c>
      <c r="AT223" s="1" t="s">
        <v>74</v>
      </c>
      <c r="AU223" s="1">
        <v>2024.0</v>
      </c>
      <c r="AV223" s="1">
        <v>11.0</v>
      </c>
      <c r="AW223" s="1" t="s">
        <v>74</v>
      </c>
      <c r="AX223" s="1" t="s">
        <v>74</v>
      </c>
      <c r="AY223" s="1" t="s">
        <v>74</v>
      </c>
      <c r="AZ223" s="1" t="s">
        <v>74</v>
      </c>
      <c r="BA223" s="1" t="s">
        <v>74</v>
      </c>
      <c r="BB223" s="1">
        <v>59.0</v>
      </c>
      <c r="BC223" s="1">
        <v>67.0</v>
      </c>
      <c r="BD223" s="1" t="s">
        <v>74</v>
      </c>
      <c r="BE223" s="1" t="s">
        <v>4854</v>
      </c>
      <c r="BF223" s="2" t="str">
        <f>HYPERLINK("http://dx.doi.org/10.1007/978-3-031-66850-0_7","http://dx.doi.org/10.1007/978-3-031-66850-0_7")</f>
        <v>http://dx.doi.org/10.1007/978-3-031-66850-0_7</v>
      </c>
      <c r="BG223" s="1" t="s">
        <v>74</v>
      </c>
      <c r="BH223" s="1" t="s">
        <v>74</v>
      </c>
      <c r="BI223" s="1">
        <v>9.0</v>
      </c>
      <c r="BJ223" s="1" t="s">
        <v>527</v>
      </c>
      <c r="BK223" s="1" t="s">
        <v>128</v>
      </c>
      <c r="BL223" s="1" t="s">
        <v>232</v>
      </c>
      <c r="BM223" s="1" t="s">
        <v>4855</v>
      </c>
      <c r="BN223" s="1" t="s">
        <v>74</v>
      </c>
      <c r="BO223" s="1" t="s">
        <v>74</v>
      </c>
      <c r="BP223" s="1" t="s">
        <v>74</v>
      </c>
      <c r="BQ223" s="1" t="s">
        <v>74</v>
      </c>
      <c r="BR223" s="1" t="s">
        <v>102</v>
      </c>
      <c r="BS223" s="1" t="s">
        <v>4856</v>
      </c>
      <c r="BT223" s="1" t="str">
        <f>HYPERLINK("https%3A%2F%2Fwww.webofscience.com%2Fwos%2Fwoscc%2Ffull-record%2FWOS:001324586000007","View Full Record in Web of Science")</f>
        <v>View Full Record in Web of Science</v>
      </c>
    </row>
    <row r="224" ht="12.75" customHeight="1">
      <c r="A224" s="1" t="s">
        <v>132</v>
      </c>
      <c r="B224" s="1" t="s">
        <v>4857</v>
      </c>
      <c r="C224" s="1" t="s">
        <v>74</v>
      </c>
      <c r="D224" s="1" t="s">
        <v>74</v>
      </c>
      <c r="E224" s="1" t="s">
        <v>74</v>
      </c>
      <c r="F224" s="1" t="s">
        <v>4858</v>
      </c>
      <c r="G224" s="1" t="s">
        <v>74</v>
      </c>
      <c r="H224" s="1" t="s">
        <v>74</v>
      </c>
      <c r="I224" s="1" t="s">
        <v>4859</v>
      </c>
      <c r="J224" s="1" t="s">
        <v>2916</v>
      </c>
      <c r="K224" s="1" t="s">
        <v>74</v>
      </c>
      <c r="L224" s="1" t="s">
        <v>74</v>
      </c>
      <c r="M224" s="1" t="s">
        <v>80</v>
      </c>
      <c r="N224" s="1" t="s">
        <v>338</v>
      </c>
      <c r="O224" s="1" t="s">
        <v>74</v>
      </c>
      <c r="P224" s="1" t="s">
        <v>74</v>
      </c>
      <c r="Q224" s="1" t="s">
        <v>74</v>
      </c>
      <c r="R224" s="1" t="s">
        <v>74</v>
      </c>
      <c r="S224" s="1" t="s">
        <v>74</v>
      </c>
      <c r="T224" s="1" t="s">
        <v>4860</v>
      </c>
      <c r="U224" s="1" t="s">
        <v>4861</v>
      </c>
      <c r="V224" s="1" t="s">
        <v>4862</v>
      </c>
      <c r="W224" s="1" t="s">
        <v>4863</v>
      </c>
      <c r="X224" s="1" t="s">
        <v>4864</v>
      </c>
      <c r="Y224" s="1" t="s">
        <v>4865</v>
      </c>
      <c r="Z224" s="1" t="s">
        <v>4866</v>
      </c>
      <c r="AA224" s="1" t="s">
        <v>4867</v>
      </c>
      <c r="AB224" s="1" t="s">
        <v>4868</v>
      </c>
      <c r="AC224" s="1" t="s">
        <v>4869</v>
      </c>
      <c r="AD224" s="1" t="s">
        <v>4870</v>
      </c>
      <c r="AE224" s="1" t="s">
        <v>4871</v>
      </c>
      <c r="AF224" s="1" t="s">
        <v>74</v>
      </c>
      <c r="AG224" s="1">
        <v>21.0</v>
      </c>
      <c r="AH224" s="1">
        <v>0.0</v>
      </c>
      <c r="AI224" s="1">
        <v>0.0</v>
      </c>
      <c r="AJ224" s="1">
        <v>1.0</v>
      </c>
      <c r="AK224" s="1">
        <v>1.0</v>
      </c>
      <c r="AL224" s="1" t="s">
        <v>2928</v>
      </c>
      <c r="AM224" s="1" t="s">
        <v>1090</v>
      </c>
      <c r="AN224" s="1" t="s">
        <v>2929</v>
      </c>
      <c r="AO224" s="1" t="s">
        <v>2930</v>
      </c>
      <c r="AP224" s="1" t="s">
        <v>2931</v>
      </c>
      <c r="AQ224" s="1" t="s">
        <v>74</v>
      </c>
      <c r="AR224" s="1" t="s">
        <v>2932</v>
      </c>
      <c r="AS224" s="1" t="s">
        <v>2933</v>
      </c>
      <c r="AT224" s="1" t="s">
        <v>4872</v>
      </c>
      <c r="AU224" s="1">
        <v>2024.0</v>
      </c>
      <c r="AV224" s="1" t="s">
        <v>74</v>
      </c>
      <c r="AW224" s="1" t="s">
        <v>74</v>
      </c>
      <c r="AX224" s="1" t="s">
        <v>74</v>
      </c>
      <c r="AY224" s="1" t="s">
        <v>74</v>
      </c>
      <c r="AZ224" s="1" t="s">
        <v>74</v>
      </c>
      <c r="BA224" s="1" t="s">
        <v>74</v>
      </c>
      <c r="BB224" s="1" t="s">
        <v>74</v>
      </c>
      <c r="BC224" s="1" t="s">
        <v>74</v>
      </c>
      <c r="BD224" s="1" t="s">
        <v>74</v>
      </c>
      <c r="BE224" s="1" t="s">
        <v>4873</v>
      </c>
      <c r="BF224" s="2" t="str">
        <f>HYPERLINK("http://dx.doi.org/10.1093/jamia/ocae304","http://dx.doi.org/10.1093/jamia/ocae304")</f>
        <v>http://dx.doi.org/10.1093/jamia/ocae304</v>
      </c>
      <c r="BG224" s="1" t="s">
        <v>74</v>
      </c>
      <c r="BH224" s="1" t="s">
        <v>2788</v>
      </c>
      <c r="BI224" s="1">
        <v>5.0</v>
      </c>
      <c r="BJ224" s="1" t="s">
        <v>2936</v>
      </c>
      <c r="BK224" s="1" t="s">
        <v>783</v>
      </c>
      <c r="BL224" s="1" t="s">
        <v>2937</v>
      </c>
      <c r="BM224" s="1" t="s">
        <v>4874</v>
      </c>
      <c r="BN224" s="1">
        <v>3.9688515E7</v>
      </c>
      <c r="BO224" s="1" t="s">
        <v>74</v>
      </c>
      <c r="BP224" s="1" t="s">
        <v>74</v>
      </c>
      <c r="BQ224" s="1" t="s">
        <v>74</v>
      </c>
      <c r="BR224" s="1" t="s">
        <v>102</v>
      </c>
      <c r="BS224" s="1" t="s">
        <v>4875</v>
      </c>
      <c r="BT224" s="1" t="str">
        <f>HYPERLINK("https%3A%2F%2Fwww.webofscience.com%2Fwos%2Fwoscc%2Ffull-record%2FWOS:001379178100001","View Full Record in Web of Science")</f>
        <v>View Full Record in Web of Science</v>
      </c>
    </row>
    <row r="225" ht="12.75" customHeight="1">
      <c r="A225" s="1" t="s">
        <v>132</v>
      </c>
      <c r="B225" s="1" t="s">
        <v>4876</v>
      </c>
      <c r="C225" s="1" t="s">
        <v>74</v>
      </c>
      <c r="D225" s="1" t="s">
        <v>74</v>
      </c>
      <c r="E225" s="1" t="s">
        <v>74</v>
      </c>
      <c r="F225" s="1" t="s">
        <v>4877</v>
      </c>
      <c r="G225" s="1" t="s">
        <v>74</v>
      </c>
      <c r="H225" s="1" t="s">
        <v>74</v>
      </c>
      <c r="I225" s="1" t="s">
        <v>4878</v>
      </c>
      <c r="J225" s="1" t="s">
        <v>4879</v>
      </c>
      <c r="K225" s="1" t="s">
        <v>74</v>
      </c>
      <c r="L225" s="1" t="s">
        <v>74</v>
      </c>
      <c r="M225" s="1" t="s">
        <v>3379</v>
      </c>
      <c r="N225" s="1" t="s">
        <v>136</v>
      </c>
      <c r="O225" s="1" t="s">
        <v>74</v>
      </c>
      <c r="P225" s="1" t="s">
        <v>74</v>
      </c>
      <c r="Q225" s="1" t="s">
        <v>74</v>
      </c>
      <c r="R225" s="1" t="s">
        <v>74</v>
      </c>
      <c r="S225" s="1" t="s">
        <v>74</v>
      </c>
      <c r="T225" s="1" t="s">
        <v>4880</v>
      </c>
      <c r="U225" s="1" t="s">
        <v>74</v>
      </c>
      <c r="V225" s="1" t="s">
        <v>4881</v>
      </c>
      <c r="W225" s="1" t="s">
        <v>4882</v>
      </c>
      <c r="X225" s="1" t="s">
        <v>74</v>
      </c>
      <c r="Y225" s="1" t="s">
        <v>4883</v>
      </c>
      <c r="Z225" s="1" t="s">
        <v>4884</v>
      </c>
      <c r="AA225" s="1" t="s">
        <v>74</v>
      </c>
      <c r="AB225" s="1" t="s">
        <v>74</v>
      </c>
      <c r="AC225" s="1" t="s">
        <v>74</v>
      </c>
      <c r="AD225" s="1" t="s">
        <v>74</v>
      </c>
      <c r="AE225" s="1" t="s">
        <v>74</v>
      </c>
      <c r="AF225" s="1" t="s">
        <v>74</v>
      </c>
      <c r="AG225" s="1">
        <v>14.0</v>
      </c>
      <c r="AH225" s="1">
        <v>1.0</v>
      </c>
      <c r="AI225" s="1">
        <v>1.0</v>
      </c>
      <c r="AJ225" s="1">
        <v>2.0</v>
      </c>
      <c r="AK225" s="1">
        <v>6.0</v>
      </c>
      <c r="AL225" s="1" t="s">
        <v>4885</v>
      </c>
      <c r="AM225" s="1" t="s">
        <v>4886</v>
      </c>
      <c r="AN225" s="1" t="s">
        <v>4887</v>
      </c>
      <c r="AO225" s="1" t="s">
        <v>4888</v>
      </c>
      <c r="AP225" s="1" t="s">
        <v>4889</v>
      </c>
      <c r="AQ225" s="1" t="s">
        <v>74</v>
      </c>
      <c r="AR225" s="1" t="s">
        <v>4890</v>
      </c>
      <c r="AS225" s="1" t="s">
        <v>4891</v>
      </c>
      <c r="AT225" s="1" t="s">
        <v>1051</v>
      </c>
      <c r="AU225" s="1">
        <v>2023.0</v>
      </c>
      <c r="AV225" s="1">
        <v>12.0</v>
      </c>
      <c r="AW225" s="1">
        <v>6.0</v>
      </c>
      <c r="AX225" s="1" t="s">
        <v>74</v>
      </c>
      <c r="AY225" s="1" t="s">
        <v>74</v>
      </c>
      <c r="AZ225" s="1" t="s">
        <v>74</v>
      </c>
      <c r="BA225" s="1" t="s">
        <v>74</v>
      </c>
      <c r="BB225" s="1">
        <v>433.0</v>
      </c>
      <c r="BC225" s="1">
        <v>438.0</v>
      </c>
      <c r="BD225" s="1" t="s">
        <v>74</v>
      </c>
      <c r="BE225" s="1" t="s">
        <v>4892</v>
      </c>
      <c r="BF225" s="2" t="str">
        <f>HYPERLINK("http://dx.doi.org/10.1055/a-2146-0667","http://dx.doi.org/10.1055/a-2146-0667")</f>
        <v>http://dx.doi.org/10.1055/a-2146-0667</v>
      </c>
      <c r="BG225" s="1" t="s">
        <v>74</v>
      </c>
      <c r="BH225" s="1" t="s">
        <v>74</v>
      </c>
      <c r="BI225" s="1">
        <v>6.0</v>
      </c>
      <c r="BJ225" s="1" t="s">
        <v>2729</v>
      </c>
      <c r="BK225" s="1" t="s">
        <v>172</v>
      </c>
      <c r="BL225" s="1" t="s">
        <v>2730</v>
      </c>
      <c r="BM225" s="1" t="s">
        <v>4893</v>
      </c>
      <c r="BN225" s="1" t="s">
        <v>74</v>
      </c>
      <c r="BO225" s="1" t="s">
        <v>74</v>
      </c>
      <c r="BP225" s="1" t="s">
        <v>74</v>
      </c>
      <c r="BQ225" s="1" t="s">
        <v>74</v>
      </c>
      <c r="BR225" s="1" t="s">
        <v>102</v>
      </c>
      <c r="BS225" s="1" t="s">
        <v>4894</v>
      </c>
      <c r="BT225" s="1" t="str">
        <f>HYPERLINK("https%3A%2F%2Fwww.webofscience.com%2Fwos%2Fwoscc%2Ffull-record%2FWOS:001111918300004","View Full Record in Web of Science")</f>
        <v>View Full Record in Web of Science</v>
      </c>
    </row>
    <row r="226" ht="12.75" customHeight="1">
      <c r="A226" s="1" t="s">
        <v>132</v>
      </c>
      <c r="B226" s="1" t="s">
        <v>4895</v>
      </c>
      <c r="C226" s="1" t="s">
        <v>74</v>
      </c>
      <c r="D226" s="1" t="s">
        <v>74</v>
      </c>
      <c r="E226" s="1" t="s">
        <v>74</v>
      </c>
      <c r="F226" s="1" t="s">
        <v>4896</v>
      </c>
      <c r="G226" s="1" t="s">
        <v>74</v>
      </c>
      <c r="H226" s="1" t="s">
        <v>74</v>
      </c>
      <c r="I226" s="1" t="s">
        <v>4897</v>
      </c>
      <c r="J226" s="1" t="s">
        <v>4898</v>
      </c>
      <c r="K226" s="1" t="s">
        <v>74</v>
      </c>
      <c r="L226" s="1" t="s">
        <v>74</v>
      </c>
      <c r="M226" s="1" t="s">
        <v>80</v>
      </c>
      <c r="N226" s="1" t="s">
        <v>338</v>
      </c>
      <c r="O226" s="1" t="s">
        <v>74</v>
      </c>
      <c r="P226" s="1" t="s">
        <v>74</v>
      </c>
      <c r="Q226" s="1" t="s">
        <v>74</v>
      </c>
      <c r="R226" s="1" t="s">
        <v>74</v>
      </c>
      <c r="S226" s="1" t="s">
        <v>74</v>
      </c>
      <c r="T226" s="1" t="s">
        <v>4899</v>
      </c>
      <c r="U226" s="1" t="s">
        <v>4900</v>
      </c>
      <c r="V226" s="1" t="s">
        <v>4901</v>
      </c>
      <c r="W226" s="1" t="s">
        <v>4902</v>
      </c>
      <c r="X226" s="1" t="s">
        <v>4903</v>
      </c>
      <c r="Y226" s="1" t="s">
        <v>4904</v>
      </c>
      <c r="Z226" s="1" t="s">
        <v>4905</v>
      </c>
      <c r="AA226" s="1" t="s">
        <v>74</v>
      </c>
      <c r="AB226" s="1" t="s">
        <v>4906</v>
      </c>
      <c r="AC226" s="1" t="s">
        <v>4907</v>
      </c>
      <c r="AD226" s="1" t="s">
        <v>4907</v>
      </c>
      <c r="AE226" s="1" t="s">
        <v>4908</v>
      </c>
      <c r="AF226" s="1" t="s">
        <v>74</v>
      </c>
      <c r="AG226" s="1">
        <v>92.0</v>
      </c>
      <c r="AH226" s="1">
        <v>0.0</v>
      </c>
      <c r="AI226" s="1">
        <v>0.0</v>
      </c>
      <c r="AJ226" s="1">
        <v>12.0</v>
      </c>
      <c r="AK226" s="1">
        <v>12.0</v>
      </c>
      <c r="AL226" s="1" t="s">
        <v>571</v>
      </c>
      <c r="AM226" s="1" t="s">
        <v>572</v>
      </c>
      <c r="AN226" s="1" t="s">
        <v>573</v>
      </c>
      <c r="AO226" s="1" t="s">
        <v>4909</v>
      </c>
      <c r="AP226" s="1" t="s">
        <v>4910</v>
      </c>
      <c r="AQ226" s="1" t="s">
        <v>74</v>
      </c>
      <c r="AR226" s="1" t="s">
        <v>4911</v>
      </c>
      <c r="AS226" s="1" t="s">
        <v>4912</v>
      </c>
      <c r="AT226" s="1" t="s">
        <v>4913</v>
      </c>
      <c r="AU226" s="1">
        <v>2024.0</v>
      </c>
      <c r="AV226" s="1" t="s">
        <v>74</v>
      </c>
      <c r="AW226" s="1" t="s">
        <v>74</v>
      </c>
      <c r="AX226" s="1" t="s">
        <v>74</v>
      </c>
      <c r="AY226" s="1" t="s">
        <v>74</v>
      </c>
      <c r="AZ226" s="1" t="s">
        <v>74</v>
      </c>
      <c r="BA226" s="1" t="s">
        <v>74</v>
      </c>
      <c r="BB226" s="1" t="s">
        <v>74</v>
      </c>
      <c r="BC226" s="1" t="s">
        <v>74</v>
      </c>
      <c r="BD226" s="1" t="s">
        <v>74</v>
      </c>
      <c r="BE226" s="1" t="s">
        <v>4914</v>
      </c>
      <c r="BF226" s="2" t="str">
        <f>HYPERLINK("http://dx.doi.org/10.1108/SEJ-03-2024-0050","http://dx.doi.org/10.1108/SEJ-03-2024-0050")</f>
        <v>http://dx.doi.org/10.1108/SEJ-03-2024-0050</v>
      </c>
      <c r="BG226" s="1" t="s">
        <v>74</v>
      </c>
      <c r="BH226" s="1" t="s">
        <v>2753</v>
      </c>
      <c r="BI226" s="1">
        <v>18.0</v>
      </c>
      <c r="BJ226" s="1" t="s">
        <v>2040</v>
      </c>
      <c r="BK226" s="1" t="s">
        <v>172</v>
      </c>
      <c r="BL226" s="1" t="s">
        <v>204</v>
      </c>
      <c r="BM226" s="1" t="s">
        <v>4915</v>
      </c>
      <c r="BN226" s="1" t="s">
        <v>74</v>
      </c>
      <c r="BO226" s="1" t="s">
        <v>74</v>
      </c>
      <c r="BP226" s="1" t="s">
        <v>74</v>
      </c>
      <c r="BQ226" s="1" t="s">
        <v>74</v>
      </c>
      <c r="BR226" s="1" t="s">
        <v>102</v>
      </c>
      <c r="BS226" s="1" t="s">
        <v>4916</v>
      </c>
      <c r="BT226" s="1" t="str">
        <f>HYPERLINK("https%3A%2F%2Fwww.webofscience.com%2Fwos%2Fwoscc%2Ffull-record%2FWOS:001330224600001","View Full Record in Web of Science")</f>
        <v>View Full Record in Web of Science</v>
      </c>
    </row>
    <row r="227" ht="12.75" customHeight="1">
      <c r="A227" s="1" t="s">
        <v>132</v>
      </c>
      <c r="B227" s="1" t="s">
        <v>4917</v>
      </c>
      <c r="C227" s="1" t="s">
        <v>74</v>
      </c>
      <c r="D227" s="1" t="s">
        <v>74</v>
      </c>
      <c r="E227" s="1" t="s">
        <v>74</v>
      </c>
      <c r="F227" s="1" t="s">
        <v>4918</v>
      </c>
      <c r="G227" s="1" t="s">
        <v>74</v>
      </c>
      <c r="H227" s="1" t="s">
        <v>74</v>
      </c>
      <c r="I227" s="1" t="s">
        <v>4919</v>
      </c>
      <c r="J227" s="1" t="s">
        <v>4920</v>
      </c>
      <c r="K227" s="1" t="s">
        <v>74</v>
      </c>
      <c r="L227" s="1" t="s">
        <v>74</v>
      </c>
      <c r="M227" s="1" t="s">
        <v>80</v>
      </c>
      <c r="N227" s="1" t="s">
        <v>1010</v>
      </c>
      <c r="O227" s="1" t="s">
        <v>74</v>
      </c>
      <c r="P227" s="1" t="s">
        <v>74</v>
      </c>
      <c r="Q227" s="1" t="s">
        <v>74</v>
      </c>
      <c r="R227" s="1" t="s">
        <v>74</v>
      </c>
      <c r="S227" s="1" t="s">
        <v>74</v>
      </c>
      <c r="T227" s="1" t="s">
        <v>4921</v>
      </c>
      <c r="U227" s="1" t="s">
        <v>4922</v>
      </c>
      <c r="V227" s="1" t="s">
        <v>4923</v>
      </c>
      <c r="W227" s="1" t="s">
        <v>4924</v>
      </c>
      <c r="X227" s="1" t="s">
        <v>4925</v>
      </c>
      <c r="Y227" s="1" t="s">
        <v>4926</v>
      </c>
      <c r="Z227" s="1" t="s">
        <v>4927</v>
      </c>
      <c r="AA227" s="1" t="s">
        <v>4928</v>
      </c>
      <c r="AB227" s="1" t="s">
        <v>4929</v>
      </c>
      <c r="AC227" s="1" t="s">
        <v>74</v>
      </c>
      <c r="AD227" s="1" t="s">
        <v>74</v>
      </c>
      <c r="AE227" s="1" t="s">
        <v>74</v>
      </c>
      <c r="AF227" s="1" t="s">
        <v>74</v>
      </c>
      <c r="AG227" s="1">
        <v>98.0</v>
      </c>
      <c r="AH227" s="1">
        <v>10.0</v>
      </c>
      <c r="AI227" s="1">
        <v>10.0</v>
      </c>
      <c r="AJ227" s="1">
        <v>2.0</v>
      </c>
      <c r="AK227" s="1">
        <v>19.0</v>
      </c>
      <c r="AL227" s="1" t="s">
        <v>1970</v>
      </c>
      <c r="AM227" s="1" t="s">
        <v>1658</v>
      </c>
      <c r="AN227" s="1" t="s">
        <v>1971</v>
      </c>
      <c r="AO227" s="1" t="s">
        <v>74</v>
      </c>
      <c r="AP227" s="1" t="s">
        <v>4930</v>
      </c>
      <c r="AQ227" s="1" t="s">
        <v>74</v>
      </c>
      <c r="AR227" s="1" t="s">
        <v>4920</v>
      </c>
      <c r="AS227" s="1" t="s">
        <v>4931</v>
      </c>
      <c r="AT227" s="1" t="s">
        <v>1301</v>
      </c>
      <c r="AU227" s="1">
        <v>2023.0</v>
      </c>
      <c r="AV227" s="1">
        <v>16.0</v>
      </c>
      <c r="AW227" s="1">
        <v>4.0</v>
      </c>
      <c r="AX227" s="1" t="s">
        <v>74</v>
      </c>
      <c r="AY227" s="1" t="s">
        <v>74</v>
      </c>
      <c r="AZ227" s="1" t="s">
        <v>74</v>
      </c>
      <c r="BA227" s="1" t="s">
        <v>74</v>
      </c>
      <c r="BB227" s="1" t="s">
        <v>74</v>
      </c>
      <c r="BC227" s="1" t="s">
        <v>74</v>
      </c>
      <c r="BD227" s="1">
        <v>1864.0</v>
      </c>
      <c r="BE227" s="1" t="s">
        <v>4932</v>
      </c>
      <c r="BF227" s="2" t="str">
        <f>HYPERLINK("http://dx.doi.org/10.3390/en16041864","http://dx.doi.org/10.3390/en16041864")</f>
        <v>http://dx.doi.org/10.3390/en16041864</v>
      </c>
      <c r="BG227" s="1" t="s">
        <v>74</v>
      </c>
      <c r="BH227" s="1" t="s">
        <v>74</v>
      </c>
      <c r="BI227" s="1">
        <v>33.0</v>
      </c>
      <c r="BJ227" s="1" t="s">
        <v>782</v>
      </c>
      <c r="BK227" s="1" t="s">
        <v>149</v>
      </c>
      <c r="BL227" s="1" t="s">
        <v>782</v>
      </c>
      <c r="BM227" s="1" t="s">
        <v>4933</v>
      </c>
      <c r="BN227" s="1" t="s">
        <v>74</v>
      </c>
      <c r="BO227" s="1" t="s">
        <v>174</v>
      </c>
      <c r="BP227" s="1" t="s">
        <v>74</v>
      </c>
      <c r="BQ227" s="1" t="s">
        <v>74</v>
      </c>
      <c r="BR227" s="1" t="s">
        <v>102</v>
      </c>
      <c r="BS227" s="1" t="s">
        <v>4934</v>
      </c>
      <c r="BT227" s="1" t="str">
        <f>HYPERLINK("https%3A%2F%2Fwww.webofscience.com%2Fwos%2Fwoscc%2Ffull-record%2FWOS:000944996400001","View Full Record in Web of Science")</f>
        <v>View Full Record in Web of Science</v>
      </c>
    </row>
    <row r="228" ht="12.75" customHeight="1">
      <c r="A228" s="1" t="s">
        <v>132</v>
      </c>
      <c r="B228" s="1" t="s">
        <v>4935</v>
      </c>
      <c r="C228" s="1" t="s">
        <v>74</v>
      </c>
      <c r="D228" s="1" t="s">
        <v>74</v>
      </c>
      <c r="E228" s="1" t="s">
        <v>74</v>
      </c>
      <c r="F228" s="1" t="s">
        <v>4936</v>
      </c>
      <c r="G228" s="1" t="s">
        <v>74</v>
      </c>
      <c r="H228" s="1" t="s">
        <v>74</v>
      </c>
      <c r="I228" s="1" t="s">
        <v>4937</v>
      </c>
      <c r="J228" s="1" t="s">
        <v>1009</v>
      </c>
      <c r="K228" s="1" t="s">
        <v>74</v>
      </c>
      <c r="L228" s="1" t="s">
        <v>74</v>
      </c>
      <c r="M228" s="1" t="s">
        <v>80</v>
      </c>
      <c r="N228" s="1" t="s">
        <v>136</v>
      </c>
      <c r="O228" s="1" t="s">
        <v>74</v>
      </c>
      <c r="P228" s="1" t="s">
        <v>74</v>
      </c>
      <c r="Q228" s="1" t="s">
        <v>74</v>
      </c>
      <c r="R228" s="1" t="s">
        <v>74</v>
      </c>
      <c r="S228" s="1" t="s">
        <v>74</v>
      </c>
      <c r="T228" s="1" t="s">
        <v>4938</v>
      </c>
      <c r="U228" s="1" t="s">
        <v>4939</v>
      </c>
      <c r="V228" s="1" t="s">
        <v>4940</v>
      </c>
      <c r="W228" s="1" t="s">
        <v>4941</v>
      </c>
      <c r="X228" s="1" t="s">
        <v>4942</v>
      </c>
      <c r="Y228" s="1" t="s">
        <v>4943</v>
      </c>
      <c r="Z228" s="1" t="s">
        <v>4944</v>
      </c>
      <c r="AA228" s="1" t="s">
        <v>74</v>
      </c>
      <c r="AB228" s="1" t="s">
        <v>74</v>
      </c>
      <c r="AC228" s="1" t="s">
        <v>4945</v>
      </c>
      <c r="AD228" s="1" t="s">
        <v>4945</v>
      </c>
      <c r="AE228" s="1" t="s">
        <v>4946</v>
      </c>
      <c r="AF228" s="1" t="s">
        <v>74</v>
      </c>
      <c r="AG228" s="1">
        <v>63.0</v>
      </c>
      <c r="AH228" s="1">
        <v>0.0</v>
      </c>
      <c r="AI228" s="1">
        <v>0.0</v>
      </c>
      <c r="AJ228" s="1">
        <v>10.0</v>
      </c>
      <c r="AK228" s="1">
        <v>10.0</v>
      </c>
      <c r="AL228" s="1" t="s">
        <v>1020</v>
      </c>
      <c r="AM228" s="1" t="s">
        <v>1021</v>
      </c>
      <c r="AN228" s="1" t="s">
        <v>1022</v>
      </c>
      <c r="AO228" s="1" t="s">
        <v>1023</v>
      </c>
      <c r="AP228" s="1" t="s">
        <v>1024</v>
      </c>
      <c r="AQ228" s="1" t="s">
        <v>74</v>
      </c>
      <c r="AR228" s="1" t="s">
        <v>1025</v>
      </c>
      <c r="AS228" s="1" t="s">
        <v>1026</v>
      </c>
      <c r="AT228" s="1" t="s">
        <v>199</v>
      </c>
      <c r="AU228" s="1">
        <v>2024.0</v>
      </c>
      <c r="AV228" s="1">
        <v>35.0</v>
      </c>
      <c r="AW228" s="1">
        <v>6.0</v>
      </c>
      <c r="AX228" s="1" t="s">
        <v>74</v>
      </c>
      <c r="AY228" s="1" t="s">
        <v>74</v>
      </c>
      <c r="AZ228" s="1" t="s">
        <v>74</v>
      </c>
      <c r="BA228" s="1" t="s">
        <v>74</v>
      </c>
      <c r="BB228" s="1">
        <v>480.0</v>
      </c>
      <c r="BC228" s="1">
        <v>486.0</v>
      </c>
      <c r="BD228" s="1" t="s">
        <v>74</v>
      </c>
      <c r="BE228" s="1" t="s">
        <v>4947</v>
      </c>
      <c r="BF228" s="2" t="str">
        <f>HYPERLINK("http://dx.doi.org/10.1097/ICU.0000000000001090","http://dx.doi.org/10.1097/ICU.0000000000001090")</f>
        <v>http://dx.doi.org/10.1097/ICU.0000000000001090</v>
      </c>
      <c r="BG228" s="1" t="s">
        <v>74</v>
      </c>
      <c r="BH228" s="1" t="s">
        <v>74</v>
      </c>
      <c r="BI228" s="1">
        <v>7.0</v>
      </c>
      <c r="BJ228" s="1" t="s">
        <v>1029</v>
      </c>
      <c r="BK228" s="1" t="s">
        <v>149</v>
      </c>
      <c r="BL228" s="1" t="s">
        <v>1029</v>
      </c>
      <c r="BM228" s="1" t="s">
        <v>4948</v>
      </c>
      <c r="BN228" s="1">
        <v>3.9259648E7</v>
      </c>
      <c r="BO228" s="1" t="s">
        <v>74</v>
      </c>
      <c r="BP228" s="1" t="s">
        <v>74</v>
      </c>
      <c r="BQ228" s="1" t="s">
        <v>74</v>
      </c>
      <c r="BR228" s="1" t="s">
        <v>102</v>
      </c>
      <c r="BS228" s="1" t="s">
        <v>4949</v>
      </c>
      <c r="BT228" s="1" t="str">
        <f>HYPERLINK("https%3A%2F%2Fwww.webofscience.com%2Fwos%2Fwoscc%2Ffull-record%2FWOS:001322587400010","View Full Record in Web of Science")</f>
        <v>View Full Record in Web of Science</v>
      </c>
    </row>
    <row r="229" ht="12.75" customHeight="1">
      <c r="A229" s="1" t="s">
        <v>132</v>
      </c>
      <c r="B229" s="1" t="s">
        <v>4950</v>
      </c>
      <c r="C229" s="1" t="s">
        <v>74</v>
      </c>
      <c r="D229" s="1" t="s">
        <v>74</v>
      </c>
      <c r="E229" s="1" t="s">
        <v>74</v>
      </c>
      <c r="F229" s="1" t="s">
        <v>4951</v>
      </c>
      <c r="G229" s="1" t="s">
        <v>74</v>
      </c>
      <c r="H229" s="1" t="s">
        <v>74</v>
      </c>
      <c r="I229" s="1" t="s">
        <v>4952</v>
      </c>
      <c r="J229" s="1" t="s">
        <v>4953</v>
      </c>
      <c r="K229" s="1" t="s">
        <v>74</v>
      </c>
      <c r="L229" s="1" t="s">
        <v>74</v>
      </c>
      <c r="M229" s="1" t="s">
        <v>80</v>
      </c>
      <c r="N229" s="1" t="s">
        <v>136</v>
      </c>
      <c r="O229" s="1" t="s">
        <v>74</v>
      </c>
      <c r="P229" s="1" t="s">
        <v>74</v>
      </c>
      <c r="Q229" s="1" t="s">
        <v>74</v>
      </c>
      <c r="R229" s="1" t="s">
        <v>74</v>
      </c>
      <c r="S229" s="1" t="s">
        <v>74</v>
      </c>
      <c r="T229" s="1" t="s">
        <v>4954</v>
      </c>
      <c r="U229" s="1" t="s">
        <v>74</v>
      </c>
      <c r="V229" s="1" t="s">
        <v>4955</v>
      </c>
      <c r="W229" s="1" t="s">
        <v>4956</v>
      </c>
      <c r="X229" s="1" t="s">
        <v>4957</v>
      </c>
      <c r="Y229" s="1" t="s">
        <v>4958</v>
      </c>
      <c r="Z229" s="1" t="s">
        <v>4959</v>
      </c>
      <c r="AA229" s="1" t="s">
        <v>4960</v>
      </c>
      <c r="AB229" s="1" t="s">
        <v>4961</v>
      </c>
      <c r="AC229" s="1" t="s">
        <v>74</v>
      </c>
      <c r="AD229" s="1" t="s">
        <v>74</v>
      </c>
      <c r="AE229" s="1" t="s">
        <v>74</v>
      </c>
      <c r="AF229" s="1" t="s">
        <v>74</v>
      </c>
      <c r="AG229" s="1">
        <v>25.0</v>
      </c>
      <c r="AH229" s="1">
        <v>2.0</v>
      </c>
      <c r="AI229" s="1">
        <v>2.0</v>
      </c>
      <c r="AJ229" s="1">
        <v>15.0</v>
      </c>
      <c r="AK229" s="1">
        <v>49.0</v>
      </c>
      <c r="AL229" s="1" t="s">
        <v>4962</v>
      </c>
      <c r="AM229" s="1" t="s">
        <v>4963</v>
      </c>
      <c r="AN229" s="1" t="s">
        <v>4964</v>
      </c>
      <c r="AO229" s="1" t="s">
        <v>4965</v>
      </c>
      <c r="AP229" s="1" t="s">
        <v>4966</v>
      </c>
      <c r="AQ229" s="1" t="s">
        <v>74</v>
      </c>
      <c r="AR229" s="1" t="s">
        <v>4967</v>
      </c>
      <c r="AS229" s="1" t="s">
        <v>4968</v>
      </c>
      <c r="AT229" s="1" t="s">
        <v>328</v>
      </c>
      <c r="AU229" s="1">
        <v>2023.0</v>
      </c>
      <c r="AV229" s="1">
        <v>29.0</v>
      </c>
      <c r="AW229" s="1">
        <v>1.0</v>
      </c>
      <c r="AX229" s="1" t="s">
        <v>74</v>
      </c>
      <c r="AY229" s="1" t="s">
        <v>74</v>
      </c>
      <c r="AZ229" s="1" t="s">
        <v>74</v>
      </c>
      <c r="BA229" s="1" t="s">
        <v>74</v>
      </c>
      <c r="BB229" s="1">
        <v>63.0</v>
      </c>
      <c r="BC229" s="1">
        <v>72.0</v>
      </c>
      <c r="BD229" s="1" t="s">
        <v>74</v>
      </c>
      <c r="BE229" s="1" t="s">
        <v>74</v>
      </c>
      <c r="BF229" s="1" t="s">
        <v>74</v>
      </c>
      <c r="BG229" s="1" t="s">
        <v>74</v>
      </c>
      <c r="BH229" s="1" t="s">
        <v>74</v>
      </c>
      <c r="BI229" s="1">
        <v>10.0</v>
      </c>
      <c r="BJ229" s="1" t="s">
        <v>4969</v>
      </c>
      <c r="BK229" s="1" t="s">
        <v>783</v>
      </c>
      <c r="BL229" s="1" t="s">
        <v>4970</v>
      </c>
      <c r="BM229" s="1" t="s">
        <v>4971</v>
      </c>
      <c r="BN229" s="1" t="s">
        <v>74</v>
      </c>
      <c r="BO229" s="1" t="s">
        <v>74</v>
      </c>
      <c r="BP229" s="1" t="s">
        <v>74</v>
      </c>
      <c r="BQ229" s="1" t="s">
        <v>74</v>
      </c>
      <c r="BR229" s="1" t="s">
        <v>102</v>
      </c>
      <c r="BS229" s="1" t="s">
        <v>4972</v>
      </c>
      <c r="BT229" s="1" t="str">
        <f>HYPERLINK("https%3A%2F%2Fwww.webofscience.com%2Fwos%2Fwoscc%2Ffull-record%2FWOS:001002390900008","View Full Record in Web of Science")</f>
        <v>View Full Record in Web of Science</v>
      </c>
    </row>
    <row r="230" ht="12.75" customHeight="1">
      <c r="A230" s="1" t="s">
        <v>72</v>
      </c>
      <c r="B230" s="1" t="s">
        <v>4973</v>
      </c>
      <c r="C230" s="1" t="s">
        <v>74</v>
      </c>
      <c r="D230" s="1" t="s">
        <v>4974</v>
      </c>
      <c r="E230" s="1" t="s">
        <v>74</v>
      </c>
      <c r="F230" s="1" t="s">
        <v>4975</v>
      </c>
      <c r="G230" s="1" t="s">
        <v>74</v>
      </c>
      <c r="H230" s="1" t="s">
        <v>74</v>
      </c>
      <c r="I230" s="1" t="s">
        <v>4976</v>
      </c>
      <c r="J230" s="1" t="s">
        <v>4977</v>
      </c>
      <c r="K230" s="1" t="s">
        <v>212</v>
      </c>
      <c r="L230" s="1" t="s">
        <v>74</v>
      </c>
      <c r="M230" s="1" t="s">
        <v>80</v>
      </c>
      <c r="N230" s="1" t="s">
        <v>81</v>
      </c>
      <c r="O230" s="1" t="s">
        <v>4978</v>
      </c>
      <c r="P230" s="1" t="s">
        <v>4979</v>
      </c>
      <c r="Q230" s="1" t="s">
        <v>4980</v>
      </c>
      <c r="R230" s="1" t="s">
        <v>74</v>
      </c>
      <c r="S230" s="1" t="s">
        <v>74</v>
      </c>
      <c r="T230" s="1" t="s">
        <v>4981</v>
      </c>
      <c r="U230" s="1" t="s">
        <v>74</v>
      </c>
      <c r="V230" s="1" t="s">
        <v>4982</v>
      </c>
      <c r="W230" s="1" t="s">
        <v>4983</v>
      </c>
      <c r="X230" s="1" t="s">
        <v>4984</v>
      </c>
      <c r="Y230" s="1" t="s">
        <v>4985</v>
      </c>
      <c r="Z230" s="1" t="s">
        <v>4986</v>
      </c>
      <c r="AA230" s="1" t="s">
        <v>74</v>
      </c>
      <c r="AB230" s="1" t="s">
        <v>74</v>
      </c>
      <c r="AC230" s="1" t="s">
        <v>74</v>
      </c>
      <c r="AD230" s="1" t="s">
        <v>74</v>
      </c>
      <c r="AE230" s="1" t="s">
        <v>74</v>
      </c>
      <c r="AF230" s="1" t="s">
        <v>74</v>
      </c>
      <c r="AG230" s="1">
        <v>15.0</v>
      </c>
      <c r="AH230" s="1">
        <v>3.0</v>
      </c>
      <c r="AI230" s="1">
        <v>4.0</v>
      </c>
      <c r="AJ230" s="1">
        <v>16.0</v>
      </c>
      <c r="AK230" s="1">
        <v>19.0</v>
      </c>
      <c r="AL230" s="1" t="s">
        <v>223</v>
      </c>
      <c r="AM230" s="1" t="s">
        <v>224</v>
      </c>
      <c r="AN230" s="1" t="s">
        <v>225</v>
      </c>
      <c r="AO230" s="1" t="s">
        <v>226</v>
      </c>
      <c r="AP230" s="1" t="s">
        <v>227</v>
      </c>
      <c r="AQ230" s="1" t="s">
        <v>4987</v>
      </c>
      <c r="AR230" s="1" t="s">
        <v>4988</v>
      </c>
      <c r="AS230" s="1" t="s">
        <v>74</v>
      </c>
      <c r="AT230" s="1" t="s">
        <v>74</v>
      </c>
      <c r="AU230" s="1">
        <v>2020.0</v>
      </c>
      <c r="AV230" s="1">
        <v>1160.0</v>
      </c>
      <c r="AW230" s="1" t="s">
        <v>74</v>
      </c>
      <c r="AX230" s="1" t="s">
        <v>74</v>
      </c>
      <c r="AY230" s="1" t="s">
        <v>74</v>
      </c>
      <c r="AZ230" s="1" t="s">
        <v>74</v>
      </c>
      <c r="BA230" s="1" t="s">
        <v>74</v>
      </c>
      <c r="BB230" s="1">
        <v>158.0</v>
      </c>
      <c r="BC230" s="1">
        <v>169.0</v>
      </c>
      <c r="BD230" s="1" t="s">
        <v>74</v>
      </c>
      <c r="BE230" s="1" t="s">
        <v>4989</v>
      </c>
      <c r="BF230" s="2" t="str">
        <f>HYPERLINK("http://dx.doi.org/10.1007/978-3-030-45691-7_15","http://dx.doi.org/10.1007/978-3-030-45691-7_15")</f>
        <v>http://dx.doi.org/10.1007/978-3-030-45691-7_15</v>
      </c>
      <c r="BG230" s="1" t="s">
        <v>74</v>
      </c>
      <c r="BH230" s="1" t="s">
        <v>74</v>
      </c>
      <c r="BI230" s="1">
        <v>12.0</v>
      </c>
      <c r="BJ230" s="1" t="s">
        <v>4990</v>
      </c>
      <c r="BK230" s="1" t="s">
        <v>128</v>
      </c>
      <c r="BL230" s="1" t="s">
        <v>846</v>
      </c>
      <c r="BM230" s="1" t="s">
        <v>4991</v>
      </c>
      <c r="BN230" s="1" t="s">
        <v>74</v>
      </c>
      <c r="BO230" s="1" t="s">
        <v>74</v>
      </c>
      <c r="BP230" s="1" t="s">
        <v>74</v>
      </c>
      <c r="BQ230" s="1" t="s">
        <v>74</v>
      </c>
      <c r="BR230" s="1" t="s">
        <v>102</v>
      </c>
      <c r="BS230" s="1" t="s">
        <v>4992</v>
      </c>
      <c r="BT230" s="1" t="str">
        <f>HYPERLINK("https%3A%2F%2Fwww.webofscience.com%2Fwos%2Fwoscc%2Ffull-record%2FWOS:001300369900015","View Full Record in Web of Science")</f>
        <v>View Full Record in Web of Science</v>
      </c>
    </row>
    <row r="231" ht="12.75" customHeight="1">
      <c r="A231" s="1" t="s">
        <v>132</v>
      </c>
      <c r="B231" s="1" t="s">
        <v>4993</v>
      </c>
      <c r="C231" s="1" t="s">
        <v>74</v>
      </c>
      <c r="D231" s="1" t="s">
        <v>74</v>
      </c>
      <c r="E231" s="1" t="s">
        <v>74</v>
      </c>
      <c r="F231" s="1" t="s">
        <v>4994</v>
      </c>
      <c r="G231" s="1" t="s">
        <v>74</v>
      </c>
      <c r="H231" s="1" t="s">
        <v>74</v>
      </c>
      <c r="I231" s="1" t="s">
        <v>4995</v>
      </c>
      <c r="J231" s="1" t="s">
        <v>4996</v>
      </c>
      <c r="K231" s="1" t="s">
        <v>74</v>
      </c>
      <c r="L231" s="1" t="s">
        <v>74</v>
      </c>
      <c r="M231" s="1" t="s">
        <v>80</v>
      </c>
      <c r="N231" s="1" t="s">
        <v>1010</v>
      </c>
      <c r="O231" s="1" t="s">
        <v>74</v>
      </c>
      <c r="P231" s="1" t="s">
        <v>74</v>
      </c>
      <c r="Q231" s="1" t="s">
        <v>74</v>
      </c>
      <c r="R231" s="1" t="s">
        <v>74</v>
      </c>
      <c r="S231" s="1" t="s">
        <v>74</v>
      </c>
      <c r="T231" s="1" t="s">
        <v>4997</v>
      </c>
      <c r="U231" s="1" t="s">
        <v>4998</v>
      </c>
      <c r="V231" s="1" t="s">
        <v>4999</v>
      </c>
      <c r="W231" s="1" t="s">
        <v>5000</v>
      </c>
      <c r="X231" s="1" t="s">
        <v>5001</v>
      </c>
      <c r="Y231" s="1" t="s">
        <v>5002</v>
      </c>
      <c r="Z231" s="1" t="s">
        <v>5003</v>
      </c>
      <c r="AA231" s="1" t="s">
        <v>74</v>
      </c>
      <c r="AB231" s="1" t="s">
        <v>74</v>
      </c>
      <c r="AC231" s="1" t="s">
        <v>74</v>
      </c>
      <c r="AD231" s="1" t="s">
        <v>74</v>
      </c>
      <c r="AE231" s="1" t="s">
        <v>5004</v>
      </c>
      <c r="AF231" s="1" t="s">
        <v>74</v>
      </c>
      <c r="AG231" s="1">
        <v>47.0</v>
      </c>
      <c r="AH231" s="1">
        <v>1.0</v>
      </c>
      <c r="AI231" s="1">
        <v>1.0</v>
      </c>
      <c r="AJ231" s="1">
        <v>0.0</v>
      </c>
      <c r="AK231" s="1">
        <v>0.0</v>
      </c>
      <c r="AL231" s="1" t="s">
        <v>5005</v>
      </c>
      <c r="AM231" s="1" t="s">
        <v>5006</v>
      </c>
      <c r="AN231" s="1" t="s">
        <v>5007</v>
      </c>
      <c r="AO231" s="1" t="s">
        <v>74</v>
      </c>
      <c r="AP231" s="1" t="s">
        <v>5008</v>
      </c>
      <c r="AQ231" s="1" t="s">
        <v>74</v>
      </c>
      <c r="AR231" s="1" t="s">
        <v>5009</v>
      </c>
      <c r="AS231" s="1" t="s">
        <v>5010</v>
      </c>
      <c r="AT231" s="1" t="s">
        <v>328</v>
      </c>
      <c r="AU231" s="1">
        <v>2023.0</v>
      </c>
      <c r="AV231" s="1">
        <v>3.0</v>
      </c>
      <c r="AW231" s="1">
        <v>2.0</v>
      </c>
      <c r="AX231" s="1" t="s">
        <v>74</v>
      </c>
      <c r="AY231" s="1" t="s">
        <v>74</v>
      </c>
      <c r="AZ231" s="1" t="s">
        <v>74</v>
      </c>
      <c r="BA231" s="1" t="s">
        <v>74</v>
      </c>
      <c r="BB231" s="1">
        <v>129.0</v>
      </c>
      <c r="BC231" s="1">
        <v>139.0</v>
      </c>
      <c r="BD231" s="1" t="s">
        <v>74</v>
      </c>
      <c r="BE231" s="1" t="s">
        <v>5011</v>
      </c>
      <c r="BF231" s="2" t="str">
        <f>HYPERLINK("http://dx.doi.org/10.20517/ais.2023.07","http://dx.doi.org/10.20517/ais.2023.07")</f>
        <v>http://dx.doi.org/10.20517/ais.2023.07</v>
      </c>
      <c r="BG231" s="1" t="s">
        <v>74</v>
      </c>
      <c r="BH231" s="1" t="s">
        <v>74</v>
      </c>
      <c r="BI231" s="1">
        <v>11.0</v>
      </c>
      <c r="BJ231" s="1" t="s">
        <v>5012</v>
      </c>
      <c r="BK231" s="1" t="s">
        <v>172</v>
      </c>
      <c r="BL231" s="1" t="s">
        <v>5012</v>
      </c>
      <c r="BM231" s="1" t="s">
        <v>5013</v>
      </c>
      <c r="BN231" s="1" t="s">
        <v>74</v>
      </c>
      <c r="BO231" s="1" t="s">
        <v>284</v>
      </c>
      <c r="BP231" s="1" t="s">
        <v>74</v>
      </c>
      <c r="BQ231" s="1" t="s">
        <v>74</v>
      </c>
      <c r="BR231" s="1" t="s">
        <v>102</v>
      </c>
      <c r="BS231" s="1" t="s">
        <v>5014</v>
      </c>
      <c r="BT231" s="1" t="str">
        <f>HYPERLINK("https%3A%2F%2Fwww.webofscience.com%2Fwos%2Fwoscc%2Ffull-record%2FWOS:001318833100007","View Full Record in Web of Science")</f>
        <v>View Full Record in Web of Science</v>
      </c>
    </row>
    <row r="232" ht="12.75" customHeight="1">
      <c r="A232" s="1" t="s">
        <v>132</v>
      </c>
      <c r="B232" s="1" t="s">
        <v>5015</v>
      </c>
      <c r="C232" s="1" t="s">
        <v>74</v>
      </c>
      <c r="D232" s="1" t="s">
        <v>74</v>
      </c>
      <c r="E232" s="1" t="s">
        <v>74</v>
      </c>
      <c r="F232" s="1" t="s">
        <v>5016</v>
      </c>
      <c r="G232" s="1" t="s">
        <v>74</v>
      </c>
      <c r="H232" s="1" t="s">
        <v>74</v>
      </c>
      <c r="I232" s="1" t="s">
        <v>5017</v>
      </c>
      <c r="J232" s="1" t="s">
        <v>5018</v>
      </c>
      <c r="K232" s="1" t="s">
        <v>74</v>
      </c>
      <c r="L232" s="1" t="s">
        <v>74</v>
      </c>
      <c r="M232" s="1" t="s">
        <v>80</v>
      </c>
      <c r="N232" s="1" t="s">
        <v>136</v>
      </c>
      <c r="O232" s="1" t="s">
        <v>74</v>
      </c>
      <c r="P232" s="1" t="s">
        <v>74</v>
      </c>
      <c r="Q232" s="1" t="s">
        <v>74</v>
      </c>
      <c r="R232" s="1" t="s">
        <v>74</v>
      </c>
      <c r="S232" s="1" t="s">
        <v>74</v>
      </c>
      <c r="T232" s="1" t="s">
        <v>5019</v>
      </c>
      <c r="U232" s="1" t="s">
        <v>5020</v>
      </c>
      <c r="V232" s="1" t="s">
        <v>5021</v>
      </c>
      <c r="W232" s="1" t="s">
        <v>5022</v>
      </c>
      <c r="X232" s="1" t="s">
        <v>5023</v>
      </c>
      <c r="Y232" s="1" t="s">
        <v>5024</v>
      </c>
      <c r="Z232" s="1" t="s">
        <v>5025</v>
      </c>
      <c r="AA232" s="1" t="s">
        <v>74</v>
      </c>
      <c r="AB232" s="1" t="s">
        <v>74</v>
      </c>
      <c r="AC232" s="1" t="s">
        <v>5026</v>
      </c>
      <c r="AD232" s="1" t="s">
        <v>5027</v>
      </c>
      <c r="AE232" s="1" t="s">
        <v>5028</v>
      </c>
      <c r="AF232" s="1" t="s">
        <v>74</v>
      </c>
      <c r="AG232" s="1">
        <v>62.0</v>
      </c>
      <c r="AH232" s="1">
        <v>10.0</v>
      </c>
      <c r="AI232" s="1">
        <v>10.0</v>
      </c>
      <c r="AJ232" s="1">
        <v>75.0</v>
      </c>
      <c r="AK232" s="1">
        <v>262.0</v>
      </c>
      <c r="AL232" s="1" t="s">
        <v>1970</v>
      </c>
      <c r="AM232" s="1" t="s">
        <v>1658</v>
      </c>
      <c r="AN232" s="1" t="s">
        <v>1971</v>
      </c>
      <c r="AO232" s="1" t="s">
        <v>74</v>
      </c>
      <c r="AP232" s="1" t="s">
        <v>5029</v>
      </c>
      <c r="AQ232" s="1" t="s">
        <v>74</v>
      </c>
      <c r="AR232" s="1" t="s">
        <v>5030</v>
      </c>
      <c r="AS232" s="1" t="s">
        <v>5031</v>
      </c>
      <c r="AT232" s="1" t="s">
        <v>4829</v>
      </c>
      <c r="AU232" s="1">
        <v>2023.0</v>
      </c>
      <c r="AV232" s="1">
        <v>15.0</v>
      </c>
      <c r="AW232" s="1">
        <v>11.0</v>
      </c>
      <c r="AX232" s="1" t="s">
        <v>74</v>
      </c>
      <c r="AY232" s="1" t="s">
        <v>74</v>
      </c>
      <c r="AZ232" s="1" t="s">
        <v>74</v>
      </c>
      <c r="BA232" s="1" t="s">
        <v>74</v>
      </c>
      <c r="BB232" s="1" t="s">
        <v>74</v>
      </c>
      <c r="BC232" s="1" t="s">
        <v>74</v>
      </c>
      <c r="BD232" s="1">
        <v>8934.0</v>
      </c>
      <c r="BE232" s="1" t="s">
        <v>5032</v>
      </c>
      <c r="BF232" s="2" t="str">
        <f>HYPERLINK("http://dx.doi.org/10.3390/su15118934","http://dx.doi.org/10.3390/su15118934")</f>
        <v>http://dx.doi.org/10.3390/su15118934</v>
      </c>
      <c r="BG232" s="1" t="s">
        <v>74</v>
      </c>
      <c r="BH232" s="1" t="s">
        <v>74</v>
      </c>
      <c r="BI232" s="1">
        <v>21.0</v>
      </c>
      <c r="BJ232" s="1" t="s">
        <v>5033</v>
      </c>
      <c r="BK232" s="1" t="s">
        <v>783</v>
      </c>
      <c r="BL232" s="1" t="s">
        <v>3612</v>
      </c>
      <c r="BM232" s="1" t="s">
        <v>5034</v>
      </c>
      <c r="BN232" s="1" t="s">
        <v>74</v>
      </c>
      <c r="BO232" s="1" t="s">
        <v>174</v>
      </c>
      <c r="BP232" s="1" t="s">
        <v>74</v>
      </c>
      <c r="BQ232" s="1" t="s">
        <v>74</v>
      </c>
      <c r="BR232" s="1" t="s">
        <v>102</v>
      </c>
      <c r="BS232" s="1" t="s">
        <v>5035</v>
      </c>
      <c r="BT232" s="1" t="str">
        <f>HYPERLINK("https%3A%2F%2Fwww.webofscience.com%2Fwos%2Fwoscc%2Ffull-record%2FWOS:001004860700001","View Full Record in Web of Science")</f>
        <v>View Full Record in Web of Science</v>
      </c>
    </row>
    <row r="233" ht="12.75" customHeight="1">
      <c r="A233" s="1" t="s">
        <v>132</v>
      </c>
      <c r="B233" s="1" t="s">
        <v>5036</v>
      </c>
      <c r="C233" s="1" t="s">
        <v>74</v>
      </c>
      <c r="D233" s="1" t="s">
        <v>74</v>
      </c>
      <c r="E233" s="1" t="s">
        <v>74</v>
      </c>
      <c r="F233" s="1" t="s">
        <v>5037</v>
      </c>
      <c r="G233" s="1" t="s">
        <v>74</v>
      </c>
      <c r="H233" s="1" t="s">
        <v>74</v>
      </c>
      <c r="I233" s="1" t="s">
        <v>5038</v>
      </c>
      <c r="J233" s="1" t="s">
        <v>5039</v>
      </c>
      <c r="K233" s="1" t="s">
        <v>74</v>
      </c>
      <c r="L233" s="1" t="s">
        <v>74</v>
      </c>
      <c r="M233" s="1" t="s">
        <v>80</v>
      </c>
      <c r="N233" s="1" t="s">
        <v>136</v>
      </c>
      <c r="O233" s="1" t="s">
        <v>74</v>
      </c>
      <c r="P233" s="1" t="s">
        <v>74</v>
      </c>
      <c r="Q233" s="1" t="s">
        <v>74</v>
      </c>
      <c r="R233" s="1" t="s">
        <v>74</v>
      </c>
      <c r="S233" s="1" t="s">
        <v>74</v>
      </c>
      <c r="T233" s="1" t="s">
        <v>5040</v>
      </c>
      <c r="U233" s="1" t="s">
        <v>5041</v>
      </c>
      <c r="V233" s="1" t="s">
        <v>5042</v>
      </c>
      <c r="W233" s="1" t="s">
        <v>5043</v>
      </c>
      <c r="X233" s="1" t="s">
        <v>5044</v>
      </c>
      <c r="Y233" s="1" t="s">
        <v>5045</v>
      </c>
      <c r="Z233" s="1" t="s">
        <v>5046</v>
      </c>
      <c r="AA233" s="1" t="s">
        <v>5047</v>
      </c>
      <c r="AB233" s="1" t="s">
        <v>74</v>
      </c>
      <c r="AC233" s="1" t="s">
        <v>5048</v>
      </c>
      <c r="AD233" s="1" t="s">
        <v>5049</v>
      </c>
      <c r="AE233" s="1" t="s">
        <v>5050</v>
      </c>
      <c r="AF233" s="1" t="s">
        <v>74</v>
      </c>
      <c r="AG233" s="1">
        <v>72.0</v>
      </c>
      <c r="AH233" s="1">
        <v>1.0</v>
      </c>
      <c r="AI233" s="1">
        <v>1.0</v>
      </c>
      <c r="AJ233" s="1">
        <v>25.0</v>
      </c>
      <c r="AK233" s="1">
        <v>75.0</v>
      </c>
      <c r="AL233" s="1" t="s">
        <v>1528</v>
      </c>
      <c r="AM233" s="1" t="s">
        <v>1529</v>
      </c>
      <c r="AN233" s="1" t="s">
        <v>1530</v>
      </c>
      <c r="AO233" s="1" t="s">
        <v>5051</v>
      </c>
      <c r="AP233" s="1" t="s">
        <v>5052</v>
      </c>
      <c r="AQ233" s="1" t="s">
        <v>74</v>
      </c>
      <c r="AR233" s="1" t="s">
        <v>5053</v>
      </c>
      <c r="AS233" s="1" t="s">
        <v>5054</v>
      </c>
      <c r="AT233" s="1" t="s">
        <v>870</v>
      </c>
      <c r="AU233" s="1">
        <v>2024.0</v>
      </c>
      <c r="AV233" s="1">
        <v>31.0</v>
      </c>
      <c r="AW233" s="1">
        <v>1.0</v>
      </c>
      <c r="AX233" s="1" t="s">
        <v>74</v>
      </c>
      <c r="AY233" s="1" t="s">
        <v>74</v>
      </c>
      <c r="AZ233" s="1" t="s">
        <v>74</v>
      </c>
      <c r="BA233" s="1" t="s">
        <v>74</v>
      </c>
      <c r="BB233" s="1">
        <v>144.0</v>
      </c>
      <c r="BC233" s="1">
        <v>166.0</v>
      </c>
      <c r="BD233" s="1" t="s">
        <v>74</v>
      </c>
      <c r="BE233" s="1" t="s">
        <v>5055</v>
      </c>
      <c r="BF233" s="2" t="str">
        <f>HYPERLINK("http://dx.doi.org/10.1007/s11356-023-31139-7","http://dx.doi.org/10.1007/s11356-023-31139-7")</f>
        <v>http://dx.doi.org/10.1007/s11356-023-31139-7</v>
      </c>
      <c r="BG233" s="1" t="s">
        <v>74</v>
      </c>
      <c r="BH233" s="1" t="s">
        <v>5056</v>
      </c>
      <c r="BI233" s="1">
        <v>23.0</v>
      </c>
      <c r="BJ233" s="1" t="s">
        <v>893</v>
      </c>
      <c r="BK233" s="1" t="s">
        <v>149</v>
      </c>
      <c r="BL233" s="1" t="s">
        <v>894</v>
      </c>
      <c r="BM233" s="1" t="s">
        <v>5057</v>
      </c>
      <c r="BN233" s="1">
        <v>3.8048E7</v>
      </c>
      <c r="BO233" s="1" t="s">
        <v>74</v>
      </c>
      <c r="BP233" s="1" t="s">
        <v>74</v>
      </c>
      <c r="BQ233" s="1" t="s">
        <v>74</v>
      </c>
      <c r="BR233" s="1" t="s">
        <v>102</v>
      </c>
      <c r="BS233" s="1" t="s">
        <v>5058</v>
      </c>
      <c r="BT233" s="1" t="str">
        <f>HYPERLINK("https%3A%2F%2Fwww.webofscience.com%2Fwos%2Fwoscc%2Ffull-record%2FWOS:001123797700002","View Full Record in Web of Science")</f>
        <v>View Full Record in Web of Science</v>
      </c>
    </row>
    <row r="234" ht="12.75" customHeight="1">
      <c r="A234" s="1" t="s">
        <v>132</v>
      </c>
      <c r="B234" s="1" t="s">
        <v>5059</v>
      </c>
      <c r="C234" s="1" t="s">
        <v>74</v>
      </c>
      <c r="D234" s="1" t="s">
        <v>74</v>
      </c>
      <c r="E234" s="1" t="s">
        <v>74</v>
      </c>
      <c r="F234" s="1" t="s">
        <v>5060</v>
      </c>
      <c r="G234" s="1" t="s">
        <v>74</v>
      </c>
      <c r="H234" s="1" t="s">
        <v>74</v>
      </c>
      <c r="I234" s="1" t="s">
        <v>5061</v>
      </c>
      <c r="J234" s="1" t="s">
        <v>5062</v>
      </c>
      <c r="K234" s="1" t="s">
        <v>74</v>
      </c>
      <c r="L234" s="1" t="s">
        <v>74</v>
      </c>
      <c r="M234" s="1" t="s">
        <v>80</v>
      </c>
      <c r="N234" s="1" t="s">
        <v>136</v>
      </c>
      <c r="O234" s="1" t="s">
        <v>74</v>
      </c>
      <c r="P234" s="1" t="s">
        <v>74</v>
      </c>
      <c r="Q234" s="1" t="s">
        <v>74</v>
      </c>
      <c r="R234" s="1" t="s">
        <v>74</v>
      </c>
      <c r="S234" s="1" t="s">
        <v>74</v>
      </c>
      <c r="T234" s="1" t="s">
        <v>5063</v>
      </c>
      <c r="U234" s="1" t="s">
        <v>5064</v>
      </c>
      <c r="V234" s="1" t="s">
        <v>5065</v>
      </c>
      <c r="W234" s="1" t="s">
        <v>5066</v>
      </c>
      <c r="X234" s="1" t="s">
        <v>5067</v>
      </c>
      <c r="Y234" s="1" t="s">
        <v>5068</v>
      </c>
      <c r="Z234" s="1" t="s">
        <v>5069</v>
      </c>
      <c r="AA234" s="1" t="s">
        <v>5070</v>
      </c>
      <c r="AB234" s="1" t="s">
        <v>5071</v>
      </c>
      <c r="AC234" s="1" t="s">
        <v>5072</v>
      </c>
      <c r="AD234" s="1" t="s">
        <v>5073</v>
      </c>
      <c r="AE234" s="1" t="s">
        <v>5074</v>
      </c>
      <c r="AF234" s="1" t="s">
        <v>74</v>
      </c>
      <c r="AG234" s="1">
        <v>68.0</v>
      </c>
      <c r="AH234" s="1">
        <v>5.0</v>
      </c>
      <c r="AI234" s="1">
        <v>5.0</v>
      </c>
      <c r="AJ234" s="1">
        <v>52.0</v>
      </c>
      <c r="AK234" s="1">
        <v>52.0</v>
      </c>
      <c r="AL234" s="1" t="s">
        <v>1970</v>
      </c>
      <c r="AM234" s="1" t="s">
        <v>1658</v>
      </c>
      <c r="AN234" s="1" t="s">
        <v>1971</v>
      </c>
      <c r="AO234" s="1" t="s">
        <v>74</v>
      </c>
      <c r="AP234" s="1" t="s">
        <v>5075</v>
      </c>
      <c r="AQ234" s="1" t="s">
        <v>74</v>
      </c>
      <c r="AR234" s="1" t="s">
        <v>5076</v>
      </c>
      <c r="AS234" s="1" t="s">
        <v>5077</v>
      </c>
      <c r="AT234" s="1" t="s">
        <v>302</v>
      </c>
      <c r="AU234" s="1">
        <v>2024.0</v>
      </c>
      <c r="AV234" s="1">
        <v>13.0</v>
      </c>
      <c r="AW234" s="1">
        <v>8.0</v>
      </c>
      <c r="AX234" s="1" t="s">
        <v>74</v>
      </c>
      <c r="AY234" s="1" t="s">
        <v>74</v>
      </c>
      <c r="AZ234" s="1" t="s">
        <v>74</v>
      </c>
      <c r="BA234" s="1" t="s">
        <v>74</v>
      </c>
      <c r="BB234" s="1" t="s">
        <v>74</v>
      </c>
      <c r="BC234" s="1" t="s">
        <v>74</v>
      </c>
      <c r="BD234" s="1">
        <v>410.0</v>
      </c>
      <c r="BE234" s="1" t="s">
        <v>5078</v>
      </c>
      <c r="BF234" s="2" t="str">
        <f>HYPERLINK("http://dx.doi.org/10.3390/socsci13080410","http://dx.doi.org/10.3390/socsci13080410")</f>
        <v>http://dx.doi.org/10.3390/socsci13080410</v>
      </c>
      <c r="BG234" s="1" t="s">
        <v>74</v>
      </c>
      <c r="BH234" s="1" t="s">
        <v>74</v>
      </c>
      <c r="BI234" s="1">
        <v>19.0</v>
      </c>
      <c r="BJ234" s="1" t="s">
        <v>98</v>
      </c>
      <c r="BK234" s="1" t="s">
        <v>172</v>
      </c>
      <c r="BL234" s="1" t="s">
        <v>100</v>
      </c>
      <c r="BM234" s="1" t="s">
        <v>5079</v>
      </c>
      <c r="BN234" s="1" t="s">
        <v>74</v>
      </c>
      <c r="BO234" s="1" t="s">
        <v>174</v>
      </c>
      <c r="BP234" s="1" t="s">
        <v>74</v>
      </c>
      <c r="BQ234" s="1" t="s">
        <v>74</v>
      </c>
      <c r="BR234" s="1" t="s">
        <v>102</v>
      </c>
      <c r="BS234" s="1" t="s">
        <v>5080</v>
      </c>
      <c r="BT234" s="1" t="str">
        <f>HYPERLINK("https%3A%2F%2Fwww.webofscience.com%2Fwos%2Fwoscc%2Ffull-record%2FWOS:001305073700001","View Full Record in Web of Science")</f>
        <v>View Full Record in Web of Science</v>
      </c>
    </row>
    <row r="235" ht="12.75" customHeight="1">
      <c r="A235" s="1" t="s">
        <v>72</v>
      </c>
      <c r="B235" s="1" t="s">
        <v>439</v>
      </c>
      <c r="C235" s="1" t="s">
        <v>74</v>
      </c>
      <c r="D235" s="1" t="s">
        <v>105</v>
      </c>
      <c r="E235" s="1" t="s">
        <v>74</v>
      </c>
      <c r="F235" s="1" t="s">
        <v>440</v>
      </c>
      <c r="G235" s="1" t="s">
        <v>74</v>
      </c>
      <c r="H235" s="1" t="s">
        <v>74</v>
      </c>
      <c r="I235" s="1" t="s">
        <v>5081</v>
      </c>
      <c r="J235" s="1" t="s">
        <v>108</v>
      </c>
      <c r="K235" s="1" t="s">
        <v>74</v>
      </c>
      <c r="L235" s="1" t="s">
        <v>74</v>
      </c>
      <c r="M235" s="1" t="s">
        <v>80</v>
      </c>
      <c r="N235" s="1" t="s">
        <v>81</v>
      </c>
      <c r="O235" s="1" t="s">
        <v>109</v>
      </c>
      <c r="P235" s="1" t="s">
        <v>110</v>
      </c>
      <c r="Q235" s="1" t="s">
        <v>111</v>
      </c>
      <c r="R235" s="1" t="s">
        <v>112</v>
      </c>
      <c r="S235" s="1" t="s">
        <v>113</v>
      </c>
      <c r="T235" s="1" t="s">
        <v>5082</v>
      </c>
      <c r="U235" s="1" t="s">
        <v>74</v>
      </c>
      <c r="V235" s="1" t="s">
        <v>5083</v>
      </c>
      <c r="W235" s="1" t="s">
        <v>5084</v>
      </c>
      <c r="X235" s="1" t="s">
        <v>445</v>
      </c>
      <c r="Y235" s="1" t="s">
        <v>5085</v>
      </c>
      <c r="Z235" s="1" t="s">
        <v>447</v>
      </c>
      <c r="AA235" s="1" t="s">
        <v>448</v>
      </c>
      <c r="AB235" s="1" t="s">
        <v>74</v>
      </c>
      <c r="AC235" s="1" t="s">
        <v>74</v>
      </c>
      <c r="AD235" s="1" t="s">
        <v>74</v>
      </c>
      <c r="AE235" s="1" t="s">
        <v>74</v>
      </c>
      <c r="AF235" s="1" t="s">
        <v>74</v>
      </c>
      <c r="AG235" s="1">
        <v>17.0</v>
      </c>
      <c r="AH235" s="1">
        <v>0.0</v>
      </c>
      <c r="AI235" s="1">
        <v>0.0</v>
      </c>
      <c r="AJ235" s="1">
        <v>3.0</v>
      </c>
      <c r="AK235" s="1">
        <v>11.0</v>
      </c>
      <c r="AL235" s="1" t="s">
        <v>122</v>
      </c>
      <c r="AM235" s="1" t="s">
        <v>123</v>
      </c>
      <c r="AN235" s="1" t="s">
        <v>124</v>
      </c>
      <c r="AO235" s="1" t="s">
        <v>74</v>
      </c>
      <c r="AP235" s="1" t="s">
        <v>74</v>
      </c>
      <c r="AQ235" s="1" t="s">
        <v>125</v>
      </c>
      <c r="AR235" s="1" t="s">
        <v>74</v>
      </c>
      <c r="AS235" s="1" t="s">
        <v>74</v>
      </c>
      <c r="AT235" s="1" t="s">
        <v>74</v>
      </c>
      <c r="AU235" s="1">
        <v>2021.0</v>
      </c>
      <c r="AV235" s="1" t="s">
        <v>74</v>
      </c>
      <c r="AW235" s="1" t="s">
        <v>74</v>
      </c>
      <c r="AX235" s="1" t="s">
        <v>74</v>
      </c>
      <c r="AY235" s="1" t="s">
        <v>74</v>
      </c>
      <c r="AZ235" s="1" t="s">
        <v>74</v>
      </c>
      <c r="BA235" s="1" t="s">
        <v>74</v>
      </c>
      <c r="BB235" s="1">
        <v>145.0</v>
      </c>
      <c r="BC235" s="1">
        <v>149.0</v>
      </c>
      <c r="BD235" s="1" t="s">
        <v>74</v>
      </c>
      <c r="BE235" s="1" t="s">
        <v>5086</v>
      </c>
      <c r="BF235" s="2" t="str">
        <f>HYPERLINK("http://dx.doi.org/10.34190/EAIR.21.018","http://dx.doi.org/10.34190/EAIR.21.018")</f>
        <v>http://dx.doi.org/10.34190/EAIR.21.018</v>
      </c>
      <c r="BG235" s="1" t="s">
        <v>74</v>
      </c>
      <c r="BH235" s="1" t="s">
        <v>74</v>
      </c>
      <c r="BI235" s="1">
        <v>5.0</v>
      </c>
      <c r="BJ235" s="1" t="s">
        <v>127</v>
      </c>
      <c r="BK235" s="1" t="s">
        <v>128</v>
      </c>
      <c r="BL235" s="1" t="s">
        <v>129</v>
      </c>
      <c r="BM235" s="1" t="s">
        <v>130</v>
      </c>
      <c r="BN235" s="1" t="s">
        <v>74</v>
      </c>
      <c r="BO235" s="1" t="s">
        <v>74</v>
      </c>
      <c r="BP235" s="1" t="s">
        <v>74</v>
      </c>
      <c r="BQ235" s="1" t="s">
        <v>74</v>
      </c>
      <c r="BR235" s="1" t="s">
        <v>102</v>
      </c>
      <c r="BS235" s="1" t="s">
        <v>5087</v>
      </c>
      <c r="BT235" s="1" t="str">
        <f>HYPERLINK("https%3A%2F%2Fwww.webofscience.com%2Fwos%2Fwoscc%2Ffull-record%2FWOS:000838033200019","View Full Record in Web of Science")</f>
        <v>View Full Record in Web of Science</v>
      </c>
    </row>
    <row r="236" ht="12.75" customHeight="1">
      <c r="A236" s="1" t="s">
        <v>132</v>
      </c>
      <c r="B236" s="1" t="s">
        <v>5088</v>
      </c>
      <c r="C236" s="1" t="s">
        <v>74</v>
      </c>
      <c r="D236" s="1" t="s">
        <v>74</v>
      </c>
      <c r="E236" s="1" t="s">
        <v>74</v>
      </c>
      <c r="F236" s="1" t="s">
        <v>5089</v>
      </c>
      <c r="G236" s="1" t="s">
        <v>74</v>
      </c>
      <c r="H236" s="1" t="s">
        <v>74</v>
      </c>
      <c r="I236" s="1" t="s">
        <v>5090</v>
      </c>
      <c r="J236" s="1" t="s">
        <v>2455</v>
      </c>
      <c r="K236" s="1" t="s">
        <v>74</v>
      </c>
      <c r="L236" s="1" t="s">
        <v>74</v>
      </c>
      <c r="M236" s="1" t="s">
        <v>80</v>
      </c>
      <c r="N236" s="1" t="s">
        <v>136</v>
      </c>
      <c r="O236" s="1" t="s">
        <v>74</v>
      </c>
      <c r="P236" s="1" t="s">
        <v>74</v>
      </c>
      <c r="Q236" s="1" t="s">
        <v>74</v>
      </c>
      <c r="R236" s="1" t="s">
        <v>74</v>
      </c>
      <c r="S236" s="1" t="s">
        <v>74</v>
      </c>
      <c r="T236" s="1" t="s">
        <v>5091</v>
      </c>
      <c r="U236" s="1" t="s">
        <v>5092</v>
      </c>
      <c r="V236" s="1" t="s">
        <v>5093</v>
      </c>
      <c r="W236" s="1" t="s">
        <v>5094</v>
      </c>
      <c r="X236" s="1" t="s">
        <v>5095</v>
      </c>
      <c r="Y236" s="1" t="s">
        <v>5096</v>
      </c>
      <c r="Z236" s="1" t="s">
        <v>5097</v>
      </c>
      <c r="AA236" s="1" t="s">
        <v>5098</v>
      </c>
      <c r="AB236" s="1" t="s">
        <v>5099</v>
      </c>
      <c r="AC236" s="1" t="s">
        <v>74</v>
      </c>
      <c r="AD236" s="1" t="s">
        <v>74</v>
      </c>
      <c r="AE236" s="1" t="s">
        <v>74</v>
      </c>
      <c r="AF236" s="1" t="s">
        <v>74</v>
      </c>
      <c r="AG236" s="1">
        <v>53.0</v>
      </c>
      <c r="AH236" s="1">
        <v>0.0</v>
      </c>
      <c r="AI236" s="1">
        <v>0.0</v>
      </c>
      <c r="AJ236" s="1">
        <v>4.0</v>
      </c>
      <c r="AK236" s="1">
        <v>4.0</v>
      </c>
      <c r="AL236" s="1" t="s">
        <v>321</v>
      </c>
      <c r="AM236" s="1" t="s">
        <v>322</v>
      </c>
      <c r="AN236" s="1" t="s">
        <v>323</v>
      </c>
      <c r="AO236" s="1" t="s">
        <v>2465</v>
      </c>
      <c r="AP236" s="1" t="s">
        <v>2466</v>
      </c>
      <c r="AQ236" s="1" t="s">
        <v>74</v>
      </c>
      <c r="AR236" s="1" t="s">
        <v>2467</v>
      </c>
      <c r="AS236" s="1" t="s">
        <v>2468</v>
      </c>
      <c r="AT236" s="1" t="s">
        <v>1051</v>
      </c>
      <c r="AU236" s="1">
        <v>2024.0</v>
      </c>
      <c r="AV236" s="1">
        <v>28.0</v>
      </c>
      <c r="AW236" s="1" t="s">
        <v>74</v>
      </c>
      <c r="AX236" s="1" t="s">
        <v>74</v>
      </c>
      <c r="AY236" s="1" t="s">
        <v>74</v>
      </c>
      <c r="AZ236" s="1" t="s">
        <v>74</v>
      </c>
      <c r="BA236" s="1" t="s">
        <v>74</v>
      </c>
      <c r="BB236" s="1" t="s">
        <v>74</v>
      </c>
      <c r="BC236" s="1" t="s">
        <v>74</v>
      </c>
      <c r="BD236" s="1">
        <v>101428.0</v>
      </c>
      <c r="BE236" s="1" t="s">
        <v>5100</v>
      </c>
      <c r="BF236" s="2" t="str">
        <f>HYPERLINK("http://dx.doi.org/10.1016/j.iot.2024.101428","http://dx.doi.org/10.1016/j.iot.2024.101428")</f>
        <v>http://dx.doi.org/10.1016/j.iot.2024.101428</v>
      </c>
      <c r="BG236" s="1" t="s">
        <v>74</v>
      </c>
      <c r="BH236" s="1" t="s">
        <v>499</v>
      </c>
      <c r="BI236" s="1">
        <v>11.0</v>
      </c>
      <c r="BJ236" s="1" t="s">
        <v>1618</v>
      </c>
      <c r="BK236" s="1" t="s">
        <v>149</v>
      </c>
      <c r="BL236" s="1" t="s">
        <v>1619</v>
      </c>
      <c r="BM236" s="1" t="s">
        <v>5101</v>
      </c>
      <c r="BN236" s="1" t="s">
        <v>74</v>
      </c>
      <c r="BO236" s="1" t="s">
        <v>74</v>
      </c>
      <c r="BP236" s="1" t="s">
        <v>74</v>
      </c>
      <c r="BQ236" s="1" t="s">
        <v>74</v>
      </c>
      <c r="BR236" s="1" t="s">
        <v>102</v>
      </c>
      <c r="BS236" s="1" t="s">
        <v>5102</v>
      </c>
      <c r="BT236" s="1" t="str">
        <f>HYPERLINK("https%3A%2F%2Fwww.webofscience.com%2Fwos%2Fwoscc%2Ffull-record%2FWOS:001355831600001","View Full Record in Web of Science")</f>
        <v>View Full Record in Web of Science</v>
      </c>
    </row>
    <row r="237" ht="12.75" customHeight="1">
      <c r="A237" s="1" t="s">
        <v>72</v>
      </c>
      <c r="B237" s="1" t="s">
        <v>5103</v>
      </c>
      <c r="C237" s="1" t="s">
        <v>74</v>
      </c>
      <c r="D237" s="1" t="s">
        <v>362</v>
      </c>
      <c r="E237" s="1" t="s">
        <v>74</v>
      </c>
      <c r="F237" s="1" t="s">
        <v>5104</v>
      </c>
      <c r="G237" s="1" t="s">
        <v>74</v>
      </c>
      <c r="H237" s="1" t="s">
        <v>74</v>
      </c>
      <c r="I237" s="1" t="s">
        <v>5105</v>
      </c>
      <c r="J237" s="1" t="s">
        <v>365</v>
      </c>
      <c r="K237" s="1" t="s">
        <v>74</v>
      </c>
      <c r="L237" s="1" t="s">
        <v>74</v>
      </c>
      <c r="M237" s="1" t="s">
        <v>80</v>
      </c>
      <c r="N237" s="1" t="s">
        <v>81</v>
      </c>
      <c r="O237" s="1" t="s">
        <v>366</v>
      </c>
      <c r="P237" s="1" t="s">
        <v>367</v>
      </c>
      <c r="Q237" s="1" t="s">
        <v>368</v>
      </c>
      <c r="R237" s="1" t="s">
        <v>74</v>
      </c>
      <c r="S237" s="1" t="s">
        <v>369</v>
      </c>
      <c r="T237" s="1" t="s">
        <v>5106</v>
      </c>
      <c r="U237" s="1" t="s">
        <v>74</v>
      </c>
      <c r="V237" s="1" t="s">
        <v>5107</v>
      </c>
      <c r="W237" s="1" t="s">
        <v>5108</v>
      </c>
      <c r="X237" s="1" t="s">
        <v>5109</v>
      </c>
      <c r="Y237" s="1" t="s">
        <v>5110</v>
      </c>
      <c r="Z237" s="1" t="s">
        <v>5111</v>
      </c>
      <c r="AA237" s="1" t="s">
        <v>74</v>
      </c>
      <c r="AB237" s="1" t="s">
        <v>74</v>
      </c>
      <c r="AC237" s="1" t="s">
        <v>74</v>
      </c>
      <c r="AD237" s="1" t="s">
        <v>74</v>
      </c>
      <c r="AE237" s="1" t="s">
        <v>74</v>
      </c>
      <c r="AF237" s="1" t="s">
        <v>74</v>
      </c>
      <c r="AG237" s="1">
        <v>11.0</v>
      </c>
      <c r="AH237" s="1">
        <v>0.0</v>
      </c>
      <c r="AI237" s="1">
        <v>0.0</v>
      </c>
      <c r="AJ237" s="1">
        <v>3.0</v>
      </c>
      <c r="AK237" s="1">
        <v>20.0</v>
      </c>
      <c r="AL237" s="1" t="s">
        <v>122</v>
      </c>
      <c r="AM237" s="1" t="s">
        <v>123</v>
      </c>
      <c r="AN237" s="1" t="s">
        <v>124</v>
      </c>
      <c r="AO237" s="1" t="s">
        <v>74</v>
      </c>
      <c r="AP237" s="1" t="s">
        <v>74</v>
      </c>
      <c r="AQ237" s="1" t="s">
        <v>376</v>
      </c>
      <c r="AR237" s="1" t="s">
        <v>74</v>
      </c>
      <c r="AS237" s="1" t="s">
        <v>74</v>
      </c>
      <c r="AT237" s="1" t="s">
        <v>74</v>
      </c>
      <c r="AU237" s="1">
        <v>2019.0</v>
      </c>
      <c r="AV237" s="1" t="s">
        <v>74</v>
      </c>
      <c r="AW237" s="1" t="s">
        <v>74</v>
      </c>
      <c r="AX237" s="1" t="s">
        <v>74</v>
      </c>
      <c r="AY237" s="1" t="s">
        <v>74</v>
      </c>
      <c r="AZ237" s="1" t="s">
        <v>74</v>
      </c>
      <c r="BA237" s="1" t="s">
        <v>74</v>
      </c>
      <c r="BB237" s="1">
        <v>198.0</v>
      </c>
      <c r="BC237" s="1">
        <v>204.0</v>
      </c>
      <c r="BD237" s="1" t="s">
        <v>74</v>
      </c>
      <c r="BE237" s="1" t="s">
        <v>5112</v>
      </c>
      <c r="BF237" s="2" t="str">
        <f>HYPERLINK("http://dx.doi.org/10.34190/ECIAIR.19.011","http://dx.doi.org/10.34190/ECIAIR.19.011")</f>
        <v>http://dx.doi.org/10.34190/ECIAIR.19.011</v>
      </c>
      <c r="BG237" s="1" t="s">
        <v>74</v>
      </c>
      <c r="BH237" s="1" t="s">
        <v>74</v>
      </c>
      <c r="BI237" s="1">
        <v>7.0</v>
      </c>
      <c r="BJ237" s="1" t="s">
        <v>127</v>
      </c>
      <c r="BK237" s="1" t="s">
        <v>128</v>
      </c>
      <c r="BL237" s="1" t="s">
        <v>129</v>
      </c>
      <c r="BM237" s="1" t="s">
        <v>378</v>
      </c>
      <c r="BN237" s="1" t="s">
        <v>74</v>
      </c>
      <c r="BO237" s="1" t="s">
        <v>74</v>
      </c>
      <c r="BP237" s="1" t="s">
        <v>74</v>
      </c>
      <c r="BQ237" s="1" t="s">
        <v>74</v>
      </c>
      <c r="BR237" s="1" t="s">
        <v>102</v>
      </c>
      <c r="BS237" s="1" t="s">
        <v>5113</v>
      </c>
      <c r="BT237" s="1" t="str">
        <f>HYPERLINK("https%3A%2F%2Fwww.webofscience.com%2Fwos%2Fwoscc%2Ffull-record%2FWOS:000539633500023","View Full Record in Web of Science")</f>
        <v>View Full Record in Web of Science</v>
      </c>
    </row>
    <row r="238" ht="12.75" customHeight="1">
      <c r="A238" s="1" t="s">
        <v>72</v>
      </c>
      <c r="B238" s="1" t="s">
        <v>5114</v>
      </c>
      <c r="C238" s="1" t="s">
        <v>74</v>
      </c>
      <c r="D238" s="1" t="s">
        <v>74</v>
      </c>
      <c r="E238" s="1" t="s">
        <v>296</v>
      </c>
      <c r="F238" s="1" t="s">
        <v>5115</v>
      </c>
      <c r="G238" s="1" t="s">
        <v>74</v>
      </c>
      <c r="H238" s="1" t="s">
        <v>74</v>
      </c>
      <c r="I238" s="1" t="s">
        <v>5116</v>
      </c>
      <c r="J238" s="1" t="s">
        <v>5117</v>
      </c>
      <c r="K238" s="1" t="s">
        <v>74</v>
      </c>
      <c r="L238" s="1" t="s">
        <v>74</v>
      </c>
      <c r="M238" s="1" t="s">
        <v>80</v>
      </c>
      <c r="N238" s="1" t="s">
        <v>81</v>
      </c>
      <c r="O238" s="1" t="s">
        <v>5118</v>
      </c>
      <c r="P238" s="1" t="s">
        <v>5119</v>
      </c>
      <c r="Q238" s="1" t="s">
        <v>5120</v>
      </c>
      <c r="R238" s="1" t="s">
        <v>5121</v>
      </c>
      <c r="S238" s="1" t="s">
        <v>74</v>
      </c>
      <c r="T238" s="1" t="s">
        <v>5122</v>
      </c>
      <c r="U238" s="1" t="s">
        <v>74</v>
      </c>
      <c r="V238" s="1" t="s">
        <v>5123</v>
      </c>
      <c r="W238" s="1" t="s">
        <v>5124</v>
      </c>
      <c r="X238" s="1" t="s">
        <v>5125</v>
      </c>
      <c r="Y238" s="1" t="s">
        <v>5126</v>
      </c>
      <c r="Z238" s="1" t="s">
        <v>5127</v>
      </c>
      <c r="AA238" s="1" t="s">
        <v>74</v>
      </c>
      <c r="AB238" s="1" t="s">
        <v>74</v>
      </c>
      <c r="AC238" s="1" t="s">
        <v>74</v>
      </c>
      <c r="AD238" s="1" t="s">
        <v>74</v>
      </c>
      <c r="AE238" s="1" t="s">
        <v>74</v>
      </c>
      <c r="AF238" s="1" t="s">
        <v>74</v>
      </c>
      <c r="AG238" s="1">
        <v>39.0</v>
      </c>
      <c r="AH238" s="1">
        <v>0.0</v>
      </c>
      <c r="AI238" s="1">
        <v>0.0</v>
      </c>
      <c r="AJ238" s="1">
        <v>2.0</v>
      </c>
      <c r="AK238" s="1">
        <v>2.0</v>
      </c>
      <c r="AL238" s="1" t="s">
        <v>296</v>
      </c>
      <c r="AM238" s="1" t="s">
        <v>297</v>
      </c>
      <c r="AN238" s="1" t="s">
        <v>800</v>
      </c>
      <c r="AO238" s="1" t="s">
        <v>74</v>
      </c>
      <c r="AP238" s="1" t="s">
        <v>74</v>
      </c>
      <c r="AQ238" s="1" t="s">
        <v>5128</v>
      </c>
      <c r="AR238" s="1" t="s">
        <v>74</v>
      </c>
      <c r="AS238" s="1" t="s">
        <v>74</v>
      </c>
      <c r="AT238" s="1" t="s">
        <v>74</v>
      </c>
      <c r="AU238" s="1">
        <v>2024.0</v>
      </c>
      <c r="AV238" s="1" t="s">
        <v>74</v>
      </c>
      <c r="AW238" s="1" t="s">
        <v>74</v>
      </c>
      <c r="AX238" s="1" t="s">
        <v>74</v>
      </c>
      <c r="AY238" s="1" t="s">
        <v>74</v>
      </c>
      <c r="AZ238" s="1" t="s">
        <v>74</v>
      </c>
      <c r="BA238" s="1" t="s">
        <v>74</v>
      </c>
      <c r="BB238" s="1">
        <v>210.0</v>
      </c>
      <c r="BC238" s="1">
        <v>215.0</v>
      </c>
      <c r="BD238" s="1" t="s">
        <v>74</v>
      </c>
      <c r="BE238" s="1" t="s">
        <v>5129</v>
      </c>
      <c r="BF238" s="2" t="str">
        <f>HYPERLINK("http://dx.doi.org/10.1109/CAI59869.2024.00046","http://dx.doi.org/10.1109/CAI59869.2024.00046")</f>
        <v>http://dx.doi.org/10.1109/CAI59869.2024.00046</v>
      </c>
      <c r="BG238" s="1" t="s">
        <v>74</v>
      </c>
      <c r="BH238" s="1" t="s">
        <v>74</v>
      </c>
      <c r="BI238" s="1">
        <v>6.0</v>
      </c>
      <c r="BJ238" s="1" t="s">
        <v>257</v>
      </c>
      <c r="BK238" s="1" t="s">
        <v>128</v>
      </c>
      <c r="BL238" s="1" t="s">
        <v>232</v>
      </c>
      <c r="BM238" s="1" t="s">
        <v>5130</v>
      </c>
      <c r="BN238" s="1" t="s">
        <v>74</v>
      </c>
      <c r="BO238" s="1" t="s">
        <v>74</v>
      </c>
      <c r="BP238" s="1" t="s">
        <v>74</v>
      </c>
      <c r="BQ238" s="1" t="s">
        <v>74</v>
      </c>
      <c r="BR238" s="1" t="s">
        <v>102</v>
      </c>
      <c r="BS238" s="1" t="s">
        <v>5131</v>
      </c>
      <c r="BT238" s="1" t="str">
        <f>HYPERLINK("https%3A%2F%2Fwww.webofscience.com%2Fwos%2Fwoscc%2Ffull-record%2FWOS:001289387700038","View Full Record in Web of Science")</f>
        <v>View Full Record in Web of Science</v>
      </c>
    </row>
    <row r="239" ht="12.75" customHeight="1">
      <c r="A239" s="1" t="s">
        <v>132</v>
      </c>
      <c r="B239" s="1" t="s">
        <v>5132</v>
      </c>
      <c r="C239" s="1" t="s">
        <v>74</v>
      </c>
      <c r="D239" s="1" t="s">
        <v>74</v>
      </c>
      <c r="E239" s="1" t="s">
        <v>74</v>
      </c>
      <c r="F239" s="1" t="s">
        <v>5133</v>
      </c>
      <c r="G239" s="1" t="s">
        <v>74</v>
      </c>
      <c r="H239" s="1" t="s">
        <v>74</v>
      </c>
      <c r="I239" s="1" t="s">
        <v>5134</v>
      </c>
      <c r="J239" s="1" t="s">
        <v>5135</v>
      </c>
      <c r="K239" s="1" t="s">
        <v>74</v>
      </c>
      <c r="L239" s="1" t="s">
        <v>74</v>
      </c>
      <c r="M239" s="1" t="s">
        <v>80</v>
      </c>
      <c r="N239" s="1" t="s">
        <v>1010</v>
      </c>
      <c r="O239" s="1" t="s">
        <v>74</v>
      </c>
      <c r="P239" s="1" t="s">
        <v>74</v>
      </c>
      <c r="Q239" s="1" t="s">
        <v>74</v>
      </c>
      <c r="R239" s="1" t="s">
        <v>74</v>
      </c>
      <c r="S239" s="1" t="s">
        <v>74</v>
      </c>
      <c r="T239" s="1" t="s">
        <v>5136</v>
      </c>
      <c r="U239" s="1" t="s">
        <v>74</v>
      </c>
      <c r="V239" s="1" t="s">
        <v>5137</v>
      </c>
      <c r="W239" s="1" t="s">
        <v>5138</v>
      </c>
      <c r="X239" s="1" t="s">
        <v>5139</v>
      </c>
      <c r="Y239" s="1" t="s">
        <v>5140</v>
      </c>
      <c r="Z239" s="1" t="s">
        <v>74</v>
      </c>
      <c r="AA239" s="1" t="s">
        <v>74</v>
      </c>
      <c r="AB239" s="1" t="s">
        <v>74</v>
      </c>
      <c r="AC239" s="1" t="s">
        <v>74</v>
      </c>
      <c r="AD239" s="1" t="s">
        <v>74</v>
      </c>
      <c r="AE239" s="1" t="s">
        <v>74</v>
      </c>
      <c r="AF239" s="1" t="s">
        <v>74</v>
      </c>
      <c r="AG239" s="1">
        <v>59.0</v>
      </c>
      <c r="AH239" s="1">
        <v>4.0</v>
      </c>
      <c r="AI239" s="1">
        <v>5.0</v>
      </c>
      <c r="AJ239" s="1">
        <v>28.0</v>
      </c>
      <c r="AK239" s="1">
        <v>59.0</v>
      </c>
      <c r="AL239" s="1" t="s">
        <v>5141</v>
      </c>
      <c r="AM239" s="1" t="s">
        <v>5142</v>
      </c>
      <c r="AN239" s="1" t="s">
        <v>5143</v>
      </c>
      <c r="AO239" s="1" t="s">
        <v>5144</v>
      </c>
      <c r="AP239" s="1" t="s">
        <v>5145</v>
      </c>
      <c r="AQ239" s="1" t="s">
        <v>74</v>
      </c>
      <c r="AR239" s="1" t="s">
        <v>5146</v>
      </c>
      <c r="AS239" s="1" t="s">
        <v>5147</v>
      </c>
      <c r="AT239" s="1" t="s">
        <v>1709</v>
      </c>
      <c r="AU239" s="1">
        <v>2023.0</v>
      </c>
      <c r="AV239" s="1">
        <v>14.0</v>
      </c>
      <c r="AW239" s="1">
        <v>9.0</v>
      </c>
      <c r="AX239" s="1" t="s">
        <v>74</v>
      </c>
      <c r="AY239" s="1" t="s">
        <v>74</v>
      </c>
      <c r="AZ239" s="1" t="s">
        <v>74</v>
      </c>
      <c r="BA239" s="1" t="s">
        <v>74</v>
      </c>
      <c r="BB239" s="1">
        <v>366.0</v>
      </c>
      <c r="BC239" s="1">
        <v>376.0</v>
      </c>
      <c r="BD239" s="1" t="s">
        <v>74</v>
      </c>
      <c r="BE239" s="1" t="s">
        <v>74</v>
      </c>
      <c r="BF239" s="1" t="s">
        <v>74</v>
      </c>
      <c r="BG239" s="1" t="s">
        <v>74</v>
      </c>
      <c r="BH239" s="1" t="s">
        <v>74</v>
      </c>
      <c r="BI239" s="1">
        <v>11.0</v>
      </c>
      <c r="BJ239" s="1" t="s">
        <v>2221</v>
      </c>
      <c r="BK239" s="1" t="s">
        <v>172</v>
      </c>
      <c r="BL239" s="1" t="s">
        <v>232</v>
      </c>
      <c r="BM239" s="1" t="s">
        <v>5148</v>
      </c>
      <c r="BN239" s="1" t="s">
        <v>74</v>
      </c>
      <c r="BO239" s="1" t="s">
        <v>74</v>
      </c>
      <c r="BP239" s="1" t="s">
        <v>74</v>
      </c>
      <c r="BQ239" s="1" t="s">
        <v>74</v>
      </c>
      <c r="BR239" s="1" t="s">
        <v>102</v>
      </c>
      <c r="BS239" s="1" t="s">
        <v>5149</v>
      </c>
      <c r="BT239" s="1" t="str">
        <f>HYPERLINK("https%3A%2F%2Fwww.webofscience.com%2Fwos%2Fwoscc%2Ffull-record%2FWOS:001081273100001","View Full Record in Web of Science")</f>
        <v>View Full Record in Web of Science</v>
      </c>
    </row>
    <row r="240" ht="12.75" customHeight="1">
      <c r="A240" s="1" t="s">
        <v>72</v>
      </c>
      <c r="B240" s="1" t="s">
        <v>5150</v>
      </c>
      <c r="C240" s="1" t="s">
        <v>74</v>
      </c>
      <c r="D240" s="1" t="s">
        <v>362</v>
      </c>
      <c r="E240" s="1" t="s">
        <v>74</v>
      </c>
      <c r="F240" s="1" t="s">
        <v>5151</v>
      </c>
      <c r="G240" s="1" t="s">
        <v>74</v>
      </c>
      <c r="H240" s="1" t="s">
        <v>74</v>
      </c>
      <c r="I240" s="1" t="s">
        <v>5152</v>
      </c>
      <c r="J240" s="1" t="s">
        <v>365</v>
      </c>
      <c r="K240" s="1" t="s">
        <v>74</v>
      </c>
      <c r="L240" s="1" t="s">
        <v>74</v>
      </c>
      <c r="M240" s="1" t="s">
        <v>80</v>
      </c>
      <c r="N240" s="1" t="s">
        <v>81</v>
      </c>
      <c r="O240" s="1" t="s">
        <v>366</v>
      </c>
      <c r="P240" s="1" t="s">
        <v>367</v>
      </c>
      <c r="Q240" s="1" t="s">
        <v>368</v>
      </c>
      <c r="R240" s="1" t="s">
        <v>74</v>
      </c>
      <c r="S240" s="1" t="s">
        <v>369</v>
      </c>
      <c r="T240" s="1" t="s">
        <v>5153</v>
      </c>
      <c r="U240" s="1" t="s">
        <v>5154</v>
      </c>
      <c r="V240" s="1" t="s">
        <v>5155</v>
      </c>
      <c r="W240" s="1" t="s">
        <v>5156</v>
      </c>
      <c r="X240" s="1" t="s">
        <v>5157</v>
      </c>
      <c r="Y240" s="1" t="s">
        <v>5158</v>
      </c>
      <c r="Z240" s="1" t="s">
        <v>5159</v>
      </c>
      <c r="AA240" s="1" t="s">
        <v>74</v>
      </c>
      <c r="AB240" s="1" t="s">
        <v>74</v>
      </c>
      <c r="AC240" s="1" t="s">
        <v>74</v>
      </c>
      <c r="AD240" s="1" t="s">
        <v>74</v>
      </c>
      <c r="AE240" s="1" t="s">
        <v>74</v>
      </c>
      <c r="AF240" s="1" t="s">
        <v>74</v>
      </c>
      <c r="AG240" s="1">
        <v>32.0</v>
      </c>
      <c r="AH240" s="1">
        <v>0.0</v>
      </c>
      <c r="AI240" s="1">
        <v>0.0</v>
      </c>
      <c r="AJ240" s="1">
        <v>6.0</v>
      </c>
      <c r="AK240" s="1">
        <v>39.0</v>
      </c>
      <c r="AL240" s="1" t="s">
        <v>122</v>
      </c>
      <c r="AM240" s="1" t="s">
        <v>123</v>
      </c>
      <c r="AN240" s="1" t="s">
        <v>124</v>
      </c>
      <c r="AO240" s="1" t="s">
        <v>74</v>
      </c>
      <c r="AP240" s="1" t="s">
        <v>74</v>
      </c>
      <c r="AQ240" s="1" t="s">
        <v>376</v>
      </c>
      <c r="AR240" s="1" t="s">
        <v>74</v>
      </c>
      <c r="AS240" s="1" t="s">
        <v>74</v>
      </c>
      <c r="AT240" s="1" t="s">
        <v>74</v>
      </c>
      <c r="AU240" s="1">
        <v>2019.0</v>
      </c>
      <c r="AV240" s="1" t="s">
        <v>74</v>
      </c>
      <c r="AW240" s="1" t="s">
        <v>74</v>
      </c>
      <c r="AX240" s="1" t="s">
        <v>74</v>
      </c>
      <c r="AY240" s="1" t="s">
        <v>74</v>
      </c>
      <c r="AZ240" s="1" t="s">
        <v>74</v>
      </c>
      <c r="BA240" s="1" t="s">
        <v>74</v>
      </c>
      <c r="BB240" s="1">
        <v>31.0</v>
      </c>
      <c r="BC240" s="1">
        <v>39.0</v>
      </c>
      <c r="BD240" s="1" t="s">
        <v>74</v>
      </c>
      <c r="BE240" s="1" t="s">
        <v>5160</v>
      </c>
      <c r="BF240" s="2" t="str">
        <f>HYPERLINK("http://dx.doi.org/10.34190/ECIAIR.19.009","http://dx.doi.org/10.34190/ECIAIR.19.009")</f>
        <v>http://dx.doi.org/10.34190/ECIAIR.19.009</v>
      </c>
      <c r="BG240" s="1" t="s">
        <v>74</v>
      </c>
      <c r="BH240" s="1" t="s">
        <v>74</v>
      </c>
      <c r="BI240" s="1">
        <v>9.0</v>
      </c>
      <c r="BJ240" s="1" t="s">
        <v>127</v>
      </c>
      <c r="BK240" s="1" t="s">
        <v>128</v>
      </c>
      <c r="BL240" s="1" t="s">
        <v>129</v>
      </c>
      <c r="BM240" s="1" t="s">
        <v>378</v>
      </c>
      <c r="BN240" s="1" t="s">
        <v>74</v>
      </c>
      <c r="BO240" s="1" t="s">
        <v>74</v>
      </c>
      <c r="BP240" s="1" t="s">
        <v>74</v>
      </c>
      <c r="BQ240" s="1" t="s">
        <v>74</v>
      </c>
      <c r="BR240" s="1" t="s">
        <v>102</v>
      </c>
      <c r="BS240" s="1" t="s">
        <v>5161</v>
      </c>
      <c r="BT240" s="1" t="str">
        <f>HYPERLINK("https%3A%2F%2Fwww.webofscience.com%2Fwos%2Fwoscc%2Ffull-record%2FWOS:000539633500004","View Full Record in Web of Science")</f>
        <v>View Full Record in Web of Science</v>
      </c>
    </row>
    <row r="241" ht="12.75" customHeight="1">
      <c r="A241" s="1" t="s">
        <v>132</v>
      </c>
      <c r="B241" s="1" t="s">
        <v>5162</v>
      </c>
      <c r="C241" s="1" t="s">
        <v>74</v>
      </c>
      <c r="D241" s="1" t="s">
        <v>74</v>
      </c>
      <c r="E241" s="1" t="s">
        <v>74</v>
      </c>
      <c r="F241" s="1" t="s">
        <v>5163</v>
      </c>
      <c r="G241" s="1" t="s">
        <v>74</v>
      </c>
      <c r="H241" s="1" t="s">
        <v>74</v>
      </c>
      <c r="I241" s="1" t="s">
        <v>5164</v>
      </c>
      <c r="J241" s="1" t="s">
        <v>5165</v>
      </c>
      <c r="K241" s="1" t="s">
        <v>74</v>
      </c>
      <c r="L241" s="1" t="s">
        <v>74</v>
      </c>
      <c r="M241" s="1" t="s">
        <v>80</v>
      </c>
      <c r="N241" s="1" t="s">
        <v>136</v>
      </c>
      <c r="O241" s="1" t="s">
        <v>74</v>
      </c>
      <c r="P241" s="1" t="s">
        <v>74</v>
      </c>
      <c r="Q241" s="1" t="s">
        <v>74</v>
      </c>
      <c r="R241" s="1" t="s">
        <v>74</v>
      </c>
      <c r="S241" s="1" t="s">
        <v>74</v>
      </c>
      <c r="T241" s="1" t="s">
        <v>5166</v>
      </c>
      <c r="U241" s="1" t="s">
        <v>5167</v>
      </c>
      <c r="V241" s="1" t="s">
        <v>5168</v>
      </c>
      <c r="W241" s="1" t="s">
        <v>5169</v>
      </c>
      <c r="X241" s="1" t="s">
        <v>5170</v>
      </c>
      <c r="Y241" s="1" t="s">
        <v>5171</v>
      </c>
      <c r="Z241" s="1" t="s">
        <v>5172</v>
      </c>
      <c r="AA241" s="1" t="s">
        <v>5173</v>
      </c>
      <c r="AB241" s="1" t="s">
        <v>5174</v>
      </c>
      <c r="AC241" s="1" t="s">
        <v>5175</v>
      </c>
      <c r="AD241" s="1" t="s">
        <v>5176</v>
      </c>
      <c r="AE241" s="1" t="s">
        <v>5177</v>
      </c>
      <c r="AF241" s="1" t="s">
        <v>74</v>
      </c>
      <c r="AG241" s="1">
        <v>81.0</v>
      </c>
      <c r="AH241" s="1">
        <v>0.0</v>
      </c>
      <c r="AI241" s="1">
        <v>0.0</v>
      </c>
      <c r="AJ241" s="1">
        <v>44.0</v>
      </c>
      <c r="AK241" s="1">
        <v>103.0</v>
      </c>
      <c r="AL241" s="1" t="s">
        <v>192</v>
      </c>
      <c r="AM241" s="1" t="s">
        <v>193</v>
      </c>
      <c r="AN241" s="1" t="s">
        <v>194</v>
      </c>
      <c r="AO241" s="1" t="s">
        <v>5178</v>
      </c>
      <c r="AP241" s="1" t="s">
        <v>5179</v>
      </c>
      <c r="AQ241" s="1" t="s">
        <v>74</v>
      </c>
      <c r="AR241" s="1" t="s">
        <v>5180</v>
      </c>
      <c r="AS241" s="1" t="s">
        <v>5181</v>
      </c>
      <c r="AT241" s="1" t="s">
        <v>1253</v>
      </c>
      <c r="AU241" s="1">
        <v>2024.0</v>
      </c>
      <c r="AV241" s="1">
        <v>72.0</v>
      </c>
      <c r="AW241" s="1">
        <v>2.0</v>
      </c>
      <c r="AX241" s="1" t="s">
        <v>74</v>
      </c>
      <c r="AY241" s="1" t="s">
        <v>74</v>
      </c>
      <c r="AZ241" s="1" t="s">
        <v>74</v>
      </c>
      <c r="BA241" s="1" t="s">
        <v>74</v>
      </c>
      <c r="BB241" s="1">
        <v>997.0</v>
      </c>
      <c r="BC241" s="1">
        <v>1024.0</v>
      </c>
      <c r="BD241" s="1" t="s">
        <v>74</v>
      </c>
      <c r="BE241" s="1" t="s">
        <v>5182</v>
      </c>
      <c r="BF241" s="2" t="str">
        <f>HYPERLINK("http://dx.doi.org/10.1007/s11423-023-10323-z","http://dx.doi.org/10.1007/s11423-023-10323-z")</f>
        <v>http://dx.doi.org/10.1007/s11423-023-10323-z</v>
      </c>
      <c r="BG241" s="1" t="s">
        <v>74</v>
      </c>
      <c r="BH241" s="1" t="s">
        <v>201</v>
      </c>
      <c r="BI241" s="1">
        <v>28.0</v>
      </c>
      <c r="BJ241" s="1" t="s">
        <v>171</v>
      </c>
      <c r="BK241" s="1" t="s">
        <v>203</v>
      </c>
      <c r="BL241" s="1" t="s">
        <v>171</v>
      </c>
      <c r="BM241" s="1" t="s">
        <v>5183</v>
      </c>
      <c r="BN241" s="1" t="s">
        <v>74</v>
      </c>
      <c r="BO241" s="1" t="s">
        <v>74</v>
      </c>
      <c r="BP241" s="1" t="s">
        <v>74</v>
      </c>
      <c r="BQ241" s="1" t="s">
        <v>74</v>
      </c>
      <c r="BR241" s="1" t="s">
        <v>102</v>
      </c>
      <c r="BS241" s="1" t="s">
        <v>5184</v>
      </c>
      <c r="BT241" s="1" t="str">
        <f>HYPERLINK("https%3A%2F%2Fwww.webofscience.com%2Fwos%2Fwoscc%2Ffull-record%2FWOS:001110763000001","View Full Record in Web of Science")</f>
        <v>View Full Record in Web of Science</v>
      </c>
    </row>
    <row r="242" ht="12.75" customHeight="1">
      <c r="A242" s="1" t="s">
        <v>132</v>
      </c>
      <c r="B242" s="1" t="s">
        <v>5185</v>
      </c>
      <c r="C242" s="1" t="s">
        <v>74</v>
      </c>
      <c r="D242" s="1" t="s">
        <v>74</v>
      </c>
      <c r="E242" s="1" t="s">
        <v>74</v>
      </c>
      <c r="F242" s="1" t="s">
        <v>5186</v>
      </c>
      <c r="G242" s="1" t="s">
        <v>74</v>
      </c>
      <c r="H242" s="1" t="s">
        <v>74</v>
      </c>
      <c r="I242" s="1" t="s">
        <v>5187</v>
      </c>
      <c r="J242" s="1" t="s">
        <v>3543</v>
      </c>
      <c r="K242" s="1" t="s">
        <v>74</v>
      </c>
      <c r="L242" s="1" t="s">
        <v>74</v>
      </c>
      <c r="M242" s="1" t="s">
        <v>80</v>
      </c>
      <c r="N242" s="1" t="s">
        <v>136</v>
      </c>
      <c r="O242" s="1" t="s">
        <v>74</v>
      </c>
      <c r="P242" s="1" t="s">
        <v>74</v>
      </c>
      <c r="Q242" s="1" t="s">
        <v>74</v>
      </c>
      <c r="R242" s="1" t="s">
        <v>74</v>
      </c>
      <c r="S242" s="1" t="s">
        <v>74</v>
      </c>
      <c r="T242" s="1" t="s">
        <v>5188</v>
      </c>
      <c r="U242" s="1" t="s">
        <v>5189</v>
      </c>
      <c r="V242" s="1" t="s">
        <v>5190</v>
      </c>
      <c r="W242" s="1" t="s">
        <v>5191</v>
      </c>
      <c r="X242" s="1" t="s">
        <v>5192</v>
      </c>
      <c r="Y242" s="1" t="s">
        <v>5193</v>
      </c>
      <c r="Z242" s="1" t="s">
        <v>5194</v>
      </c>
      <c r="AA242" s="1" t="s">
        <v>5195</v>
      </c>
      <c r="AB242" s="1" t="s">
        <v>5196</v>
      </c>
      <c r="AC242" s="1" t="s">
        <v>74</v>
      </c>
      <c r="AD242" s="1" t="s">
        <v>74</v>
      </c>
      <c r="AE242" s="1" t="s">
        <v>74</v>
      </c>
      <c r="AF242" s="1" t="s">
        <v>74</v>
      </c>
      <c r="AG242" s="1">
        <v>64.0</v>
      </c>
      <c r="AH242" s="1">
        <v>23.0</v>
      </c>
      <c r="AI242" s="1">
        <v>24.0</v>
      </c>
      <c r="AJ242" s="1">
        <v>12.0</v>
      </c>
      <c r="AK242" s="1">
        <v>43.0</v>
      </c>
      <c r="AL242" s="1" t="s">
        <v>3551</v>
      </c>
      <c r="AM242" s="1" t="s">
        <v>193</v>
      </c>
      <c r="AN242" s="1" t="s">
        <v>3552</v>
      </c>
      <c r="AO242" s="1" t="s">
        <v>3553</v>
      </c>
      <c r="AP242" s="1" t="s">
        <v>3554</v>
      </c>
      <c r="AQ242" s="1" t="s">
        <v>74</v>
      </c>
      <c r="AR242" s="1" t="s">
        <v>3555</v>
      </c>
      <c r="AS242" s="1" t="s">
        <v>3556</v>
      </c>
      <c r="AT242" s="1" t="s">
        <v>1364</v>
      </c>
      <c r="AU242" s="1">
        <v>2022.0</v>
      </c>
      <c r="AV242" s="1">
        <v>29.0</v>
      </c>
      <c r="AW242" s="1" t="s">
        <v>74</v>
      </c>
      <c r="AX242" s="1" t="s">
        <v>74</v>
      </c>
      <c r="AY242" s="1">
        <v>5.0</v>
      </c>
      <c r="AZ242" s="1" t="s">
        <v>474</v>
      </c>
      <c r="BA242" s="1" t="s">
        <v>74</v>
      </c>
      <c r="BB242" s="1" t="s">
        <v>5197</v>
      </c>
      <c r="BC242" s="1" t="s">
        <v>5198</v>
      </c>
      <c r="BD242" s="1" t="s">
        <v>74</v>
      </c>
      <c r="BE242" s="1" t="s">
        <v>5199</v>
      </c>
      <c r="BF242" s="2" t="str">
        <f>HYPERLINK("http://dx.doi.org/10.1016/j.acra.2021.03.023","http://dx.doi.org/10.1016/j.acra.2021.03.023")</f>
        <v>http://dx.doi.org/10.1016/j.acra.2021.03.023</v>
      </c>
      <c r="BG242" s="1" t="s">
        <v>74</v>
      </c>
      <c r="BH242" s="1" t="s">
        <v>1366</v>
      </c>
      <c r="BI242" s="1">
        <v>6.0</v>
      </c>
      <c r="BJ242" s="1" t="s">
        <v>656</v>
      </c>
      <c r="BK242" s="1" t="s">
        <v>149</v>
      </c>
      <c r="BL242" s="1" t="s">
        <v>656</v>
      </c>
      <c r="BM242" s="1" t="s">
        <v>5200</v>
      </c>
      <c r="BN242" s="1">
        <v>3.4020872E7</v>
      </c>
      <c r="BO242" s="1" t="s">
        <v>74</v>
      </c>
      <c r="BP242" s="1" t="s">
        <v>74</v>
      </c>
      <c r="BQ242" s="1" t="s">
        <v>74</v>
      </c>
      <c r="BR242" s="1" t="s">
        <v>102</v>
      </c>
      <c r="BS242" s="1" t="s">
        <v>5201</v>
      </c>
      <c r="BT242" s="1" t="str">
        <f>HYPERLINK("https%3A%2F%2Fwww.webofscience.com%2Fwos%2Fwoscc%2Ffull-record%2FWOS:000791820300012","View Full Record in Web of Science")</f>
        <v>View Full Record in Web of Science</v>
      </c>
    </row>
    <row r="243" ht="12.75" customHeight="1">
      <c r="A243" s="1" t="s">
        <v>72</v>
      </c>
      <c r="B243" s="1" t="s">
        <v>5202</v>
      </c>
      <c r="C243" s="1" t="s">
        <v>74</v>
      </c>
      <c r="D243" s="1" t="s">
        <v>5203</v>
      </c>
      <c r="E243" s="1" t="s">
        <v>74</v>
      </c>
      <c r="F243" s="1" t="s">
        <v>5204</v>
      </c>
      <c r="G243" s="1" t="s">
        <v>74</v>
      </c>
      <c r="H243" s="1" t="s">
        <v>74</v>
      </c>
      <c r="I243" s="1" t="s">
        <v>5205</v>
      </c>
      <c r="J243" s="1" t="s">
        <v>5206</v>
      </c>
      <c r="K243" s="1" t="s">
        <v>509</v>
      </c>
      <c r="L243" s="1" t="s">
        <v>74</v>
      </c>
      <c r="M243" s="1" t="s">
        <v>80</v>
      </c>
      <c r="N243" s="1" t="s">
        <v>81</v>
      </c>
      <c r="O243" s="1" t="s">
        <v>5207</v>
      </c>
      <c r="P243" s="1" t="s">
        <v>5208</v>
      </c>
      <c r="Q243" s="1" t="s">
        <v>5209</v>
      </c>
      <c r="R243" s="1" t="s">
        <v>74</v>
      </c>
      <c r="S243" s="1" t="s">
        <v>5210</v>
      </c>
      <c r="T243" s="1" t="s">
        <v>5211</v>
      </c>
      <c r="U243" s="1" t="s">
        <v>5212</v>
      </c>
      <c r="V243" s="1" t="s">
        <v>5213</v>
      </c>
      <c r="W243" s="1" t="s">
        <v>5214</v>
      </c>
      <c r="X243" s="1" t="s">
        <v>5215</v>
      </c>
      <c r="Y243" s="1" t="s">
        <v>5216</v>
      </c>
      <c r="Z243" s="1" t="s">
        <v>5217</v>
      </c>
      <c r="AA243" s="1" t="s">
        <v>5218</v>
      </c>
      <c r="AB243" s="1" t="s">
        <v>5219</v>
      </c>
      <c r="AC243" s="1" t="s">
        <v>74</v>
      </c>
      <c r="AD243" s="1" t="s">
        <v>74</v>
      </c>
      <c r="AE243" s="1" t="s">
        <v>74</v>
      </c>
      <c r="AF243" s="1" t="s">
        <v>74</v>
      </c>
      <c r="AG243" s="1">
        <v>27.0</v>
      </c>
      <c r="AH243" s="1">
        <v>2.0</v>
      </c>
      <c r="AI243" s="1">
        <v>2.0</v>
      </c>
      <c r="AJ243" s="1">
        <v>7.0</v>
      </c>
      <c r="AK243" s="1">
        <v>31.0</v>
      </c>
      <c r="AL243" s="1" t="s">
        <v>223</v>
      </c>
      <c r="AM243" s="1" t="s">
        <v>224</v>
      </c>
      <c r="AN243" s="1" t="s">
        <v>225</v>
      </c>
      <c r="AO243" s="1" t="s">
        <v>522</v>
      </c>
      <c r="AP243" s="1" t="s">
        <v>523</v>
      </c>
      <c r="AQ243" s="1" t="s">
        <v>5220</v>
      </c>
      <c r="AR243" s="1" t="s">
        <v>525</v>
      </c>
      <c r="AS243" s="1" t="s">
        <v>74</v>
      </c>
      <c r="AT243" s="1" t="s">
        <v>74</v>
      </c>
      <c r="AU243" s="1">
        <v>2021.0</v>
      </c>
      <c r="AV243" s="1">
        <v>208.0</v>
      </c>
      <c r="AW243" s="1" t="s">
        <v>74</v>
      </c>
      <c r="AX243" s="1" t="s">
        <v>74</v>
      </c>
      <c r="AY243" s="1" t="s">
        <v>74</v>
      </c>
      <c r="AZ243" s="1" t="s">
        <v>74</v>
      </c>
      <c r="BA243" s="1" t="s">
        <v>74</v>
      </c>
      <c r="BB243" s="1">
        <v>458.0</v>
      </c>
      <c r="BC243" s="1">
        <v>469.0</v>
      </c>
      <c r="BD243" s="1" t="s">
        <v>74</v>
      </c>
      <c r="BE243" s="1" t="s">
        <v>5221</v>
      </c>
      <c r="BF243" s="2" t="str">
        <f>HYPERLINK("http://dx.doi.org/10.1007/978-981-33-4256-9_42","http://dx.doi.org/10.1007/978-981-33-4256-9_42")</f>
        <v>http://dx.doi.org/10.1007/978-981-33-4256-9_42</v>
      </c>
      <c r="BG243" s="1" t="s">
        <v>74</v>
      </c>
      <c r="BH243" s="1" t="s">
        <v>74</v>
      </c>
      <c r="BI243" s="1">
        <v>12.0</v>
      </c>
      <c r="BJ243" s="1" t="s">
        <v>5222</v>
      </c>
      <c r="BK243" s="1" t="s">
        <v>405</v>
      </c>
      <c r="BL243" s="1" t="s">
        <v>5223</v>
      </c>
      <c r="BM243" s="1" t="s">
        <v>5224</v>
      </c>
      <c r="BN243" s="1" t="s">
        <v>74</v>
      </c>
      <c r="BO243" s="1" t="s">
        <v>74</v>
      </c>
      <c r="BP243" s="1" t="s">
        <v>74</v>
      </c>
      <c r="BQ243" s="1" t="s">
        <v>74</v>
      </c>
      <c r="BR243" s="1" t="s">
        <v>102</v>
      </c>
      <c r="BS243" s="1" t="s">
        <v>5225</v>
      </c>
      <c r="BT243" s="1" t="str">
        <f>HYPERLINK("https%3A%2F%2Fwww.webofscience.com%2Fwos%2Fwoscc%2Ffull-record%2FWOS:000759163000042","View Full Record in Web of Science")</f>
        <v>View Full Record in Web of Science</v>
      </c>
    </row>
    <row r="244" ht="12.75" customHeight="1">
      <c r="A244" s="1" t="s">
        <v>132</v>
      </c>
      <c r="B244" s="1" t="s">
        <v>5226</v>
      </c>
      <c r="C244" s="1" t="s">
        <v>74</v>
      </c>
      <c r="D244" s="1" t="s">
        <v>74</v>
      </c>
      <c r="E244" s="1" t="s">
        <v>74</v>
      </c>
      <c r="F244" s="1" t="s">
        <v>5227</v>
      </c>
      <c r="G244" s="1" t="s">
        <v>74</v>
      </c>
      <c r="H244" s="1" t="s">
        <v>74</v>
      </c>
      <c r="I244" s="1" t="s">
        <v>5228</v>
      </c>
      <c r="J244" s="1" t="s">
        <v>1240</v>
      </c>
      <c r="K244" s="1" t="s">
        <v>74</v>
      </c>
      <c r="L244" s="1" t="s">
        <v>74</v>
      </c>
      <c r="M244" s="1" t="s">
        <v>80</v>
      </c>
      <c r="N244" s="1" t="s">
        <v>136</v>
      </c>
      <c r="O244" s="1" t="s">
        <v>74</v>
      </c>
      <c r="P244" s="1" t="s">
        <v>74</v>
      </c>
      <c r="Q244" s="1" t="s">
        <v>74</v>
      </c>
      <c r="R244" s="1" t="s">
        <v>74</v>
      </c>
      <c r="S244" s="1" t="s">
        <v>74</v>
      </c>
      <c r="T244" s="1" t="s">
        <v>5229</v>
      </c>
      <c r="U244" s="1" t="s">
        <v>74</v>
      </c>
      <c r="V244" s="1" t="s">
        <v>5230</v>
      </c>
      <c r="W244" s="1" t="s">
        <v>5231</v>
      </c>
      <c r="X244" s="1" t="s">
        <v>5232</v>
      </c>
      <c r="Y244" s="1" t="s">
        <v>5233</v>
      </c>
      <c r="Z244" s="1" t="s">
        <v>5234</v>
      </c>
      <c r="AA244" s="1" t="s">
        <v>5235</v>
      </c>
      <c r="AB244" s="1" t="s">
        <v>5236</v>
      </c>
      <c r="AC244" s="1" t="s">
        <v>74</v>
      </c>
      <c r="AD244" s="1" t="s">
        <v>74</v>
      </c>
      <c r="AE244" s="1" t="s">
        <v>74</v>
      </c>
      <c r="AF244" s="1" t="s">
        <v>74</v>
      </c>
      <c r="AG244" s="1">
        <v>27.0</v>
      </c>
      <c r="AH244" s="1">
        <v>0.0</v>
      </c>
      <c r="AI244" s="1">
        <v>0.0</v>
      </c>
      <c r="AJ244" s="1">
        <v>25.0</v>
      </c>
      <c r="AK244" s="1">
        <v>30.0</v>
      </c>
      <c r="AL244" s="1" t="s">
        <v>1240</v>
      </c>
      <c r="AM244" s="1" t="s">
        <v>1248</v>
      </c>
      <c r="AN244" s="1" t="s">
        <v>1249</v>
      </c>
      <c r="AO244" s="1" t="s">
        <v>1250</v>
      </c>
      <c r="AP244" s="1" t="s">
        <v>74</v>
      </c>
      <c r="AQ244" s="1" t="s">
        <v>74</v>
      </c>
      <c r="AR244" s="1" t="s">
        <v>1251</v>
      </c>
      <c r="AS244" s="1" t="s">
        <v>1252</v>
      </c>
      <c r="AT244" s="1" t="s">
        <v>1253</v>
      </c>
      <c r="AU244" s="1">
        <v>2024.0</v>
      </c>
      <c r="AV244" s="1" t="s">
        <v>74</v>
      </c>
      <c r="AW244" s="1" t="s">
        <v>74</v>
      </c>
      <c r="AX244" s="1" t="s">
        <v>74</v>
      </c>
      <c r="AY244" s="1" t="s">
        <v>74</v>
      </c>
      <c r="AZ244" s="1" t="s">
        <v>474</v>
      </c>
      <c r="BA244" s="1" t="s">
        <v>74</v>
      </c>
      <c r="BB244" s="1">
        <v>90.0</v>
      </c>
      <c r="BC244" s="1">
        <v>99.0</v>
      </c>
      <c r="BD244" s="1" t="s">
        <v>74</v>
      </c>
      <c r="BE244" s="1" t="s">
        <v>5237</v>
      </c>
      <c r="BF244" s="2" t="str">
        <f>HYPERLINK("http://dx.doi.org/10.24093/awej/ChatGPT.5","http://dx.doi.org/10.24093/awej/ChatGPT.5")</f>
        <v>http://dx.doi.org/10.24093/awej/ChatGPT.5</v>
      </c>
      <c r="BG244" s="1" t="s">
        <v>74</v>
      </c>
      <c r="BH244" s="1" t="s">
        <v>74</v>
      </c>
      <c r="BI244" s="1">
        <v>10.0</v>
      </c>
      <c r="BJ244" s="1" t="s">
        <v>1255</v>
      </c>
      <c r="BK244" s="1" t="s">
        <v>172</v>
      </c>
      <c r="BL244" s="1" t="s">
        <v>1256</v>
      </c>
      <c r="BM244" s="1" t="s">
        <v>1257</v>
      </c>
      <c r="BN244" s="1" t="s">
        <v>74</v>
      </c>
      <c r="BO244" s="1" t="s">
        <v>556</v>
      </c>
      <c r="BP244" s="1" t="s">
        <v>74</v>
      </c>
      <c r="BQ244" s="1" t="s">
        <v>74</v>
      </c>
      <c r="BR244" s="1" t="s">
        <v>102</v>
      </c>
      <c r="BS244" s="1" t="s">
        <v>5238</v>
      </c>
      <c r="BT244" s="1" t="str">
        <f>HYPERLINK("https%3A%2F%2Fwww.webofscience.com%2Fwos%2Fwoscc%2Ffull-record%2FWOS:001245053900006","View Full Record in Web of Science")</f>
        <v>View Full Record in Web of Science</v>
      </c>
    </row>
    <row r="245" ht="12.75" customHeight="1">
      <c r="A245" s="1" t="s">
        <v>132</v>
      </c>
      <c r="B245" s="1" t="s">
        <v>5239</v>
      </c>
      <c r="C245" s="1" t="s">
        <v>74</v>
      </c>
      <c r="D245" s="1" t="s">
        <v>74</v>
      </c>
      <c r="E245" s="1" t="s">
        <v>74</v>
      </c>
      <c r="F245" s="1" t="s">
        <v>5240</v>
      </c>
      <c r="G245" s="1" t="s">
        <v>74</v>
      </c>
      <c r="H245" s="1" t="s">
        <v>74</v>
      </c>
      <c r="I245" s="1" t="s">
        <v>5241</v>
      </c>
      <c r="J245" s="1" t="s">
        <v>5242</v>
      </c>
      <c r="K245" s="1" t="s">
        <v>74</v>
      </c>
      <c r="L245" s="1" t="s">
        <v>74</v>
      </c>
      <c r="M245" s="1" t="s">
        <v>80</v>
      </c>
      <c r="N245" s="1" t="s">
        <v>136</v>
      </c>
      <c r="O245" s="1" t="s">
        <v>74</v>
      </c>
      <c r="P245" s="1" t="s">
        <v>74</v>
      </c>
      <c r="Q245" s="1" t="s">
        <v>74</v>
      </c>
      <c r="R245" s="1" t="s">
        <v>74</v>
      </c>
      <c r="S245" s="1" t="s">
        <v>74</v>
      </c>
      <c r="T245" s="1" t="s">
        <v>5243</v>
      </c>
      <c r="U245" s="1" t="s">
        <v>74</v>
      </c>
      <c r="V245" s="1" t="s">
        <v>5244</v>
      </c>
      <c r="W245" s="1" t="s">
        <v>5245</v>
      </c>
      <c r="X245" s="1" t="s">
        <v>5246</v>
      </c>
      <c r="Y245" s="1" t="s">
        <v>5247</v>
      </c>
      <c r="Z245" s="1" t="s">
        <v>5248</v>
      </c>
      <c r="AA245" s="1" t="s">
        <v>74</v>
      </c>
      <c r="AB245" s="1" t="s">
        <v>5249</v>
      </c>
      <c r="AC245" s="1" t="s">
        <v>74</v>
      </c>
      <c r="AD245" s="1" t="s">
        <v>74</v>
      </c>
      <c r="AE245" s="1" t="s">
        <v>74</v>
      </c>
      <c r="AF245" s="1" t="s">
        <v>74</v>
      </c>
      <c r="AG245" s="1">
        <v>56.0</v>
      </c>
      <c r="AH245" s="1">
        <v>0.0</v>
      </c>
      <c r="AI245" s="1">
        <v>0.0</v>
      </c>
      <c r="AJ245" s="1">
        <v>0.0</v>
      </c>
      <c r="AK245" s="1">
        <v>0.0</v>
      </c>
      <c r="AL245" s="1" t="s">
        <v>5250</v>
      </c>
      <c r="AM245" s="1" t="s">
        <v>1090</v>
      </c>
      <c r="AN245" s="1" t="s">
        <v>5251</v>
      </c>
      <c r="AO245" s="1" t="s">
        <v>5252</v>
      </c>
      <c r="AP245" s="1" t="s">
        <v>74</v>
      </c>
      <c r="AQ245" s="1" t="s">
        <v>74</v>
      </c>
      <c r="AR245" s="1" t="s">
        <v>5253</v>
      </c>
      <c r="AS245" s="1" t="s">
        <v>5254</v>
      </c>
      <c r="AT245" s="1" t="s">
        <v>1253</v>
      </c>
      <c r="AU245" s="1">
        <v>2025.0</v>
      </c>
      <c r="AV245" s="1">
        <v>56.0</v>
      </c>
      <c r="AW245" s="1" t="s">
        <v>74</v>
      </c>
      <c r="AX245" s="1" t="s">
        <v>74</v>
      </c>
      <c r="AY245" s="1" t="s">
        <v>74</v>
      </c>
      <c r="AZ245" s="1" t="s">
        <v>74</v>
      </c>
      <c r="BA245" s="1" t="s">
        <v>74</v>
      </c>
      <c r="BB245" s="1" t="s">
        <v>74</v>
      </c>
      <c r="BC245" s="1" t="s">
        <v>74</v>
      </c>
      <c r="BD245" s="1">
        <v>106101.0</v>
      </c>
      <c r="BE245" s="1" t="s">
        <v>5255</v>
      </c>
      <c r="BF245" s="2" t="str">
        <f>HYPERLINK("http://dx.doi.org/10.1016/j.clsr.2024.106101","http://dx.doi.org/10.1016/j.clsr.2024.106101")</f>
        <v>http://dx.doi.org/10.1016/j.clsr.2024.106101</v>
      </c>
      <c r="BG245" s="1" t="s">
        <v>74</v>
      </c>
      <c r="BH245" s="1" t="s">
        <v>74</v>
      </c>
      <c r="BI245" s="1">
        <v>24.0</v>
      </c>
      <c r="BJ245" s="1" t="s">
        <v>915</v>
      </c>
      <c r="BK245" s="1" t="s">
        <v>203</v>
      </c>
      <c r="BL245" s="1" t="s">
        <v>916</v>
      </c>
      <c r="BM245" s="1" t="s">
        <v>5256</v>
      </c>
      <c r="BN245" s="1" t="s">
        <v>74</v>
      </c>
      <c r="BO245" s="1" t="s">
        <v>74</v>
      </c>
      <c r="BP245" s="1" t="s">
        <v>74</v>
      </c>
      <c r="BQ245" s="1" t="s">
        <v>74</v>
      </c>
      <c r="BR245" s="1" t="s">
        <v>102</v>
      </c>
      <c r="BS245" s="1" t="s">
        <v>5257</v>
      </c>
      <c r="BT245" s="1" t="str">
        <f>HYPERLINK("https%3A%2F%2Fwww.webofscience.com%2Fwos%2Fwoscc%2Ffull-record%2FWOS:001399250000001","View Full Record in Web of Science")</f>
        <v>View Full Record in Web of Science</v>
      </c>
    </row>
    <row r="246" ht="12.75" customHeight="1">
      <c r="A246" s="1" t="s">
        <v>132</v>
      </c>
      <c r="B246" s="1" t="s">
        <v>5258</v>
      </c>
      <c r="C246" s="1" t="s">
        <v>74</v>
      </c>
      <c r="D246" s="1" t="s">
        <v>74</v>
      </c>
      <c r="E246" s="1" t="s">
        <v>74</v>
      </c>
      <c r="F246" s="1" t="s">
        <v>5259</v>
      </c>
      <c r="G246" s="1" t="s">
        <v>74</v>
      </c>
      <c r="H246" s="1" t="s">
        <v>74</v>
      </c>
      <c r="I246" s="1" t="s">
        <v>5260</v>
      </c>
      <c r="J246" s="1" t="s">
        <v>5261</v>
      </c>
      <c r="K246" s="1" t="s">
        <v>74</v>
      </c>
      <c r="L246" s="1" t="s">
        <v>74</v>
      </c>
      <c r="M246" s="1" t="s">
        <v>80</v>
      </c>
      <c r="N246" s="1" t="s">
        <v>136</v>
      </c>
      <c r="O246" s="1" t="s">
        <v>74</v>
      </c>
      <c r="P246" s="1" t="s">
        <v>74</v>
      </c>
      <c r="Q246" s="1" t="s">
        <v>74</v>
      </c>
      <c r="R246" s="1" t="s">
        <v>74</v>
      </c>
      <c r="S246" s="1" t="s">
        <v>74</v>
      </c>
      <c r="T246" s="1" t="s">
        <v>5262</v>
      </c>
      <c r="U246" s="1" t="s">
        <v>5263</v>
      </c>
      <c r="V246" s="1" t="s">
        <v>5264</v>
      </c>
      <c r="W246" s="1" t="s">
        <v>5265</v>
      </c>
      <c r="X246" s="1" t="s">
        <v>5266</v>
      </c>
      <c r="Y246" s="1" t="s">
        <v>5267</v>
      </c>
      <c r="Z246" s="1" t="s">
        <v>5268</v>
      </c>
      <c r="AA246" s="1" t="s">
        <v>5269</v>
      </c>
      <c r="AB246" s="1" t="s">
        <v>74</v>
      </c>
      <c r="AC246" s="1" t="s">
        <v>5270</v>
      </c>
      <c r="AD246" s="1" t="s">
        <v>5271</v>
      </c>
      <c r="AE246" s="1" t="s">
        <v>5272</v>
      </c>
      <c r="AF246" s="1" t="s">
        <v>74</v>
      </c>
      <c r="AG246" s="1">
        <v>43.0</v>
      </c>
      <c r="AH246" s="1">
        <v>3.0</v>
      </c>
      <c r="AI246" s="1">
        <v>5.0</v>
      </c>
      <c r="AJ246" s="1">
        <v>6.0</v>
      </c>
      <c r="AK246" s="1">
        <v>13.0</v>
      </c>
      <c r="AL246" s="1" t="s">
        <v>1020</v>
      </c>
      <c r="AM246" s="1" t="s">
        <v>1021</v>
      </c>
      <c r="AN246" s="1" t="s">
        <v>1022</v>
      </c>
      <c r="AO246" s="1" t="s">
        <v>5273</v>
      </c>
      <c r="AP246" s="1" t="s">
        <v>5274</v>
      </c>
      <c r="AQ246" s="1" t="s">
        <v>74</v>
      </c>
      <c r="AR246" s="1" t="s">
        <v>5275</v>
      </c>
      <c r="AS246" s="1" t="s">
        <v>5276</v>
      </c>
      <c r="AT246" s="1" t="s">
        <v>1051</v>
      </c>
      <c r="AU246" s="1">
        <v>2023.0</v>
      </c>
      <c r="AV246" s="1">
        <v>36.0</v>
      </c>
      <c r="AW246" s="1">
        <v>6.0</v>
      </c>
      <c r="AX246" s="1" t="s">
        <v>74</v>
      </c>
      <c r="AY246" s="1" t="s">
        <v>74</v>
      </c>
      <c r="AZ246" s="1" t="s">
        <v>74</v>
      </c>
      <c r="BA246" s="1" t="s">
        <v>74</v>
      </c>
      <c r="BB246" s="1">
        <v>691.0</v>
      </c>
      <c r="BC246" s="1">
        <v>697.0</v>
      </c>
      <c r="BD246" s="1" t="s">
        <v>74</v>
      </c>
      <c r="BE246" s="1" t="s">
        <v>5277</v>
      </c>
      <c r="BF246" s="2" t="str">
        <f>HYPERLINK("http://dx.doi.org/10.1097/ACO.0000000000001318","http://dx.doi.org/10.1097/ACO.0000000000001318")</f>
        <v>http://dx.doi.org/10.1097/ACO.0000000000001318</v>
      </c>
      <c r="BG246" s="1" t="s">
        <v>74</v>
      </c>
      <c r="BH246" s="1" t="s">
        <v>74</v>
      </c>
      <c r="BI246" s="1">
        <v>7.0</v>
      </c>
      <c r="BJ246" s="1" t="s">
        <v>5278</v>
      </c>
      <c r="BK246" s="1" t="s">
        <v>149</v>
      </c>
      <c r="BL246" s="1" t="s">
        <v>5278</v>
      </c>
      <c r="BM246" s="1" t="s">
        <v>5279</v>
      </c>
      <c r="BN246" s="1">
        <v>3.7865848E7</v>
      </c>
      <c r="BO246" s="1" t="s">
        <v>74</v>
      </c>
      <c r="BP246" s="1" t="s">
        <v>74</v>
      </c>
      <c r="BQ246" s="1" t="s">
        <v>74</v>
      </c>
      <c r="BR246" s="1" t="s">
        <v>102</v>
      </c>
      <c r="BS246" s="1" t="s">
        <v>5280</v>
      </c>
      <c r="BT246" s="1" t="str">
        <f>HYPERLINK("https%3A%2F%2Fwww.webofscience.com%2Fwos%2Fwoscc%2Ffull-record%2FWOS:001150669500010","View Full Record in Web of Science")</f>
        <v>View Full Record in Web of Science</v>
      </c>
    </row>
    <row r="247" ht="12.75" customHeight="1">
      <c r="A247" s="1" t="s">
        <v>132</v>
      </c>
      <c r="B247" s="1" t="s">
        <v>5281</v>
      </c>
      <c r="C247" s="1" t="s">
        <v>74</v>
      </c>
      <c r="D247" s="1" t="s">
        <v>74</v>
      </c>
      <c r="E247" s="1" t="s">
        <v>74</v>
      </c>
      <c r="F247" s="1" t="s">
        <v>5282</v>
      </c>
      <c r="G247" s="1" t="s">
        <v>74</v>
      </c>
      <c r="H247" s="1" t="s">
        <v>74</v>
      </c>
      <c r="I247" s="1" t="s">
        <v>5283</v>
      </c>
      <c r="J247" s="1" t="s">
        <v>5284</v>
      </c>
      <c r="K247" s="1" t="s">
        <v>74</v>
      </c>
      <c r="L247" s="1" t="s">
        <v>74</v>
      </c>
      <c r="M247" s="1" t="s">
        <v>80</v>
      </c>
      <c r="N247" s="1" t="s">
        <v>136</v>
      </c>
      <c r="O247" s="1" t="s">
        <v>74</v>
      </c>
      <c r="P247" s="1" t="s">
        <v>74</v>
      </c>
      <c r="Q247" s="1" t="s">
        <v>74</v>
      </c>
      <c r="R247" s="1" t="s">
        <v>74</v>
      </c>
      <c r="S247" s="1" t="s">
        <v>74</v>
      </c>
      <c r="T247" s="1" t="s">
        <v>5285</v>
      </c>
      <c r="U247" s="1" t="s">
        <v>5286</v>
      </c>
      <c r="V247" s="1" t="s">
        <v>5287</v>
      </c>
      <c r="W247" s="1" t="s">
        <v>5288</v>
      </c>
      <c r="X247" s="1" t="s">
        <v>5289</v>
      </c>
      <c r="Y247" s="1" t="s">
        <v>5290</v>
      </c>
      <c r="Z247" s="1" t="s">
        <v>5291</v>
      </c>
      <c r="AA247" s="1" t="s">
        <v>5292</v>
      </c>
      <c r="AB247" s="1" t="s">
        <v>5293</v>
      </c>
      <c r="AC247" s="1" t="s">
        <v>74</v>
      </c>
      <c r="AD247" s="1" t="s">
        <v>74</v>
      </c>
      <c r="AE247" s="1" t="s">
        <v>74</v>
      </c>
      <c r="AF247" s="1" t="s">
        <v>74</v>
      </c>
      <c r="AG247" s="1">
        <v>32.0</v>
      </c>
      <c r="AH247" s="1">
        <v>10.0</v>
      </c>
      <c r="AI247" s="1">
        <v>11.0</v>
      </c>
      <c r="AJ247" s="1">
        <v>0.0</v>
      </c>
      <c r="AK247" s="1">
        <v>5.0</v>
      </c>
      <c r="AL247" s="1" t="s">
        <v>2745</v>
      </c>
      <c r="AM247" s="1" t="s">
        <v>1090</v>
      </c>
      <c r="AN247" s="1" t="s">
        <v>2903</v>
      </c>
      <c r="AO247" s="1" t="s">
        <v>5294</v>
      </c>
      <c r="AP247" s="1" t="s">
        <v>5295</v>
      </c>
      <c r="AQ247" s="1" t="s">
        <v>74</v>
      </c>
      <c r="AR247" s="1" t="s">
        <v>5296</v>
      </c>
      <c r="AS247" s="1" t="s">
        <v>5297</v>
      </c>
      <c r="AT247" s="1" t="s">
        <v>5298</v>
      </c>
      <c r="AU247" s="1">
        <v>2021.0</v>
      </c>
      <c r="AV247" s="1" t="s">
        <v>5299</v>
      </c>
      <c r="AW247" s="1" t="s">
        <v>74</v>
      </c>
      <c r="AX247" s="1" t="s">
        <v>74</v>
      </c>
      <c r="AY247" s="1" t="s">
        <v>74</v>
      </c>
      <c r="AZ247" s="1" t="s">
        <v>74</v>
      </c>
      <c r="BA247" s="1" t="s">
        <v>74</v>
      </c>
      <c r="BB247" s="1" t="s">
        <v>74</v>
      </c>
      <c r="BC247" s="1" t="s">
        <v>74</v>
      </c>
      <c r="BD247" s="1">
        <v>101713.0</v>
      </c>
      <c r="BE247" s="1" t="s">
        <v>5300</v>
      </c>
      <c r="BF247" s="2" t="str">
        <f>HYPERLINK("http://dx.doi.org/10.1016/j.bpg.2020.101713","http://dx.doi.org/10.1016/j.bpg.2020.101713")</f>
        <v>http://dx.doi.org/10.1016/j.bpg.2020.101713</v>
      </c>
      <c r="BG247" s="1" t="s">
        <v>74</v>
      </c>
      <c r="BH247" s="1" t="s">
        <v>3899</v>
      </c>
      <c r="BI247" s="1">
        <v>7.0</v>
      </c>
      <c r="BJ247" s="1" t="s">
        <v>1282</v>
      </c>
      <c r="BK247" s="1" t="s">
        <v>149</v>
      </c>
      <c r="BL247" s="1" t="s">
        <v>1282</v>
      </c>
      <c r="BM247" s="1" t="s">
        <v>5301</v>
      </c>
      <c r="BN247" s="1">
        <v>3.4172246E7</v>
      </c>
      <c r="BO247" s="1" t="s">
        <v>74</v>
      </c>
      <c r="BP247" s="1" t="s">
        <v>74</v>
      </c>
      <c r="BQ247" s="1" t="s">
        <v>74</v>
      </c>
      <c r="BR247" s="1" t="s">
        <v>102</v>
      </c>
      <c r="BS247" s="1" t="s">
        <v>5302</v>
      </c>
      <c r="BT247" s="1" t="str">
        <f>HYPERLINK("https%3A%2F%2Fwww.webofscience.com%2Fwos%2Fwoscc%2Ffull-record%2FWOS:000664928200004","View Full Record in Web of Science")</f>
        <v>View Full Record in Web of Science</v>
      </c>
    </row>
    <row r="248" ht="12.75" customHeight="1">
      <c r="A248" s="1" t="s">
        <v>132</v>
      </c>
      <c r="B248" s="1" t="s">
        <v>5303</v>
      </c>
      <c r="C248" s="1" t="s">
        <v>74</v>
      </c>
      <c r="D248" s="1" t="s">
        <v>74</v>
      </c>
      <c r="E248" s="1" t="s">
        <v>74</v>
      </c>
      <c r="F248" s="1" t="s">
        <v>5304</v>
      </c>
      <c r="G248" s="1" t="s">
        <v>74</v>
      </c>
      <c r="H248" s="1" t="s">
        <v>74</v>
      </c>
      <c r="I248" s="1" t="s">
        <v>5305</v>
      </c>
      <c r="J248" s="1" t="s">
        <v>5306</v>
      </c>
      <c r="K248" s="1" t="s">
        <v>74</v>
      </c>
      <c r="L248" s="1" t="s">
        <v>74</v>
      </c>
      <c r="M248" s="1" t="s">
        <v>80</v>
      </c>
      <c r="N248" s="1" t="s">
        <v>1010</v>
      </c>
      <c r="O248" s="1" t="s">
        <v>74</v>
      </c>
      <c r="P248" s="1" t="s">
        <v>74</v>
      </c>
      <c r="Q248" s="1" t="s">
        <v>74</v>
      </c>
      <c r="R248" s="1" t="s">
        <v>74</v>
      </c>
      <c r="S248" s="1" t="s">
        <v>74</v>
      </c>
      <c r="T248" s="1" t="s">
        <v>5307</v>
      </c>
      <c r="U248" s="1" t="s">
        <v>5308</v>
      </c>
      <c r="V248" s="1" t="s">
        <v>5309</v>
      </c>
      <c r="W248" s="1" t="s">
        <v>5310</v>
      </c>
      <c r="X248" s="1" t="s">
        <v>5311</v>
      </c>
      <c r="Y248" s="1" t="s">
        <v>5312</v>
      </c>
      <c r="Z248" s="1" t="s">
        <v>5313</v>
      </c>
      <c r="AA248" s="1" t="s">
        <v>74</v>
      </c>
      <c r="AB248" s="1" t="s">
        <v>74</v>
      </c>
      <c r="AC248" s="1" t="s">
        <v>74</v>
      </c>
      <c r="AD248" s="1" t="s">
        <v>74</v>
      </c>
      <c r="AE248" s="1" t="s">
        <v>74</v>
      </c>
      <c r="AF248" s="1" t="s">
        <v>74</v>
      </c>
      <c r="AG248" s="1">
        <v>47.0</v>
      </c>
      <c r="AH248" s="1">
        <v>2.0</v>
      </c>
      <c r="AI248" s="1">
        <v>2.0</v>
      </c>
      <c r="AJ248" s="1">
        <v>11.0</v>
      </c>
      <c r="AK248" s="1">
        <v>24.0</v>
      </c>
      <c r="AL248" s="1" t="s">
        <v>5314</v>
      </c>
      <c r="AM248" s="1" t="s">
        <v>822</v>
      </c>
      <c r="AN248" s="1" t="s">
        <v>5315</v>
      </c>
      <c r="AO248" s="1" t="s">
        <v>5316</v>
      </c>
      <c r="AP248" s="1" t="s">
        <v>5317</v>
      </c>
      <c r="AQ248" s="1" t="s">
        <v>74</v>
      </c>
      <c r="AR248" s="1" t="s">
        <v>5318</v>
      </c>
      <c r="AS248" s="1" t="s">
        <v>5319</v>
      </c>
      <c r="AT248" s="1" t="s">
        <v>4547</v>
      </c>
      <c r="AU248" s="1">
        <v>2023.0</v>
      </c>
      <c r="AV248" s="1">
        <v>36.0</v>
      </c>
      <c r="AW248" s="1">
        <v>10.0</v>
      </c>
      <c r="AX248" s="1" t="s">
        <v>74</v>
      </c>
      <c r="AY248" s="1" t="s">
        <v>74</v>
      </c>
      <c r="AZ248" s="1" t="s">
        <v>74</v>
      </c>
      <c r="BA248" s="1" t="s">
        <v>74</v>
      </c>
      <c r="BB248" s="1">
        <v>903.0</v>
      </c>
      <c r="BC248" s="1">
        <v>908.0</v>
      </c>
      <c r="BD248" s="1" t="s">
        <v>74</v>
      </c>
      <c r="BE248" s="1" t="s">
        <v>5320</v>
      </c>
      <c r="BF248" s="2" t="str">
        <f>HYPERLINK("http://dx.doi.org/10.1515/jpem-2023-0287","http://dx.doi.org/10.1515/jpem-2023-0287")</f>
        <v>http://dx.doi.org/10.1515/jpem-2023-0287</v>
      </c>
      <c r="BG248" s="1" t="s">
        <v>74</v>
      </c>
      <c r="BH248" s="1" t="s">
        <v>5321</v>
      </c>
      <c r="BI248" s="1">
        <v>6.0</v>
      </c>
      <c r="BJ248" s="1" t="s">
        <v>5322</v>
      </c>
      <c r="BK248" s="1" t="s">
        <v>149</v>
      </c>
      <c r="BL248" s="1" t="s">
        <v>5322</v>
      </c>
      <c r="BM248" s="1" t="s">
        <v>5323</v>
      </c>
      <c r="BN248" s="1">
        <v>3.7589444E7</v>
      </c>
      <c r="BO248" s="1" t="s">
        <v>306</v>
      </c>
      <c r="BP248" s="1" t="s">
        <v>74</v>
      </c>
      <c r="BQ248" s="1" t="s">
        <v>74</v>
      </c>
      <c r="BR248" s="1" t="s">
        <v>102</v>
      </c>
      <c r="BS248" s="1" t="s">
        <v>5324</v>
      </c>
      <c r="BT248" s="1" t="str">
        <f>HYPERLINK("https%3A%2F%2Fwww.webofscience.com%2Fwos%2Fwoscc%2Ffull-record%2FWOS:001050267700001","View Full Record in Web of Science")</f>
        <v>View Full Record in Web of Science</v>
      </c>
    </row>
    <row r="249" ht="12.75" customHeight="1">
      <c r="A249" s="1" t="s">
        <v>132</v>
      </c>
      <c r="B249" s="1" t="s">
        <v>5325</v>
      </c>
      <c r="C249" s="1" t="s">
        <v>74</v>
      </c>
      <c r="D249" s="1" t="s">
        <v>74</v>
      </c>
      <c r="E249" s="1" t="s">
        <v>74</v>
      </c>
      <c r="F249" s="1" t="s">
        <v>5326</v>
      </c>
      <c r="G249" s="1" t="s">
        <v>74</v>
      </c>
      <c r="H249" s="1" t="s">
        <v>74</v>
      </c>
      <c r="I249" s="1" t="s">
        <v>5327</v>
      </c>
      <c r="J249" s="1" t="s">
        <v>5328</v>
      </c>
      <c r="K249" s="1" t="s">
        <v>74</v>
      </c>
      <c r="L249" s="1" t="s">
        <v>74</v>
      </c>
      <c r="M249" s="1" t="s">
        <v>80</v>
      </c>
      <c r="N249" s="1" t="s">
        <v>136</v>
      </c>
      <c r="O249" s="1" t="s">
        <v>74</v>
      </c>
      <c r="P249" s="1" t="s">
        <v>74</v>
      </c>
      <c r="Q249" s="1" t="s">
        <v>74</v>
      </c>
      <c r="R249" s="1" t="s">
        <v>74</v>
      </c>
      <c r="S249" s="1" t="s">
        <v>74</v>
      </c>
      <c r="T249" s="1" t="s">
        <v>5329</v>
      </c>
      <c r="U249" s="1" t="s">
        <v>5330</v>
      </c>
      <c r="V249" s="1" t="s">
        <v>5331</v>
      </c>
      <c r="W249" s="1" t="s">
        <v>5332</v>
      </c>
      <c r="X249" s="1" t="s">
        <v>5333</v>
      </c>
      <c r="Y249" s="1" t="s">
        <v>5334</v>
      </c>
      <c r="Z249" s="1" t="s">
        <v>5335</v>
      </c>
      <c r="AA249" s="1" t="s">
        <v>5336</v>
      </c>
      <c r="AB249" s="1" t="s">
        <v>5337</v>
      </c>
      <c r="AC249" s="1" t="s">
        <v>74</v>
      </c>
      <c r="AD249" s="1" t="s">
        <v>74</v>
      </c>
      <c r="AE249" s="1" t="s">
        <v>74</v>
      </c>
      <c r="AF249" s="1" t="s">
        <v>74</v>
      </c>
      <c r="AG249" s="1">
        <v>44.0</v>
      </c>
      <c r="AH249" s="1">
        <v>18.0</v>
      </c>
      <c r="AI249" s="1">
        <v>19.0</v>
      </c>
      <c r="AJ249" s="1">
        <v>18.0</v>
      </c>
      <c r="AK249" s="1">
        <v>91.0</v>
      </c>
      <c r="AL249" s="1" t="s">
        <v>348</v>
      </c>
      <c r="AM249" s="1" t="s">
        <v>349</v>
      </c>
      <c r="AN249" s="1" t="s">
        <v>350</v>
      </c>
      <c r="AO249" s="1" t="s">
        <v>5338</v>
      </c>
      <c r="AP249" s="1" t="s">
        <v>74</v>
      </c>
      <c r="AQ249" s="1" t="s">
        <v>74</v>
      </c>
      <c r="AR249" s="1" t="s">
        <v>5339</v>
      </c>
      <c r="AS249" s="1" t="s">
        <v>5340</v>
      </c>
      <c r="AT249" s="1" t="s">
        <v>1301</v>
      </c>
      <c r="AU249" s="1">
        <v>2022.0</v>
      </c>
      <c r="AV249" s="1">
        <v>8.0</v>
      </c>
      <c r="AW249" s="1" t="s">
        <v>74</v>
      </c>
      <c r="AX249" s="1" t="s">
        <v>74</v>
      </c>
      <c r="AY249" s="1" t="s">
        <v>74</v>
      </c>
      <c r="AZ249" s="1" t="s">
        <v>74</v>
      </c>
      <c r="BA249" s="1" t="s">
        <v>74</v>
      </c>
      <c r="BB249" s="1" t="s">
        <v>74</v>
      </c>
      <c r="BC249" s="1" t="s">
        <v>74</v>
      </c>
      <c r="BD249" s="1">
        <v>2.055207622107811E16</v>
      </c>
      <c r="BE249" s="1" t="s">
        <v>5341</v>
      </c>
      <c r="BF249" s="2" t="str">
        <f>HYPERLINK("http://dx.doi.org/10.1177/20552076221078110","http://dx.doi.org/10.1177/20552076221078110")</f>
        <v>http://dx.doi.org/10.1177/20552076221078110</v>
      </c>
      <c r="BG249" s="1" t="s">
        <v>74</v>
      </c>
      <c r="BH249" s="1" t="s">
        <v>74</v>
      </c>
      <c r="BI249" s="1">
        <v>8.0</v>
      </c>
      <c r="BJ249" s="1" t="s">
        <v>5342</v>
      </c>
      <c r="BK249" s="1" t="s">
        <v>783</v>
      </c>
      <c r="BL249" s="1" t="s">
        <v>2623</v>
      </c>
      <c r="BM249" s="1" t="s">
        <v>5343</v>
      </c>
      <c r="BN249" s="1">
        <v>3.5154807E7</v>
      </c>
      <c r="BO249" s="1" t="s">
        <v>1161</v>
      </c>
      <c r="BP249" s="1" t="s">
        <v>74</v>
      </c>
      <c r="BQ249" s="1" t="s">
        <v>74</v>
      </c>
      <c r="BR249" s="1" t="s">
        <v>102</v>
      </c>
      <c r="BS249" s="1" t="s">
        <v>5344</v>
      </c>
      <c r="BT249" s="1" t="str">
        <f>HYPERLINK("https%3A%2F%2Fwww.webofscience.com%2Fwos%2Fwoscc%2Ffull-record%2FWOS:000758212900001","View Full Record in Web of Science")</f>
        <v>View Full Record in Web of Science</v>
      </c>
    </row>
    <row r="250" ht="12.75" customHeight="1">
      <c r="A250" s="1" t="s">
        <v>132</v>
      </c>
      <c r="B250" s="1" t="s">
        <v>5345</v>
      </c>
      <c r="C250" s="1" t="s">
        <v>74</v>
      </c>
      <c r="D250" s="1" t="s">
        <v>74</v>
      </c>
      <c r="E250" s="1" t="s">
        <v>74</v>
      </c>
      <c r="F250" s="1" t="s">
        <v>5346</v>
      </c>
      <c r="G250" s="1" t="s">
        <v>74</v>
      </c>
      <c r="H250" s="1" t="s">
        <v>74</v>
      </c>
      <c r="I250" s="1" t="s">
        <v>5347</v>
      </c>
      <c r="J250" s="1" t="s">
        <v>5348</v>
      </c>
      <c r="K250" s="1" t="s">
        <v>74</v>
      </c>
      <c r="L250" s="1" t="s">
        <v>74</v>
      </c>
      <c r="M250" s="1" t="s">
        <v>80</v>
      </c>
      <c r="N250" s="1" t="s">
        <v>136</v>
      </c>
      <c r="O250" s="1" t="s">
        <v>74</v>
      </c>
      <c r="P250" s="1" t="s">
        <v>74</v>
      </c>
      <c r="Q250" s="1" t="s">
        <v>74</v>
      </c>
      <c r="R250" s="1" t="s">
        <v>74</v>
      </c>
      <c r="S250" s="1" t="s">
        <v>74</v>
      </c>
      <c r="T250" s="1" t="s">
        <v>5349</v>
      </c>
      <c r="U250" s="1" t="s">
        <v>5350</v>
      </c>
      <c r="V250" s="1" t="s">
        <v>5351</v>
      </c>
      <c r="W250" s="1" t="s">
        <v>5352</v>
      </c>
      <c r="X250" s="1" t="s">
        <v>5353</v>
      </c>
      <c r="Y250" s="1" t="s">
        <v>5354</v>
      </c>
      <c r="Z250" s="1" t="s">
        <v>5355</v>
      </c>
      <c r="AA250" s="1" t="s">
        <v>74</v>
      </c>
      <c r="AB250" s="1" t="s">
        <v>74</v>
      </c>
      <c r="AC250" s="1" t="s">
        <v>5356</v>
      </c>
      <c r="AD250" s="1" t="s">
        <v>5357</v>
      </c>
      <c r="AE250" s="1" t="s">
        <v>5358</v>
      </c>
      <c r="AF250" s="1" t="s">
        <v>74</v>
      </c>
      <c r="AG250" s="1">
        <v>103.0</v>
      </c>
      <c r="AH250" s="1">
        <v>0.0</v>
      </c>
      <c r="AI250" s="1">
        <v>0.0</v>
      </c>
      <c r="AJ250" s="1">
        <v>69.0</v>
      </c>
      <c r="AK250" s="1">
        <v>77.0</v>
      </c>
      <c r="AL250" s="1" t="s">
        <v>3551</v>
      </c>
      <c r="AM250" s="1" t="s">
        <v>193</v>
      </c>
      <c r="AN250" s="1" t="s">
        <v>3552</v>
      </c>
      <c r="AO250" s="1" t="s">
        <v>5359</v>
      </c>
      <c r="AP250" s="1" t="s">
        <v>5360</v>
      </c>
      <c r="AQ250" s="1" t="s">
        <v>74</v>
      </c>
      <c r="AR250" s="1" t="s">
        <v>5361</v>
      </c>
      <c r="AS250" s="1" t="s">
        <v>5362</v>
      </c>
      <c r="AT250" s="1" t="s">
        <v>2469</v>
      </c>
      <c r="AU250" s="1">
        <v>2024.0</v>
      </c>
      <c r="AV250" s="1">
        <v>95.0</v>
      </c>
      <c r="AW250" s="1" t="s">
        <v>74</v>
      </c>
      <c r="AX250" s="1" t="s">
        <v>3347</v>
      </c>
      <c r="AY250" s="1" t="s">
        <v>74</v>
      </c>
      <c r="AZ250" s="1" t="s">
        <v>74</v>
      </c>
      <c r="BA250" s="1" t="s">
        <v>74</v>
      </c>
      <c r="BB250" s="1" t="s">
        <v>74</v>
      </c>
      <c r="BC250" s="1" t="s">
        <v>74</v>
      </c>
      <c r="BD250" s="1">
        <v>103403.0</v>
      </c>
      <c r="BE250" s="1" t="s">
        <v>5363</v>
      </c>
      <c r="BF250" s="2" t="str">
        <f>HYPERLINK("http://dx.doi.org/10.1016/j.irfa.2024.103403","http://dx.doi.org/10.1016/j.irfa.2024.103403")</f>
        <v>http://dx.doi.org/10.1016/j.irfa.2024.103403</v>
      </c>
      <c r="BG250" s="1" t="s">
        <v>74</v>
      </c>
      <c r="BH250" s="1" t="s">
        <v>5364</v>
      </c>
      <c r="BI250" s="1">
        <v>12.0</v>
      </c>
      <c r="BJ250" s="1" t="s">
        <v>3350</v>
      </c>
      <c r="BK250" s="1" t="s">
        <v>203</v>
      </c>
      <c r="BL250" s="1" t="s">
        <v>204</v>
      </c>
      <c r="BM250" s="1" t="s">
        <v>5365</v>
      </c>
      <c r="BN250" s="1" t="s">
        <v>74</v>
      </c>
      <c r="BO250" s="1" t="s">
        <v>74</v>
      </c>
      <c r="BP250" s="1" t="s">
        <v>74</v>
      </c>
      <c r="BQ250" s="1" t="s">
        <v>74</v>
      </c>
      <c r="BR250" s="1" t="s">
        <v>102</v>
      </c>
      <c r="BS250" s="1" t="s">
        <v>5366</v>
      </c>
      <c r="BT250" s="1" t="str">
        <f>HYPERLINK("https%3A%2F%2Fwww.webofscience.com%2Fwos%2Fwoscc%2Ffull-record%2FWOS:001260415800001","View Full Record in Web of Science")</f>
        <v>View Full Record in Web of Science</v>
      </c>
    </row>
    <row r="251" ht="12.75" customHeight="1">
      <c r="A251" s="1" t="s">
        <v>132</v>
      </c>
      <c r="B251" s="1" t="s">
        <v>5367</v>
      </c>
      <c r="C251" s="1" t="s">
        <v>74</v>
      </c>
      <c r="D251" s="1" t="s">
        <v>74</v>
      </c>
      <c r="E251" s="1" t="s">
        <v>74</v>
      </c>
      <c r="F251" s="1" t="s">
        <v>5368</v>
      </c>
      <c r="G251" s="1" t="s">
        <v>74</v>
      </c>
      <c r="H251" s="1" t="s">
        <v>74</v>
      </c>
      <c r="I251" s="1" t="s">
        <v>5369</v>
      </c>
      <c r="J251" s="1" t="s">
        <v>1602</v>
      </c>
      <c r="K251" s="1" t="s">
        <v>74</v>
      </c>
      <c r="L251" s="1" t="s">
        <v>74</v>
      </c>
      <c r="M251" s="1" t="s">
        <v>80</v>
      </c>
      <c r="N251" s="1" t="s">
        <v>1010</v>
      </c>
      <c r="O251" s="1" t="s">
        <v>74</v>
      </c>
      <c r="P251" s="1" t="s">
        <v>74</v>
      </c>
      <c r="Q251" s="1" t="s">
        <v>74</v>
      </c>
      <c r="R251" s="1" t="s">
        <v>74</v>
      </c>
      <c r="S251" s="1" t="s">
        <v>74</v>
      </c>
      <c r="T251" s="1" t="s">
        <v>5370</v>
      </c>
      <c r="U251" s="1" t="s">
        <v>5371</v>
      </c>
      <c r="V251" s="1" t="s">
        <v>5372</v>
      </c>
      <c r="W251" s="1" t="s">
        <v>5373</v>
      </c>
      <c r="X251" s="1" t="s">
        <v>5374</v>
      </c>
      <c r="Y251" s="1" t="s">
        <v>5375</v>
      </c>
      <c r="Z251" s="1" t="s">
        <v>5376</v>
      </c>
      <c r="AA251" s="1" t="s">
        <v>5377</v>
      </c>
      <c r="AB251" s="1" t="s">
        <v>74</v>
      </c>
      <c r="AC251" s="1" t="s">
        <v>5378</v>
      </c>
      <c r="AD251" s="1" t="s">
        <v>5379</v>
      </c>
      <c r="AE251" s="1" t="s">
        <v>5380</v>
      </c>
      <c r="AF251" s="1" t="s">
        <v>74</v>
      </c>
      <c r="AG251" s="1">
        <v>44.0</v>
      </c>
      <c r="AH251" s="1">
        <v>583.0</v>
      </c>
      <c r="AI251" s="1">
        <v>618.0</v>
      </c>
      <c r="AJ251" s="1">
        <v>459.0</v>
      </c>
      <c r="AK251" s="1">
        <v>1766.0</v>
      </c>
      <c r="AL251" s="1" t="s">
        <v>1612</v>
      </c>
      <c r="AM251" s="1" t="s">
        <v>1613</v>
      </c>
      <c r="AN251" s="1" t="s">
        <v>1614</v>
      </c>
      <c r="AO251" s="1" t="s">
        <v>1615</v>
      </c>
      <c r="AP251" s="1" t="s">
        <v>74</v>
      </c>
      <c r="AQ251" s="1" t="s">
        <v>74</v>
      </c>
      <c r="AR251" s="1" t="s">
        <v>1602</v>
      </c>
      <c r="AS251" s="1" t="s">
        <v>1616</v>
      </c>
      <c r="AT251" s="1" t="s">
        <v>74</v>
      </c>
      <c r="AU251" s="1">
        <v>2020.0</v>
      </c>
      <c r="AV251" s="1">
        <v>8.0</v>
      </c>
      <c r="AW251" s="1" t="s">
        <v>74</v>
      </c>
      <c r="AX251" s="1" t="s">
        <v>74</v>
      </c>
      <c r="AY251" s="1" t="s">
        <v>74</v>
      </c>
      <c r="AZ251" s="1" t="s">
        <v>74</v>
      </c>
      <c r="BA251" s="1" t="s">
        <v>74</v>
      </c>
      <c r="BB251" s="1">
        <v>75264.0</v>
      </c>
      <c r="BC251" s="1">
        <v>75278.0</v>
      </c>
      <c r="BD251" s="1" t="s">
        <v>74</v>
      </c>
      <c r="BE251" s="1" t="s">
        <v>5381</v>
      </c>
      <c r="BF251" s="2" t="str">
        <f>HYPERLINK("http://dx.doi.org/10.1109/ACCESS.2020.2988510","http://dx.doi.org/10.1109/ACCESS.2020.2988510")</f>
        <v>http://dx.doi.org/10.1109/ACCESS.2020.2988510</v>
      </c>
      <c r="BG251" s="1" t="s">
        <v>74</v>
      </c>
      <c r="BH251" s="1" t="s">
        <v>74</v>
      </c>
      <c r="BI251" s="1">
        <v>15.0</v>
      </c>
      <c r="BJ251" s="1" t="s">
        <v>1618</v>
      </c>
      <c r="BK251" s="1" t="s">
        <v>783</v>
      </c>
      <c r="BL251" s="1" t="s">
        <v>1619</v>
      </c>
      <c r="BM251" s="1" t="s">
        <v>5382</v>
      </c>
      <c r="BN251" s="1" t="s">
        <v>74</v>
      </c>
      <c r="BO251" s="1" t="s">
        <v>174</v>
      </c>
      <c r="BP251" s="1" t="s">
        <v>74</v>
      </c>
      <c r="BQ251" s="1" t="s">
        <v>74</v>
      </c>
      <c r="BR251" s="1" t="s">
        <v>102</v>
      </c>
      <c r="BS251" s="1" t="s">
        <v>5383</v>
      </c>
      <c r="BT251" s="1" t="str">
        <f>HYPERLINK("https%3A%2F%2Fwww.webofscience.com%2Fwos%2Fwoscc%2Ffull-record%2FWOS:000530793700016","View Full Record in Web of Science")</f>
        <v>View Full Record in Web of Science</v>
      </c>
    </row>
    <row r="252" ht="12.75" customHeight="1">
      <c r="A252" s="1" t="s">
        <v>132</v>
      </c>
      <c r="B252" s="1" t="s">
        <v>5384</v>
      </c>
      <c r="C252" s="1" t="s">
        <v>74</v>
      </c>
      <c r="D252" s="1" t="s">
        <v>74</v>
      </c>
      <c r="E252" s="1" t="s">
        <v>74</v>
      </c>
      <c r="F252" s="1" t="s">
        <v>5385</v>
      </c>
      <c r="G252" s="1" t="s">
        <v>74</v>
      </c>
      <c r="H252" s="1" t="s">
        <v>74</v>
      </c>
      <c r="I252" s="1" t="s">
        <v>5386</v>
      </c>
      <c r="J252" s="1" t="s">
        <v>5387</v>
      </c>
      <c r="K252" s="1" t="s">
        <v>74</v>
      </c>
      <c r="L252" s="1" t="s">
        <v>74</v>
      </c>
      <c r="M252" s="1" t="s">
        <v>80</v>
      </c>
      <c r="N252" s="1" t="s">
        <v>338</v>
      </c>
      <c r="O252" s="1" t="s">
        <v>74</v>
      </c>
      <c r="P252" s="1" t="s">
        <v>74</v>
      </c>
      <c r="Q252" s="1" t="s">
        <v>74</v>
      </c>
      <c r="R252" s="1" t="s">
        <v>74</v>
      </c>
      <c r="S252" s="1" t="s">
        <v>74</v>
      </c>
      <c r="T252" s="1" t="s">
        <v>5388</v>
      </c>
      <c r="U252" s="1" t="s">
        <v>5389</v>
      </c>
      <c r="V252" s="1" t="s">
        <v>5390</v>
      </c>
      <c r="W252" s="1" t="s">
        <v>5391</v>
      </c>
      <c r="X252" s="1" t="s">
        <v>5392</v>
      </c>
      <c r="Y252" s="1" t="s">
        <v>5393</v>
      </c>
      <c r="Z252" s="1" t="s">
        <v>5394</v>
      </c>
      <c r="AA252" s="1" t="s">
        <v>5395</v>
      </c>
      <c r="AB252" s="1" t="s">
        <v>5396</v>
      </c>
      <c r="AC252" s="1" t="s">
        <v>5397</v>
      </c>
      <c r="AD252" s="1" t="s">
        <v>5398</v>
      </c>
      <c r="AE252" s="1" t="s">
        <v>5399</v>
      </c>
      <c r="AF252" s="1" t="s">
        <v>74</v>
      </c>
      <c r="AG252" s="1">
        <v>61.0</v>
      </c>
      <c r="AH252" s="1">
        <v>1.0</v>
      </c>
      <c r="AI252" s="1">
        <v>1.0</v>
      </c>
      <c r="AJ252" s="1">
        <v>18.0</v>
      </c>
      <c r="AK252" s="1">
        <v>42.0</v>
      </c>
      <c r="AL252" s="1" t="s">
        <v>192</v>
      </c>
      <c r="AM252" s="1" t="s">
        <v>864</v>
      </c>
      <c r="AN252" s="1" t="s">
        <v>865</v>
      </c>
      <c r="AO252" s="1" t="s">
        <v>5400</v>
      </c>
      <c r="AP252" s="1" t="s">
        <v>5401</v>
      </c>
      <c r="AQ252" s="1" t="s">
        <v>74</v>
      </c>
      <c r="AR252" s="1" t="s">
        <v>5402</v>
      </c>
      <c r="AS252" s="1" t="s">
        <v>5403</v>
      </c>
      <c r="AT252" s="1" t="s">
        <v>5404</v>
      </c>
      <c r="AU252" s="1">
        <v>2024.0</v>
      </c>
      <c r="AV252" s="1" t="s">
        <v>74</v>
      </c>
      <c r="AW252" s="1" t="s">
        <v>74</v>
      </c>
      <c r="AX252" s="1" t="s">
        <v>74</v>
      </c>
      <c r="AY252" s="1" t="s">
        <v>74</v>
      </c>
      <c r="AZ252" s="1" t="s">
        <v>74</v>
      </c>
      <c r="BA252" s="1" t="s">
        <v>74</v>
      </c>
      <c r="BB252" s="1" t="s">
        <v>74</v>
      </c>
      <c r="BC252" s="1" t="s">
        <v>74</v>
      </c>
      <c r="BD252" s="1" t="s">
        <v>74</v>
      </c>
      <c r="BE252" s="1" t="s">
        <v>5405</v>
      </c>
      <c r="BF252" s="2" t="str">
        <f>HYPERLINK("http://dx.doi.org/10.1007/s12369-024-01097-2","http://dx.doi.org/10.1007/s12369-024-01097-2")</f>
        <v>http://dx.doi.org/10.1007/s12369-024-01097-2</v>
      </c>
      <c r="BG252" s="1" t="s">
        <v>74</v>
      </c>
      <c r="BH252" s="1" t="s">
        <v>1001</v>
      </c>
      <c r="BI252" s="1">
        <v>18.0</v>
      </c>
      <c r="BJ252" s="1" t="s">
        <v>5406</v>
      </c>
      <c r="BK252" s="1" t="s">
        <v>149</v>
      </c>
      <c r="BL252" s="1" t="s">
        <v>5406</v>
      </c>
      <c r="BM252" s="1" t="s">
        <v>5407</v>
      </c>
      <c r="BN252" s="1" t="s">
        <v>74</v>
      </c>
      <c r="BO252" s="1" t="s">
        <v>74</v>
      </c>
      <c r="BP252" s="1" t="s">
        <v>74</v>
      </c>
      <c r="BQ252" s="1" t="s">
        <v>74</v>
      </c>
      <c r="BR252" s="1" t="s">
        <v>102</v>
      </c>
      <c r="BS252" s="1" t="s">
        <v>5408</v>
      </c>
      <c r="BT252" s="1" t="str">
        <f>HYPERLINK("https%3A%2F%2Fwww.webofscience.com%2Fwos%2Fwoscc%2Ffull-record%2FWOS:001157137300001","View Full Record in Web of Science")</f>
        <v>View Full Record in Web of Science</v>
      </c>
    </row>
    <row r="253" ht="12.75" customHeight="1">
      <c r="A253" s="1" t="s">
        <v>132</v>
      </c>
      <c r="B253" s="1" t="s">
        <v>5409</v>
      </c>
      <c r="C253" s="1" t="s">
        <v>74</v>
      </c>
      <c r="D253" s="1" t="s">
        <v>74</v>
      </c>
      <c r="E253" s="1" t="s">
        <v>74</v>
      </c>
      <c r="F253" s="1" t="s">
        <v>5410</v>
      </c>
      <c r="G253" s="1" t="s">
        <v>74</v>
      </c>
      <c r="H253" s="1" t="s">
        <v>74</v>
      </c>
      <c r="I253" s="1" t="s">
        <v>5411</v>
      </c>
      <c r="J253" s="1" t="s">
        <v>5412</v>
      </c>
      <c r="K253" s="1" t="s">
        <v>74</v>
      </c>
      <c r="L253" s="1" t="s">
        <v>74</v>
      </c>
      <c r="M253" s="1" t="s">
        <v>80</v>
      </c>
      <c r="N253" s="1" t="s">
        <v>1010</v>
      </c>
      <c r="O253" s="1" t="s">
        <v>74</v>
      </c>
      <c r="P253" s="1" t="s">
        <v>74</v>
      </c>
      <c r="Q253" s="1" t="s">
        <v>74</v>
      </c>
      <c r="R253" s="1" t="s">
        <v>74</v>
      </c>
      <c r="S253" s="1" t="s">
        <v>74</v>
      </c>
      <c r="T253" s="1" t="s">
        <v>5413</v>
      </c>
      <c r="U253" s="1" t="s">
        <v>5414</v>
      </c>
      <c r="V253" s="1" t="s">
        <v>5415</v>
      </c>
      <c r="W253" s="1" t="s">
        <v>5416</v>
      </c>
      <c r="X253" s="1" t="s">
        <v>5417</v>
      </c>
      <c r="Y253" s="1" t="s">
        <v>5418</v>
      </c>
      <c r="Z253" s="1" t="s">
        <v>5419</v>
      </c>
      <c r="AA253" s="1" t="s">
        <v>5420</v>
      </c>
      <c r="AB253" s="1" t="s">
        <v>5421</v>
      </c>
      <c r="AC253" s="1" t="s">
        <v>74</v>
      </c>
      <c r="AD253" s="1" t="s">
        <v>74</v>
      </c>
      <c r="AE253" s="1" t="s">
        <v>74</v>
      </c>
      <c r="AF253" s="1" t="s">
        <v>74</v>
      </c>
      <c r="AG253" s="1">
        <v>61.0</v>
      </c>
      <c r="AH253" s="1">
        <v>7.0</v>
      </c>
      <c r="AI253" s="1">
        <v>7.0</v>
      </c>
      <c r="AJ253" s="1">
        <v>6.0</v>
      </c>
      <c r="AK253" s="1">
        <v>19.0</v>
      </c>
      <c r="AL253" s="1" t="s">
        <v>2928</v>
      </c>
      <c r="AM253" s="1" t="s">
        <v>1090</v>
      </c>
      <c r="AN253" s="1" t="s">
        <v>2929</v>
      </c>
      <c r="AO253" s="1" t="s">
        <v>5422</v>
      </c>
      <c r="AP253" s="1" t="s">
        <v>5423</v>
      </c>
      <c r="AQ253" s="1" t="s">
        <v>74</v>
      </c>
      <c r="AR253" s="1" t="s">
        <v>5424</v>
      </c>
      <c r="AS253" s="1" t="s">
        <v>5425</v>
      </c>
      <c r="AT253" s="1" t="s">
        <v>5426</v>
      </c>
      <c r="AU253" s="1">
        <v>2023.0</v>
      </c>
      <c r="AV253" s="1">
        <v>5.0</v>
      </c>
      <c r="AW253" s="1">
        <v>1.0</v>
      </c>
      <c r="AX253" s="1" t="s">
        <v>74</v>
      </c>
      <c r="AY253" s="1" t="s">
        <v>74</v>
      </c>
      <c r="AZ253" s="1" t="s">
        <v>74</v>
      </c>
      <c r="BA253" s="1" t="s">
        <v>74</v>
      </c>
      <c r="BB253" s="1">
        <v>11.0</v>
      </c>
      <c r="BC253" s="1">
        <v>20.0</v>
      </c>
      <c r="BD253" s="1" t="s">
        <v>74</v>
      </c>
      <c r="BE253" s="1" t="s">
        <v>5427</v>
      </c>
      <c r="BF253" s="2" t="str">
        <f>HYPERLINK("http://dx.doi.org/10.1093/jbi/wbac077","http://dx.doi.org/10.1093/jbi/wbac077")</f>
        <v>http://dx.doi.org/10.1093/jbi/wbac077</v>
      </c>
      <c r="BG253" s="1" t="s">
        <v>74</v>
      </c>
      <c r="BH253" s="1" t="s">
        <v>5428</v>
      </c>
      <c r="BI253" s="1">
        <v>10.0</v>
      </c>
      <c r="BJ253" s="1" t="s">
        <v>5429</v>
      </c>
      <c r="BK253" s="1" t="s">
        <v>172</v>
      </c>
      <c r="BL253" s="1" t="s">
        <v>5429</v>
      </c>
      <c r="BM253" s="1" t="s">
        <v>5430</v>
      </c>
      <c r="BN253" s="1">
        <v>3.8416959E7</v>
      </c>
      <c r="BO253" s="1" t="s">
        <v>306</v>
      </c>
      <c r="BP253" s="1" t="s">
        <v>74</v>
      </c>
      <c r="BQ253" s="1" t="s">
        <v>74</v>
      </c>
      <c r="BR253" s="1" t="s">
        <v>102</v>
      </c>
      <c r="BS253" s="1" t="s">
        <v>5431</v>
      </c>
      <c r="BT253" s="1" t="str">
        <f>HYPERLINK("https%3A%2F%2Fwww.webofscience.com%2Fwos%2Fwoscc%2Ffull-record%2FWOS:000905558000001","View Full Record in Web of Science")</f>
        <v>View Full Record in Web of Science</v>
      </c>
    </row>
    <row r="254" ht="12.75" customHeight="1">
      <c r="A254" s="1" t="s">
        <v>132</v>
      </c>
      <c r="B254" s="1" t="s">
        <v>5432</v>
      </c>
      <c r="C254" s="1" t="s">
        <v>74</v>
      </c>
      <c r="D254" s="1" t="s">
        <v>74</v>
      </c>
      <c r="E254" s="1" t="s">
        <v>74</v>
      </c>
      <c r="F254" s="1" t="s">
        <v>5433</v>
      </c>
      <c r="G254" s="1" t="s">
        <v>74</v>
      </c>
      <c r="H254" s="1" t="s">
        <v>74</v>
      </c>
      <c r="I254" s="1" t="s">
        <v>5434</v>
      </c>
      <c r="J254" s="1" t="s">
        <v>5435</v>
      </c>
      <c r="K254" s="1" t="s">
        <v>74</v>
      </c>
      <c r="L254" s="1" t="s">
        <v>74</v>
      </c>
      <c r="M254" s="1" t="s">
        <v>80</v>
      </c>
      <c r="N254" s="1" t="s">
        <v>338</v>
      </c>
      <c r="O254" s="1" t="s">
        <v>74</v>
      </c>
      <c r="P254" s="1" t="s">
        <v>74</v>
      </c>
      <c r="Q254" s="1" t="s">
        <v>74</v>
      </c>
      <c r="R254" s="1" t="s">
        <v>74</v>
      </c>
      <c r="S254" s="1" t="s">
        <v>74</v>
      </c>
      <c r="T254" s="1" t="s">
        <v>5436</v>
      </c>
      <c r="U254" s="1" t="s">
        <v>5437</v>
      </c>
      <c r="V254" s="1" t="s">
        <v>5438</v>
      </c>
      <c r="W254" s="1" t="s">
        <v>5439</v>
      </c>
      <c r="X254" s="1" t="s">
        <v>5440</v>
      </c>
      <c r="Y254" s="1" t="s">
        <v>5441</v>
      </c>
      <c r="Z254" s="1" t="s">
        <v>5442</v>
      </c>
      <c r="AA254" s="1" t="s">
        <v>74</v>
      </c>
      <c r="AB254" s="1" t="s">
        <v>74</v>
      </c>
      <c r="AC254" s="1" t="s">
        <v>5443</v>
      </c>
      <c r="AD254" s="1" t="s">
        <v>5444</v>
      </c>
      <c r="AE254" s="1" t="s">
        <v>5445</v>
      </c>
      <c r="AF254" s="1" t="s">
        <v>74</v>
      </c>
      <c r="AG254" s="1">
        <v>72.0</v>
      </c>
      <c r="AH254" s="1">
        <v>0.0</v>
      </c>
      <c r="AI254" s="1">
        <v>0.0</v>
      </c>
      <c r="AJ254" s="1">
        <v>4.0</v>
      </c>
      <c r="AK254" s="1">
        <v>4.0</v>
      </c>
      <c r="AL254" s="1" t="s">
        <v>595</v>
      </c>
      <c r="AM254" s="1" t="s">
        <v>467</v>
      </c>
      <c r="AN254" s="1" t="s">
        <v>596</v>
      </c>
      <c r="AO254" s="1" t="s">
        <v>5446</v>
      </c>
      <c r="AP254" s="1" t="s">
        <v>5447</v>
      </c>
      <c r="AQ254" s="1" t="s">
        <v>74</v>
      </c>
      <c r="AR254" s="1" t="s">
        <v>5448</v>
      </c>
      <c r="AS254" s="1" t="s">
        <v>5449</v>
      </c>
      <c r="AT254" s="1" t="s">
        <v>5450</v>
      </c>
      <c r="AU254" s="1">
        <v>2024.0</v>
      </c>
      <c r="AV254" s="1" t="s">
        <v>74</v>
      </c>
      <c r="AW254" s="1" t="s">
        <v>74</v>
      </c>
      <c r="AX254" s="1" t="s">
        <v>74</v>
      </c>
      <c r="AY254" s="1" t="s">
        <v>74</v>
      </c>
      <c r="AZ254" s="1" t="s">
        <v>74</v>
      </c>
      <c r="BA254" s="1" t="s">
        <v>74</v>
      </c>
      <c r="BB254" s="1" t="s">
        <v>74</v>
      </c>
      <c r="BC254" s="1" t="s">
        <v>74</v>
      </c>
      <c r="BD254" s="1" t="s">
        <v>74</v>
      </c>
      <c r="BE254" s="1" t="s">
        <v>5451</v>
      </c>
      <c r="BF254" s="2" t="str">
        <f>HYPERLINK("http://dx.doi.org/10.1080/02508281.2024.2439321","http://dx.doi.org/10.1080/02508281.2024.2439321")</f>
        <v>http://dx.doi.org/10.1080/02508281.2024.2439321</v>
      </c>
      <c r="BG254" s="1" t="s">
        <v>74</v>
      </c>
      <c r="BH254" s="1" t="s">
        <v>2788</v>
      </c>
      <c r="BI254" s="1">
        <v>12.0</v>
      </c>
      <c r="BJ254" s="1" t="s">
        <v>2100</v>
      </c>
      <c r="BK254" s="1" t="s">
        <v>172</v>
      </c>
      <c r="BL254" s="1" t="s">
        <v>100</v>
      </c>
      <c r="BM254" s="1" t="s">
        <v>5452</v>
      </c>
      <c r="BN254" s="1" t="s">
        <v>74</v>
      </c>
      <c r="BO254" s="1" t="s">
        <v>74</v>
      </c>
      <c r="BP254" s="1" t="s">
        <v>74</v>
      </c>
      <c r="BQ254" s="1" t="s">
        <v>74</v>
      </c>
      <c r="BR254" s="1" t="s">
        <v>102</v>
      </c>
      <c r="BS254" s="1" t="s">
        <v>5453</v>
      </c>
      <c r="BT254" s="1" t="str">
        <f>HYPERLINK("https%3A%2F%2Fwww.webofscience.com%2Fwos%2Fwoscc%2Ffull-record%2FWOS:001385966300001","View Full Record in Web of Science")</f>
        <v>View Full Record in Web of Science</v>
      </c>
    </row>
    <row r="255" ht="12.75" customHeight="1">
      <c r="A255" s="1" t="s">
        <v>132</v>
      </c>
      <c r="B255" s="1" t="s">
        <v>5454</v>
      </c>
      <c r="C255" s="1" t="s">
        <v>74</v>
      </c>
      <c r="D255" s="1" t="s">
        <v>74</v>
      </c>
      <c r="E255" s="1" t="s">
        <v>74</v>
      </c>
      <c r="F255" s="1" t="s">
        <v>5455</v>
      </c>
      <c r="G255" s="1" t="s">
        <v>74</v>
      </c>
      <c r="H255" s="1" t="s">
        <v>74</v>
      </c>
      <c r="I255" s="1" t="s">
        <v>5456</v>
      </c>
      <c r="J255" s="1" t="s">
        <v>5457</v>
      </c>
      <c r="K255" s="1" t="s">
        <v>74</v>
      </c>
      <c r="L255" s="1" t="s">
        <v>74</v>
      </c>
      <c r="M255" s="1" t="s">
        <v>80</v>
      </c>
      <c r="N255" s="1" t="s">
        <v>136</v>
      </c>
      <c r="O255" s="1" t="s">
        <v>74</v>
      </c>
      <c r="P255" s="1" t="s">
        <v>74</v>
      </c>
      <c r="Q255" s="1" t="s">
        <v>74</v>
      </c>
      <c r="R255" s="1" t="s">
        <v>74</v>
      </c>
      <c r="S255" s="1" t="s">
        <v>74</v>
      </c>
      <c r="T255" s="1" t="s">
        <v>5458</v>
      </c>
      <c r="U255" s="1" t="s">
        <v>217</v>
      </c>
      <c r="V255" s="1" t="s">
        <v>5459</v>
      </c>
      <c r="W255" s="1" t="s">
        <v>5460</v>
      </c>
      <c r="X255" s="1" t="s">
        <v>5461</v>
      </c>
      <c r="Y255" s="1" t="s">
        <v>5462</v>
      </c>
      <c r="Z255" s="1" t="s">
        <v>5463</v>
      </c>
      <c r="AA255" s="1" t="s">
        <v>5464</v>
      </c>
      <c r="AB255" s="1" t="s">
        <v>5465</v>
      </c>
      <c r="AC255" s="1" t="s">
        <v>5466</v>
      </c>
      <c r="AD255" s="1" t="s">
        <v>5467</v>
      </c>
      <c r="AE255" s="1" t="s">
        <v>5468</v>
      </c>
      <c r="AF255" s="1" t="s">
        <v>74</v>
      </c>
      <c r="AG255" s="1">
        <v>22.0</v>
      </c>
      <c r="AH255" s="1">
        <v>0.0</v>
      </c>
      <c r="AI255" s="1">
        <v>0.0</v>
      </c>
      <c r="AJ255" s="1">
        <v>2.0</v>
      </c>
      <c r="AK255" s="1">
        <v>2.0</v>
      </c>
      <c r="AL255" s="1" t="s">
        <v>3701</v>
      </c>
      <c r="AM255" s="1" t="s">
        <v>3702</v>
      </c>
      <c r="AN255" s="1" t="s">
        <v>3703</v>
      </c>
      <c r="AO255" s="1" t="s">
        <v>5469</v>
      </c>
      <c r="AP255" s="1" t="s">
        <v>5470</v>
      </c>
      <c r="AQ255" s="1" t="s">
        <v>74</v>
      </c>
      <c r="AR255" s="1" t="s">
        <v>5471</v>
      </c>
      <c r="AS255" s="1" t="s">
        <v>5472</v>
      </c>
      <c r="AT255" s="1" t="s">
        <v>74</v>
      </c>
      <c r="AU255" s="1">
        <v>2024.0</v>
      </c>
      <c r="AV255" s="1">
        <v>32.0</v>
      </c>
      <c r="AW255" s="1">
        <v>6.0</v>
      </c>
      <c r="AX255" s="1" t="s">
        <v>74</v>
      </c>
      <c r="AY255" s="1" t="s">
        <v>5473</v>
      </c>
      <c r="AZ255" s="1" t="s">
        <v>74</v>
      </c>
      <c r="BA255" s="1" t="s">
        <v>74</v>
      </c>
      <c r="BB255" s="1">
        <v>49.0</v>
      </c>
      <c r="BC255" s="1">
        <v>58.0</v>
      </c>
      <c r="BD255" s="1" t="s">
        <v>74</v>
      </c>
      <c r="BE255" s="1" t="s">
        <v>5474</v>
      </c>
      <c r="BF255" s="2" t="str">
        <f>HYPERLINK("http://dx.doi.org/10.53656/str2024-6s-4-dua","http://dx.doi.org/10.53656/str2024-6s-4-dua")</f>
        <v>http://dx.doi.org/10.53656/str2024-6s-4-dua</v>
      </c>
      <c r="BG255" s="1" t="s">
        <v>74</v>
      </c>
      <c r="BH255" s="1" t="s">
        <v>74</v>
      </c>
      <c r="BI255" s="1">
        <v>10.0</v>
      </c>
      <c r="BJ255" s="1" t="s">
        <v>171</v>
      </c>
      <c r="BK255" s="1" t="s">
        <v>172</v>
      </c>
      <c r="BL255" s="1" t="s">
        <v>171</v>
      </c>
      <c r="BM255" s="1" t="s">
        <v>5475</v>
      </c>
      <c r="BN255" s="1" t="s">
        <v>74</v>
      </c>
      <c r="BO255" s="1" t="s">
        <v>74</v>
      </c>
      <c r="BP255" s="1" t="s">
        <v>74</v>
      </c>
      <c r="BQ255" s="1" t="s">
        <v>74</v>
      </c>
      <c r="BR255" s="1" t="s">
        <v>102</v>
      </c>
      <c r="BS255" s="1" t="s">
        <v>5476</v>
      </c>
      <c r="BT255" s="1" t="str">
        <f>HYPERLINK("https%3A%2F%2Fwww.webofscience.com%2Fwos%2Fwoscc%2Ffull-record%2FWOS:001396146800004","View Full Record in Web of Science")</f>
        <v>View Full Record in Web of Science</v>
      </c>
    </row>
    <row r="256" ht="12.75" customHeight="1">
      <c r="A256" s="1" t="s">
        <v>72</v>
      </c>
      <c r="B256" s="1" t="s">
        <v>5477</v>
      </c>
      <c r="C256" s="1" t="s">
        <v>74</v>
      </c>
      <c r="D256" s="1" t="s">
        <v>74</v>
      </c>
      <c r="E256" s="1" t="s">
        <v>74</v>
      </c>
      <c r="F256" s="1" t="s">
        <v>5478</v>
      </c>
      <c r="G256" s="1" t="s">
        <v>74</v>
      </c>
      <c r="H256" s="1" t="s">
        <v>74</v>
      </c>
      <c r="I256" s="1" t="s">
        <v>5479</v>
      </c>
      <c r="J256" s="1" t="s">
        <v>2361</v>
      </c>
      <c r="K256" s="1" t="s">
        <v>74</v>
      </c>
      <c r="L256" s="1" t="s">
        <v>74</v>
      </c>
      <c r="M256" s="1" t="s">
        <v>80</v>
      </c>
      <c r="N256" s="1" t="s">
        <v>81</v>
      </c>
      <c r="O256" s="1" t="s">
        <v>4821</v>
      </c>
      <c r="P256" s="1" t="s">
        <v>4822</v>
      </c>
      <c r="Q256" s="1" t="s">
        <v>812</v>
      </c>
      <c r="R256" s="1" t="s">
        <v>74</v>
      </c>
      <c r="S256" s="1" t="s">
        <v>74</v>
      </c>
      <c r="T256" s="1" t="s">
        <v>5480</v>
      </c>
      <c r="U256" s="1" t="s">
        <v>5481</v>
      </c>
      <c r="V256" s="1" t="s">
        <v>5482</v>
      </c>
      <c r="W256" s="1" t="s">
        <v>5483</v>
      </c>
      <c r="X256" s="1" t="s">
        <v>673</v>
      </c>
      <c r="Y256" s="1" t="s">
        <v>5484</v>
      </c>
      <c r="Z256" s="1" t="s">
        <v>5485</v>
      </c>
      <c r="AA256" s="1" t="s">
        <v>5486</v>
      </c>
      <c r="AB256" s="1" t="s">
        <v>74</v>
      </c>
      <c r="AC256" s="1" t="s">
        <v>74</v>
      </c>
      <c r="AD256" s="1" t="s">
        <v>74</v>
      </c>
      <c r="AE256" s="1" t="s">
        <v>74</v>
      </c>
      <c r="AF256" s="1" t="s">
        <v>74</v>
      </c>
      <c r="AG256" s="1">
        <v>13.0</v>
      </c>
      <c r="AH256" s="1">
        <v>0.0</v>
      </c>
      <c r="AI256" s="1">
        <v>0.0</v>
      </c>
      <c r="AJ256" s="1">
        <v>5.0</v>
      </c>
      <c r="AK256" s="1">
        <v>6.0</v>
      </c>
      <c r="AL256" s="1" t="s">
        <v>680</v>
      </c>
      <c r="AM256" s="1" t="s">
        <v>681</v>
      </c>
      <c r="AN256" s="1" t="s">
        <v>2372</v>
      </c>
      <c r="AO256" s="1" t="s">
        <v>2373</v>
      </c>
      <c r="AP256" s="1" t="s">
        <v>2374</v>
      </c>
      <c r="AQ256" s="1" t="s">
        <v>74</v>
      </c>
      <c r="AR256" s="1" t="s">
        <v>2375</v>
      </c>
      <c r="AS256" s="1" t="s">
        <v>2376</v>
      </c>
      <c r="AT256" s="1" t="s">
        <v>4829</v>
      </c>
      <c r="AU256" s="1">
        <v>2024.0</v>
      </c>
      <c r="AV256" s="1">
        <v>18.0</v>
      </c>
      <c r="AW256" s="1">
        <v>1.0</v>
      </c>
      <c r="AX256" s="1" t="s">
        <v>74</v>
      </c>
      <c r="AY256" s="1" t="s">
        <v>74</v>
      </c>
      <c r="AZ256" s="1" t="s">
        <v>74</v>
      </c>
      <c r="BA256" s="1" t="s">
        <v>74</v>
      </c>
      <c r="BB256" s="1">
        <v>198.0</v>
      </c>
      <c r="BC256" s="1">
        <v>208.0</v>
      </c>
      <c r="BD256" s="1" t="s">
        <v>74</v>
      </c>
      <c r="BE256" s="1" t="s">
        <v>5487</v>
      </c>
      <c r="BF256" s="2" t="str">
        <f>HYPERLINK("http://dx.doi.org/10.2478/picbe-2024-0017","http://dx.doi.org/10.2478/picbe-2024-0017")</f>
        <v>http://dx.doi.org/10.2478/picbe-2024-0017</v>
      </c>
      <c r="BG256" s="1" t="s">
        <v>74</v>
      </c>
      <c r="BH256" s="1" t="s">
        <v>74</v>
      </c>
      <c r="BI256" s="1">
        <v>11.0</v>
      </c>
      <c r="BJ256" s="1" t="s">
        <v>2040</v>
      </c>
      <c r="BK256" s="1" t="s">
        <v>128</v>
      </c>
      <c r="BL256" s="1" t="s">
        <v>204</v>
      </c>
      <c r="BM256" s="1" t="s">
        <v>5488</v>
      </c>
      <c r="BN256" s="1" t="s">
        <v>74</v>
      </c>
      <c r="BO256" s="1" t="s">
        <v>74</v>
      </c>
      <c r="BP256" s="1" t="s">
        <v>74</v>
      </c>
      <c r="BQ256" s="1" t="s">
        <v>74</v>
      </c>
      <c r="BR256" s="1" t="s">
        <v>102</v>
      </c>
      <c r="BS256" s="1" t="s">
        <v>5489</v>
      </c>
      <c r="BT256" s="1" t="str">
        <f>HYPERLINK("https%3A%2F%2Fwww.webofscience.com%2Fwos%2Fwoscc%2Ffull-record%2FWOS:001262087900027","View Full Record in Web of Science")</f>
        <v>View Full Record in Web of Science</v>
      </c>
    </row>
    <row r="257" ht="12.75" customHeight="1">
      <c r="A257" s="1" t="s">
        <v>72</v>
      </c>
      <c r="B257" s="1" t="s">
        <v>5490</v>
      </c>
      <c r="C257" s="1" t="s">
        <v>74</v>
      </c>
      <c r="D257" s="1" t="s">
        <v>5491</v>
      </c>
      <c r="E257" s="1" t="s">
        <v>74</v>
      </c>
      <c r="F257" s="1" t="s">
        <v>5492</v>
      </c>
      <c r="G257" s="1" t="s">
        <v>74</v>
      </c>
      <c r="H257" s="1" t="s">
        <v>74</v>
      </c>
      <c r="I257" s="1" t="s">
        <v>5493</v>
      </c>
      <c r="J257" s="1" t="s">
        <v>5494</v>
      </c>
      <c r="K257" s="1" t="s">
        <v>5495</v>
      </c>
      <c r="L257" s="1" t="s">
        <v>74</v>
      </c>
      <c r="M257" s="1" t="s">
        <v>80</v>
      </c>
      <c r="N257" s="1" t="s">
        <v>81</v>
      </c>
      <c r="O257" s="1" t="s">
        <v>5496</v>
      </c>
      <c r="P257" s="1" t="s">
        <v>5497</v>
      </c>
      <c r="Q257" s="1" t="s">
        <v>667</v>
      </c>
      <c r="R257" s="1" t="s">
        <v>74</v>
      </c>
      <c r="S257" s="1" t="s">
        <v>74</v>
      </c>
      <c r="T257" s="1" t="s">
        <v>5498</v>
      </c>
      <c r="U257" s="1" t="s">
        <v>74</v>
      </c>
      <c r="V257" s="1" t="s">
        <v>5499</v>
      </c>
      <c r="W257" s="1" t="s">
        <v>5500</v>
      </c>
      <c r="X257" s="1" t="s">
        <v>74</v>
      </c>
      <c r="Y257" s="1" t="s">
        <v>5501</v>
      </c>
      <c r="Z257" s="1" t="s">
        <v>74</v>
      </c>
      <c r="AA257" s="1" t="s">
        <v>74</v>
      </c>
      <c r="AB257" s="1" t="s">
        <v>74</v>
      </c>
      <c r="AC257" s="1" t="s">
        <v>5502</v>
      </c>
      <c r="AD257" s="1" t="s">
        <v>5502</v>
      </c>
      <c r="AE257" s="1" t="s">
        <v>5503</v>
      </c>
      <c r="AF257" s="1" t="s">
        <v>74</v>
      </c>
      <c r="AG257" s="1">
        <v>5.0</v>
      </c>
      <c r="AH257" s="1">
        <v>2.0</v>
      </c>
      <c r="AI257" s="1">
        <v>2.0</v>
      </c>
      <c r="AJ257" s="1">
        <v>1.0</v>
      </c>
      <c r="AK257" s="1">
        <v>11.0</v>
      </c>
      <c r="AL257" s="1" t="s">
        <v>1119</v>
      </c>
      <c r="AM257" s="1" t="s">
        <v>1120</v>
      </c>
      <c r="AN257" s="1" t="s">
        <v>1121</v>
      </c>
      <c r="AO257" s="1" t="s">
        <v>5504</v>
      </c>
      <c r="AP257" s="1" t="s">
        <v>5505</v>
      </c>
      <c r="AQ257" s="1" t="s">
        <v>5506</v>
      </c>
      <c r="AR257" s="1" t="s">
        <v>5507</v>
      </c>
      <c r="AS257" s="1" t="s">
        <v>74</v>
      </c>
      <c r="AT257" s="1" t="s">
        <v>74</v>
      </c>
      <c r="AU257" s="1">
        <v>2022.0</v>
      </c>
      <c r="AV257" s="1" t="s">
        <v>74</v>
      </c>
      <c r="AW257" s="1" t="s">
        <v>74</v>
      </c>
      <c r="AX257" s="1" t="s">
        <v>74</v>
      </c>
      <c r="AY257" s="1" t="s">
        <v>74</v>
      </c>
      <c r="AZ257" s="1" t="s">
        <v>74</v>
      </c>
      <c r="BA257" s="1" t="s">
        <v>74</v>
      </c>
      <c r="BB257" s="1">
        <v>300.0</v>
      </c>
      <c r="BC257" s="1">
        <v>306.0</v>
      </c>
      <c r="BD257" s="1" t="s">
        <v>74</v>
      </c>
      <c r="BE257" s="1" t="s">
        <v>5508</v>
      </c>
      <c r="BF257" s="2" t="str">
        <f>HYPERLINK("http://dx.doi.org/10.1007/978-3-030-93639-6_25","http://dx.doi.org/10.1007/978-3-030-93639-6_25")</f>
        <v>http://dx.doi.org/10.1007/978-3-030-93639-6_25</v>
      </c>
      <c r="BG257" s="1" t="s">
        <v>74</v>
      </c>
      <c r="BH257" s="1" t="s">
        <v>74</v>
      </c>
      <c r="BI257" s="1">
        <v>7.0</v>
      </c>
      <c r="BJ257" s="1" t="s">
        <v>5509</v>
      </c>
      <c r="BK257" s="1" t="s">
        <v>128</v>
      </c>
      <c r="BL257" s="1" t="s">
        <v>1325</v>
      </c>
      <c r="BM257" s="1" t="s">
        <v>5510</v>
      </c>
      <c r="BN257" s="1" t="s">
        <v>74</v>
      </c>
      <c r="BO257" s="1" t="s">
        <v>74</v>
      </c>
      <c r="BP257" s="1" t="s">
        <v>74</v>
      </c>
      <c r="BQ257" s="1" t="s">
        <v>74</v>
      </c>
      <c r="BR257" s="1" t="s">
        <v>102</v>
      </c>
      <c r="BS257" s="1" t="s">
        <v>5511</v>
      </c>
      <c r="BT257" s="1" t="str">
        <f>HYPERLINK("https%3A%2F%2Fwww.webofscience.com%2Fwos%2Fwoscc%2Ffull-record%2FWOS:000777604600025","View Full Record in Web of Science")</f>
        <v>View Full Record in Web of Science</v>
      </c>
    </row>
    <row r="258" ht="12.75" customHeight="1">
      <c r="A258" s="1" t="s">
        <v>132</v>
      </c>
      <c r="B258" s="1" t="s">
        <v>5512</v>
      </c>
      <c r="C258" s="1" t="s">
        <v>74</v>
      </c>
      <c r="D258" s="1" t="s">
        <v>74</v>
      </c>
      <c r="E258" s="1" t="s">
        <v>74</v>
      </c>
      <c r="F258" s="1" t="s">
        <v>5513</v>
      </c>
      <c r="G258" s="1" t="s">
        <v>74</v>
      </c>
      <c r="H258" s="1" t="s">
        <v>74</v>
      </c>
      <c r="I258" s="1" t="s">
        <v>5514</v>
      </c>
      <c r="J258" s="1" t="s">
        <v>5515</v>
      </c>
      <c r="K258" s="1" t="s">
        <v>74</v>
      </c>
      <c r="L258" s="1" t="s">
        <v>74</v>
      </c>
      <c r="M258" s="1" t="s">
        <v>80</v>
      </c>
      <c r="N258" s="1" t="s">
        <v>1010</v>
      </c>
      <c r="O258" s="1" t="s">
        <v>74</v>
      </c>
      <c r="P258" s="1" t="s">
        <v>74</v>
      </c>
      <c r="Q258" s="1" t="s">
        <v>74</v>
      </c>
      <c r="R258" s="1" t="s">
        <v>74</v>
      </c>
      <c r="S258" s="1" t="s">
        <v>74</v>
      </c>
      <c r="T258" s="1" t="s">
        <v>5516</v>
      </c>
      <c r="U258" s="1" t="s">
        <v>5517</v>
      </c>
      <c r="V258" s="1" t="s">
        <v>5518</v>
      </c>
      <c r="W258" s="1" t="s">
        <v>5519</v>
      </c>
      <c r="X258" s="1" t="s">
        <v>5520</v>
      </c>
      <c r="Y258" s="1" t="s">
        <v>5521</v>
      </c>
      <c r="Z258" s="1" t="s">
        <v>5522</v>
      </c>
      <c r="AA258" s="1" t="s">
        <v>5523</v>
      </c>
      <c r="AB258" s="1" t="s">
        <v>5524</v>
      </c>
      <c r="AC258" s="1" t="s">
        <v>74</v>
      </c>
      <c r="AD258" s="1" t="s">
        <v>74</v>
      </c>
      <c r="AE258" s="1" t="s">
        <v>74</v>
      </c>
      <c r="AF258" s="1" t="s">
        <v>74</v>
      </c>
      <c r="AG258" s="1">
        <v>70.0</v>
      </c>
      <c r="AH258" s="1">
        <v>1.0</v>
      </c>
      <c r="AI258" s="1">
        <v>1.0</v>
      </c>
      <c r="AJ258" s="1">
        <v>15.0</v>
      </c>
      <c r="AK258" s="1">
        <v>15.0</v>
      </c>
      <c r="AL258" s="1" t="s">
        <v>1970</v>
      </c>
      <c r="AM258" s="1" t="s">
        <v>1658</v>
      </c>
      <c r="AN258" s="1" t="s">
        <v>1971</v>
      </c>
      <c r="AO258" s="1" t="s">
        <v>74</v>
      </c>
      <c r="AP258" s="1" t="s">
        <v>5525</v>
      </c>
      <c r="AQ258" s="1" t="s">
        <v>74</v>
      </c>
      <c r="AR258" s="1" t="s">
        <v>5526</v>
      </c>
      <c r="AS258" s="1" t="s">
        <v>5527</v>
      </c>
      <c r="AT258" s="1" t="s">
        <v>1709</v>
      </c>
      <c r="AU258" s="1">
        <v>2024.0</v>
      </c>
      <c r="AV258" s="1">
        <v>8.0</v>
      </c>
      <c r="AW258" s="1">
        <v>9.0</v>
      </c>
      <c r="AX258" s="1" t="s">
        <v>74</v>
      </c>
      <c r="AY258" s="1" t="s">
        <v>74</v>
      </c>
      <c r="AZ258" s="1" t="s">
        <v>74</v>
      </c>
      <c r="BA258" s="1" t="s">
        <v>74</v>
      </c>
      <c r="BB258" s="1" t="s">
        <v>74</v>
      </c>
      <c r="BC258" s="1" t="s">
        <v>74</v>
      </c>
      <c r="BD258" s="1">
        <v>75.0</v>
      </c>
      <c r="BE258" s="1" t="s">
        <v>5528</v>
      </c>
      <c r="BF258" s="2" t="str">
        <f>HYPERLINK("http://dx.doi.org/10.3390/mti8090075","http://dx.doi.org/10.3390/mti8090075")</f>
        <v>http://dx.doi.org/10.3390/mti8090075</v>
      </c>
      <c r="BG258" s="1" t="s">
        <v>74</v>
      </c>
      <c r="BH258" s="1" t="s">
        <v>74</v>
      </c>
      <c r="BI258" s="1">
        <v>19.0</v>
      </c>
      <c r="BJ258" s="1" t="s">
        <v>5529</v>
      </c>
      <c r="BK258" s="1" t="s">
        <v>172</v>
      </c>
      <c r="BL258" s="1" t="s">
        <v>232</v>
      </c>
      <c r="BM258" s="1" t="s">
        <v>5530</v>
      </c>
      <c r="BN258" s="1" t="s">
        <v>74</v>
      </c>
      <c r="BO258" s="1" t="s">
        <v>174</v>
      </c>
      <c r="BP258" s="1" t="s">
        <v>74</v>
      </c>
      <c r="BQ258" s="1" t="s">
        <v>74</v>
      </c>
      <c r="BR258" s="1" t="s">
        <v>102</v>
      </c>
      <c r="BS258" s="1" t="s">
        <v>5531</v>
      </c>
      <c r="BT258" s="1" t="str">
        <f>HYPERLINK("https%3A%2F%2Fwww.webofscience.com%2Fwos%2Fwoscc%2Ffull-record%2FWOS:001323705200001","View Full Record in Web of Science")</f>
        <v>View Full Record in Web of Science</v>
      </c>
    </row>
    <row r="259" ht="12.75" customHeight="1">
      <c r="A259" s="1" t="s">
        <v>132</v>
      </c>
      <c r="B259" s="1" t="s">
        <v>5532</v>
      </c>
      <c r="C259" s="1" t="s">
        <v>74</v>
      </c>
      <c r="D259" s="1" t="s">
        <v>74</v>
      </c>
      <c r="E259" s="1" t="s">
        <v>74</v>
      </c>
      <c r="F259" s="1" t="s">
        <v>5533</v>
      </c>
      <c r="G259" s="1" t="s">
        <v>74</v>
      </c>
      <c r="H259" s="1" t="s">
        <v>74</v>
      </c>
      <c r="I259" s="1" t="s">
        <v>5534</v>
      </c>
      <c r="J259" s="1" t="s">
        <v>5535</v>
      </c>
      <c r="K259" s="1" t="s">
        <v>74</v>
      </c>
      <c r="L259" s="1" t="s">
        <v>74</v>
      </c>
      <c r="M259" s="1" t="s">
        <v>80</v>
      </c>
      <c r="N259" s="1" t="s">
        <v>1563</v>
      </c>
      <c r="O259" s="1" t="s">
        <v>74</v>
      </c>
      <c r="P259" s="1" t="s">
        <v>74</v>
      </c>
      <c r="Q259" s="1" t="s">
        <v>74</v>
      </c>
      <c r="R259" s="1" t="s">
        <v>74</v>
      </c>
      <c r="S259" s="1" t="s">
        <v>74</v>
      </c>
      <c r="T259" s="1" t="s">
        <v>5536</v>
      </c>
      <c r="U259" s="1" t="s">
        <v>74</v>
      </c>
      <c r="V259" s="1" t="s">
        <v>5537</v>
      </c>
      <c r="W259" s="1" t="s">
        <v>5538</v>
      </c>
      <c r="X259" s="1" t="s">
        <v>5539</v>
      </c>
      <c r="Y259" s="1" t="s">
        <v>5540</v>
      </c>
      <c r="Z259" s="1" t="s">
        <v>5541</v>
      </c>
      <c r="AA259" s="1" t="s">
        <v>5542</v>
      </c>
      <c r="AB259" s="1" t="s">
        <v>5543</v>
      </c>
      <c r="AC259" s="1" t="s">
        <v>5544</v>
      </c>
      <c r="AD259" s="1" t="s">
        <v>5544</v>
      </c>
      <c r="AE259" s="1" t="s">
        <v>5544</v>
      </c>
      <c r="AF259" s="1" t="s">
        <v>74</v>
      </c>
      <c r="AG259" s="1">
        <v>47.0</v>
      </c>
      <c r="AH259" s="1">
        <v>11.0</v>
      </c>
      <c r="AI259" s="1">
        <v>12.0</v>
      </c>
      <c r="AJ259" s="1">
        <v>27.0</v>
      </c>
      <c r="AK259" s="1">
        <v>73.0</v>
      </c>
      <c r="AL259" s="1" t="s">
        <v>1357</v>
      </c>
      <c r="AM259" s="1" t="s">
        <v>1358</v>
      </c>
      <c r="AN259" s="1" t="s">
        <v>1359</v>
      </c>
      <c r="AO259" s="1" t="s">
        <v>5545</v>
      </c>
      <c r="AP259" s="1" t="s">
        <v>5546</v>
      </c>
      <c r="AQ259" s="1" t="s">
        <v>74</v>
      </c>
      <c r="AR259" s="1" t="s">
        <v>5547</v>
      </c>
      <c r="AS259" s="1" t="s">
        <v>5548</v>
      </c>
      <c r="AT259" s="1" t="s">
        <v>1709</v>
      </c>
      <c r="AU259" s="1">
        <v>2023.0</v>
      </c>
      <c r="AV259" s="1">
        <v>25.0</v>
      </c>
      <c r="AW259" s="1">
        <v>3.0</v>
      </c>
      <c r="AX259" s="1" t="s">
        <v>74</v>
      </c>
      <c r="AY259" s="1" t="s">
        <v>74</v>
      </c>
      <c r="AZ259" s="1" t="s">
        <v>74</v>
      </c>
      <c r="BA259" s="1" t="s">
        <v>74</v>
      </c>
      <c r="BB259" s="1">
        <v>474.0</v>
      </c>
      <c r="BC259" s="1">
        <v>481.0</v>
      </c>
      <c r="BD259" s="1" t="s">
        <v>74</v>
      </c>
      <c r="BE259" s="1" t="s">
        <v>5549</v>
      </c>
      <c r="BF259" s="2" t="str">
        <f>HYPERLINK("http://dx.doi.org/10.1111/nhs.13029","http://dx.doi.org/10.1111/nhs.13029")</f>
        <v>http://dx.doi.org/10.1111/nhs.13029</v>
      </c>
      <c r="BG259" s="1" t="s">
        <v>74</v>
      </c>
      <c r="BH259" s="1" t="s">
        <v>4124</v>
      </c>
      <c r="BI259" s="1">
        <v>8.0</v>
      </c>
      <c r="BJ259" s="1" t="s">
        <v>1578</v>
      </c>
      <c r="BK259" s="1" t="s">
        <v>783</v>
      </c>
      <c r="BL259" s="1" t="s">
        <v>1578</v>
      </c>
      <c r="BM259" s="1" t="s">
        <v>5550</v>
      </c>
      <c r="BN259" s="1">
        <v>3.7332058E7</v>
      </c>
      <c r="BO259" s="1" t="s">
        <v>5551</v>
      </c>
      <c r="BP259" s="1" t="s">
        <v>74</v>
      </c>
      <c r="BQ259" s="1" t="s">
        <v>74</v>
      </c>
      <c r="BR259" s="1" t="s">
        <v>102</v>
      </c>
      <c r="BS259" s="1" t="s">
        <v>5552</v>
      </c>
      <c r="BT259" s="1" t="str">
        <f>HYPERLINK("https%3A%2F%2Fwww.webofscience.com%2Fwos%2Fwoscc%2Ffull-record%2FWOS:001012780000001","View Full Record in Web of Science")</f>
        <v>View Full Record in Web of Science</v>
      </c>
    </row>
    <row r="260" ht="12.75" customHeight="1">
      <c r="A260" s="1" t="s">
        <v>132</v>
      </c>
      <c r="B260" s="1" t="s">
        <v>5553</v>
      </c>
      <c r="C260" s="1" t="s">
        <v>74</v>
      </c>
      <c r="D260" s="1" t="s">
        <v>74</v>
      </c>
      <c r="E260" s="1" t="s">
        <v>74</v>
      </c>
      <c r="F260" s="1" t="s">
        <v>5554</v>
      </c>
      <c r="G260" s="1" t="s">
        <v>74</v>
      </c>
      <c r="H260" s="1" t="s">
        <v>74</v>
      </c>
      <c r="I260" s="1" t="s">
        <v>5555</v>
      </c>
      <c r="J260" s="1" t="s">
        <v>5556</v>
      </c>
      <c r="K260" s="1" t="s">
        <v>74</v>
      </c>
      <c r="L260" s="1" t="s">
        <v>74</v>
      </c>
      <c r="M260" s="1" t="s">
        <v>80</v>
      </c>
      <c r="N260" s="1" t="s">
        <v>136</v>
      </c>
      <c r="O260" s="1" t="s">
        <v>74</v>
      </c>
      <c r="P260" s="1" t="s">
        <v>74</v>
      </c>
      <c r="Q260" s="1" t="s">
        <v>74</v>
      </c>
      <c r="R260" s="1" t="s">
        <v>74</v>
      </c>
      <c r="S260" s="1" t="s">
        <v>74</v>
      </c>
      <c r="T260" s="1" t="s">
        <v>5557</v>
      </c>
      <c r="U260" s="1" t="s">
        <v>5558</v>
      </c>
      <c r="V260" s="1" t="s">
        <v>5559</v>
      </c>
      <c r="W260" s="1" t="s">
        <v>5560</v>
      </c>
      <c r="X260" s="1" t="s">
        <v>5561</v>
      </c>
      <c r="Y260" s="1" t="s">
        <v>5562</v>
      </c>
      <c r="Z260" s="1" t="s">
        <v>5563</v>
      </c>
      <c r="AA260" s="1" t="s">
        <v>5564</v>
      </c>
      <c r="AB260" s="1" t="s">
        <v>74</v>
      </c>
      <c r="AC260" s="1" t="s">
        <v>74</v>
      </c>
      <c r="AD260" s="1" t="s">
        <v>74</v>
      </c>
      <c r="AE260" s="1" t="s">
        <v>74</v>
      </c>
      <c r="AF260" s="1" t="s">
        <v>74</v>
      </c>
      <c r="AG260" s="1">
        <v>43.0</v>
      </c>
      <c r="AH260" s="1">
        <v>24.0</v>
      </c>
      <c r="AI260" s="1">
        <v>24.0</v>
      </c>
      <c r="AJ260" s="1">
        <v>4.0</v>
      </c>
      <c r="AK260" s="1">
        <v>28.0</v>
      </c>
      <c r="AL260" s="1" t="s">
        <v>5565</v>
      </c>
      <c r="AM260" s="1" t="s">
        <v>193</v>
      </c>
      <c r="AN260" s="1" t="s">
        <v>5566</v>
      </c>
      <c r="AO260" s="1" t="s">
        <v>5567</v>
      </c>
      <c r="AP260" s="1" t="s">
        <v>5568</v>
      </c>
      <c r="AQ260" s="1" t="s">
        <v>74</v>
      </c>
      <c r="AR260" s="1" t="s">
        <v>5569</v>
      </c>
      <c r="AS260" s="1" t="s">
        <v>5570</v>
      </c>
      <c r="AT260" s="1" t="s">
        <v>1301</v>
      </c>
      <c r="AU260" s="1">
        <v>2020.0</v>
      </c>
      <c r="AV260" s="1">
        <v>24.0</v>
      </c>
      <c r="AW260" s="1">
        <v>1.0</v>
      </c>
      <c r="AX260" s="1" t="s">
        <v>74</v>
      </c>
      <c r="AY260" s="1" t="s">
        <v>74</v>
      </c>
      <c r="AZ260" s="1" t="s">
        <v>74</v>
      </c>
      <c r="BA260" s="1" t="s">
        <v>74</v>
      </c>
      <c r="BB260" s="1">
        <v>74.0</v>
      </c>
      <c r="BC260" s="1">
        <v>80.0</v>
      </c>
      <c r="BD260" s="1" t="s">
        <v>74</v>
      </c>
      <c r="BE260" s="1" t="s">
        <v>5571</v>
      </c>
      <c r="BF260" s="2" t="str">
        <f>HYPERLINK("http://dx.doi.org/10.1055/s-0039-3400270","http://dx.doi.org/10.1055/s-0039-3400270")</f>
        <v>http://dx.doi.org/10.1055/s-0039-3400270</v>
      </c>
      <c r="BG260" s="1" t="s">
        <v>74</v>
      </c>
      <c r="BH260" s="1" t="s">
        <v>74</v>
      </c>
      <c r="BI260" s="1">
        <v>7.0</v>
      </c>
      <c r="BJ260" s="1" t="s">
        <v>656</v>
      </c>
      <c r="BK260" s="1" t="s">
        <v>149</v>
      </c>
      <c r="BL260" s="1" t="s">
        <v>656</v>
      </c>
      <c r="BM260" s="1" t="s">
        <v>5572</v>
      </c>
      <c r="BN260" s="1">
        <v>3.1991454E7</v>
      </c>
      <c r="BO260" s="1" t="s">
        <v>74</v>
      </c>
      <c r="BP260" s="1" t="s">
        <v>74</v>
      </c>
      <c r="BQ260" s="1" t="s">
        <v>74</v>
      </c>
      <c r="BR260" s="1" t="s">
        <v>102</v>
      </c>
      <c r="BS260" s="1" t="s">
        <v>5573</v>
      </c>
      <c r="BT260" s="1" t="str">
        <f>HYPERLINK("https%3A%2F%2Fwww.webofscience.com%2Fwos%2Fwoscc%2Ffull-record%2FWOS:000509938200009","View Full Record in Web of Science")</f>
        <v>View Full Record in Web of Science</v>
      </c>
    </row>
    <row r="261" ht="12.75" customHeight="1">
      <c r="A261" s="1" t="s">
        <v>72</v>
      </c>
      <c r="B261" s="1" t="s">
        <v>5574</v>
      </c>
      <c r="C261" s="1" t="s">
        <v>74</v>
      </c>
      <c r="D261" s="1" t="s">
        <v>5575</v>
      </c>
      <c r="E261" s="1" t="s">
        <v>74</v>
      </c>
      <c r="F261" s="1" t="s">
        <v>5576</v>
      </c>
      <c r="G261" s="1" t="s">
        <v>74</v>
      </c>
      <c r="H261" s="1" t="s">
        <v>74</v>
      </c>
      <c r="I261" s="1" t="s">
        <v>5577</v>
      </c>
      <c r="J261" s="1" t="s">
        <v>5578</v>
      </c>
      <c r="K261" s="1" t="s">
        <v>74</v>
      </c>
      <c r="L261" s="1" t="s">
        <v>74</v>
      </c>
      <c r="M261" s="1" t="s">
        <v>80</v>
      </c>
      <c r="N261" s="1" t="s">
        <v>81</v>
      </c>
      <c r="O261" s="1" t="s">
        <v>5579</v>
      </c>
      <c r="P261" s="1" t="s">
        <v>5580</v>
      </c>
      <c r="Q261" s="1" t="s">
        <v>1376</v>
      </c>
      <c r="R261" s="1" t="s">
        <v>5581</v>
      </c>
      <c r="S261" s="1" t="s">
        <v>74</v>
      </c>
      <c r="T261" s="1" t="s">
        <v>5582</v>
      </c>
      <c r="U261" s="1" t="s">
        <v>5583</v>
      </c>
      <c r="V261" s="1" t="s">
        <v>5584</v>
      </c>
      <c r="W261" s="1" t="s">
        <v>5585</v>
      </c>
      <c r="X261" s="1" t="s">
        <v>5586</v>
      </c>
      <c r="Y261" s="1" t="s">
        <v>5587</v>
      </c>
      <c r="Z261" s="1" t="s">
        <v>5588</v>
      </c>
      <c r="AA261" s="1" t="s">
        <v>5589</v>
      </c>
      <c r="AB261" s="1" t="s">
        <v>5590</v>
      </c>
      <c r="AC261" s="1" t="s">
        <v>5591</v>
      </c>
      <c r="AD261" s="1" t="s">
        <v>5591</v>
      </c>
      <c r="AE261" s="1" t="s">
        <v>5592</v>
      </c>
      <c r="AF261" s="1" t="s">
        <v>74</v>
      </c>
      <c r="AG261" s="1">
        <v>26.0</v>
      </c>
      <c r="AH261" s="1">
        <v>47.0</v>
      </c>
      <c r="AI261" s="1">
        <v>52.0</v>
      </c>
      <c r="AJ261" s="1">
        <v>7.0</v>
      </c>
      <c r="AK261" s="1">
        <v>50.0</v>
      </c>
      <c r="AL261" s="1" t="s">
        <v>223</v>
      </c>
      <c r="AM261" s="1" t="s">
        <v>224</v>
      </c>
      <c r="AN261" s="1" t="s">
        <v>225</v>
      </c>
      <c r="AO261" s="1" t="s">
        <v>74</v>
      </c>
      <c r="AP261" s="1" t="s">
        <v>74</v>
      </c>
      <c r="AQ261" s="1" t="s">
        <v>5593</v>
      </c>
      <c r="AR261" s="1" t="s">
        <v>74</v>
      </c>
      <c r="AS261" s="1" t="s">
        <v>74</v>
      </c>
      <c r="AT261" s="1" t="s">
        <v>74</v>
      </c>
      <c r="AU261" s="1">
        <v>2019.0</v>
      </c>
      <c r="AV261" s="1" t="s">
        <v>74</v>
      </c>
      <c r="AW261" s="1" t="s">
        <v>74</v>
      </c>
      <c r="AX261" s="1" t="s">
        <v>74</v>
      </c>
      <c r="AY261" s="1" t="s">
        <v>74</v>
      </c>
      <c r="AZ261" s="1" t="s">
        <v>74</v>
      </c>
      <c r="BA261" s="1" t="s">
        <v>74</v>
      </c>
      <c r="BB261" s="1">
        <v>359.0</v>
      </c>
      <c r="BC261" s="1">
        <v>370.0</v>
      </c>
      <c r="BD261" s="1" t="s">
        <v>74</v>
      </c>
      <c r="BE261" s="1" t="s">
        <v>5594</v>
      </c>
      <c r="BF261" s="2" t="str">
        <f>HYPERLINK("http://dx.doi.org/10.1007/978-3-030-05940-8_28","http://dx.doi.org/10.1007/978-3-030-05940-8_28")</f>
        <v>http://dx.doi.org/10.1007/978-3-030-05940-8_28</v>
      </c>
      <c r="BG261" s="1" t="s">
        <v>74</v>
      </c>
      <c r="BH261" s="1" t="s">
        <v>74</v>
      </c>
      <c r="BI261" s="1">
        <v>12.0</v>
      </c>
      <c r="BJ261" s="1" t="s">
        <v>5595</v>
      </c>
      <c r="BK261" s="1" t="s">
        <v>405</v>
      </c>
      <c r="BL261" s="1" t="s">
        <v>4526</v>
      </c>
      <c r="BM261" s="1" t="s">
        <v>5596</v>
      </c>
      <c r="BN261" s="1" t="s">
        <v>74</v>
      </c>
      <c r="BO261" s="1" t="s">
        <v>74</v>
      </c>
      <c r="BP261" s="1" t="s">
        <v>74</v>
      </c>
      <c r="BQ261" s="1" t="s">
        <v>74</v>
      </c>
      <c r="BR261" s="1" t="s">
        <v>102</v>
      </c>
      <c r="BS261" s="1" t="s">
        <v>5597</v>
      </c>
      <c r="BT261" s="1" t="str">
        <f>HYPERLINK("https%3A%2F%2Fwww.webofscience.com%2Fwos%2Fwoscc%2Ffull-record%2FWOS:000518026800028","View Full Record in Web of Science")</f>
        <v>View Full Record in Web of Science</v>
      </c>
    </row>
    <row r="262" ht="12.75" customHeight="1">
      <c r="A262" s="1" t="s">
        <v>72</v>
      </c>
      <c r="B262" s="1" t="s">
        <v>5598</v>
      </c>
      <c r="C262" s="1" t="s">
        <v>74</v>
      </c>
      <c r="D262" s="1" t="s">
        <v>74</v>
      </c>
      <c r="E262" s="1" t="s">
        <v>5599</v>
      </c>
      <c r="F262" s="1" t="s">
        <v>5600</v>
      </c>
      <c r="G262" s="1" t="s">
        <v>74</v>
      </c>
      <c r="H262" s="1" t="s">
        <v>74</v>
      </c>
      <c r="I262" s="1" t="s">
        <v>5601</v>
      </c>
      <c r="J262" s="1" t="s">
        <v>5602</v>
      </c>
      <c r="K262" s="1" t="s">
        <v>5603</v>
      </c>
      <c r="L262" s="1" t="s">
        <v>74</v>
      </c>
      <c r="M262" s="1" t="s">
        <v>80</v>
      </c>
      <c r="N262" s="1" t="s">
        <v>81</v>
      </c>
      <c r="O262" s="1" t="s">
        <v>5604</v>
      </c>
      <c r="P262" s="1" t="s">
        <v>5605</v>
      </c>
      <c r="Q262" s="1" t="s">
        <v>5606</v>
      </c>
      <c r="R262" s="1" t="s">
        <v>74</v>
      </c>
      <c r="S262" s="1" t="s">
        <v>74</v>
      </c>
      <c r="T262" s="1" t="s">
        <v>5607</v>
      </c>
      <c r="U262" s="1" t="s">
        <v>5608</v>
      </c>
      <c r="V262" s="1" t="s">
        <v>5609</v>
      </c>
      <c r="W262" s="1" t="s">
        <v>5610</v>
      </c>
      <c r="X262" s="1" t="s">
        <v>5611</v>
      </c>
      <c r="Y262" s="1" t="s">
        <v>5612</v>
      </c>
      <c r="Z262" s="1" t="s">
        <v>74</v>
      </c>
      <c r="AA262" s="1" t="s">
        <v>74</v>
      </c>
      <c r="AB262" s="1" t="s">
        <v>74</v>
      </c>
      <c r="AC262" s="1" t="s">
        <v>74</v>
      </c>
      <c r="AD262" s="1" t="s">
        <v>74</v>
      </c>
      <c r="AE262" s="1" t="s">
        <v>74</v>
      </c>
      <c r="AF262" s="1" t="s">
        <v>74</v>
      </c>
      <c r="AG262" s="1">
        <v>5.0</v>
      </c>
      <c r="AH262" s="1">
        <v>1.0</v>
      </c>
      <c r="AI262" s="1">
        <v>1.0</v>
      </c>
      <c r="AJ262" s="1">
        <v>6.0</v>
      </c>
      <c r="AK262" s="1">
        <v>36.0</v>
      </c>
      <c r="AL262" s="1" t="s">
        <v>5613</v>
      </c>
      <c r="AM262" s="1" t="s">
        <v>5614</v>
      </c>
      <c r="AN262" s="1" t="s">
        <v>5615</v>
      </c>
      <c r="AO262" s="1" t="s">
        <v>5616</v>
      </c>
      <c r="AP262" s="1" t="s">
        <v>74</v>
      </c>
      <c r="AQ262" s="1" t="s">
        <v>5617</v>
      </c>
      <c r="AR262" s="1" t="s">
        <v>5618</v>
      </c>
      <c r="AS262" s="1" t="s">
        <v>74</v>
      </c>
      <c r="AT262" s="1" t="s">
        <v>74</v>
      </c>
      <c r="AU262" s="1">
        <v>2017.0</v>
      </c>
      <c r="AV262" s="1" t="s">
        <v>74</v>
      </c>
      <c r="AW262" s="1" t="s">
        <v>74</v>
      </c>
      <c r="AX262" s="1" t="s">
        <v>74</v>
      </c>
      <c r="AY262" s="1" t="s">
        <v>74</v>
      </c>
      <c r="AZ262" s="1" t="s">
        <v>74</v>
      </c>
      <c r="BA262" s="1" t="s">
        <v>74</v>
      </c>
      <c r="BB262" s="1">
        <v>245.0</v>
      </c>
      <c r="BC262" s="1">
        <v>249.0</v>
      </c>
      <c r="BD262" s="1" t="s">
        <v>74</v>
      </c>
      <c r="BE262" s="1" t="s">
        <v>74</v>
      </c>
      <c r="BF262" s="1" t="s">
        <v>74</v>
      </c>
      <c r="BG262" s="1" t="s">
        <v>74</v>
      </c>
      <c r="BH262" s="1" t="s">
        <v>74</v>
      </c>
      <c r="BI262" s="1">
        <v>5.0</v>
      </c>
      <c r="BJ262" s="1" t="s">
        <v>5619</v>
      </c>
      <c r="BK262" s="1" t="s">
        <v>99</v>
      </c>
      <c r="BL262" s="1" t="s">
        <v>5620</v>
      </c>
      <c r="BM262" s="1" t="s">
        <v>5621</v>
      </c>
      <c r="BN262" s="1" t="s">
        <v>74</v>
      </c>
      <c r="BO262" s="1" t="s">
        <v>74</v>
      </c>
      <c r="BP262" s="1" t="s">
        <v>74</v>
      </c>
      <c r="BQ262" s="1" t="s">
        <v>74</v>
      </c>
      <c r="BR262" s="1" t="s">
        <v>102</v>
      </c>
      <c r="BS262" s="1" t="s">
        <v>5622</v>
      </c>
      <c r="BT262" s="1" t="str">
        <f>HYPERLINK("https%3A%2F%2Fwww.webofscience.com%2Fwos%2Fwoscc%2Ffull-record%2FWOS:000428761200047","View Full Record in Web of Science")</f>
        <v>View Full Record in Web of Science</v>
      </c>
    </row>
    <row r="263" ht="12.75" customHeight="1">
      <c r="A263" s="1" t="s">
        <v>132</v>
      </c>
      <c r="B263" s="1" t="s">
        <v>5623</v>
      </c>
      <c r="C263" s="1" t="s">
        <v>74</v>
      </c>
      <c r="D263" s="1" t="s">
        <v>74</v>
      </c>
      <c r="E263" s="1" t="s">
        <v>74</v>
      </c>
      <c r="F263" s="1" t="s">
        <v>5624</v>
      </c>
      <c r="G263" s="1" t="s">
        <v>74</v>
      </c>
      <c r="H263" s="1" t="s">
        <v>74</v>
      </c>
      <c r="I263" s="1" t="s">
        <v>5625</v>
      </c>
      <c r="J263" s="1" t="s">
        <v>2834</v>
      </c>
      <c r="K263" s="1" t="s">
        <v>74</v>
      </c>
      <c r="L263" s="1" t="s">
        <v>74</v>
      </c>
      <c r="M263" s="1" t="s">
        <v>80</v>
      </c>
      <c r="N263" s="1" t="s">
        <v>136</v>
      </c>
      <c r="O263" s="1" t="s">
        <v>74</v>
      </c>
      <c r="P263" s="1" t="s">
        <v>74</v>
      </c>
      <c r="Q263" s="1" t="s">
        <v>74</v>
      </c>
      <c r="R263" s="1" t="s">
        <v>74</v>
      </c>
      <c r="S263" s="1" t="s">
        <v>74</v>
      </c>
      <c r="T263" s="1" t="s">
        <v>5626</v>
      </c>
      <c r="U263" s="1" t="s">
        <v>5627</v>
      </c>
      <c r="V263" s="1" t="s">
        <v>5628</v>
      </c>
      <c r="W263" s="1" t="s">
        <v>5629</v>
      </c>
      <c r="X263" s="1" t="s">
        <v>5630</v>
      </c>
      <c r="Y263" s="1" t="s">
        <v>5631</v>
      </c>
      <c r="Z263" s="1" t="s">
        <v>5632</v>
      </c>
      <c r="AA263" s="1" t="s">
        <v>5633</v>
      </c>
      <c r="AB263" s="1" t="s">
        <v>74</v>
      </c>
      <c r="AC263" s="1" t="s">
        <v>74</v>
      </c>
      <c r="AD263" s="1" t="s">
        <v>74</v>
      </c>
      <c r="AE263" s="1" t="s">
        <v>74</v>
      </c>
      <c r="AF263" s="1" t="s">
        <v>74</v>
      </c>
      <c r="AG263" s="1">
        <v>61.0</v>
      </c>
      <c r="AH263" s="1">
        <v>48.0</v>
      </c>
      <c r="AI263" s="1">
        <v>50.0</v>
      </c>
      <c r="AJ263" s="1">
        <v>32.0</v>
      </c>
      <c r="AK263" s="1">
        <v>199.0</v>
      </c>
      <c r="AL263" s="1" t="s">
        <v>1571</v>
      </c>
      <c r="AM263" s="1" t="s">
        <v>1572</v>
      </c>
      <c r="AN263" s="1" t="s">
        <v>1573</v>
      </c>
      <c r="AO263" s="1" t="s">
        <v>2847</v>
      </c>
      <c r="AP263" s="1" t="s">
        <v>2848</v>
      </c>
      <c r="AQ263" s="1" t="s">
        <v>74</v>
      </c>
      <c r="AR263" s="1" t="s">
        <v>2849</v>
      </c>
      <c r="AS263" s="1" t="s">
        <v>2850</v>
      </c>
      <c r="AT263" s="1" t="s">
        <v>1301</v>
      </c>
      <c r="AU263" s="1">
        <v>2023.0</v>
      </c>
      <c r="AV263" s="1">
        <v>41.0</v>
      </c>
      <c r="AW263" s="1">
        <v>1.0</v>
      </c>
      <c r="AX263" s="1" t="s">
        <v>74</v>
      </c>
      <c r="AY263" s="1" t="s">
        <v>74</v>
      </c>
      <c r="AZ263" s="1" t="s">
        <v>74</v>
      </c>
      <c r="BA263" s="1" t="s">
        <v>74</v>
      </c>
      <c r="BB263" s="1">
        <v>123.0</v>
      </c>
      <c r="BC263" s="1">
        <v>140.0</v>
      </c>
      <c r="BD263" s="1">
        <v>8.944393211034087E15</v>
      </c>
      <c r="BE263" s="1" t="s">
        <v>5634</v>
      </c>
      <c r="BF263" s="2" t="str">
        <f>HYPERLINK("http://dx.doi.org/10.1177/08944393211034087","http://dx.doi.org/10.1177/08944393211034087")</f>
        <v>http://dx.doi.org/10.1177/08944393211034087</v>
      </c>
      <c r="BG263" s="1" t="s">
        <v>74</v>
      </c>
      <c r="BH263" s="1" t="s">
        <v>5635</v>
      </c>
      <c r="BI263" s="1">
        <v>18.0</v>
      </c>
      <c r="BJ263" s="1" t="s">
        <v>2852</v>
      </c>
      <c r="BK263" s="1" t="s">
        <v>783</v>
      </c>
      <c r="BL263" s="1" t="s">
        <v>2853</v>
      </c>
      <c r="BM263" s="1" t="s">
        <v>5636</v>
      </c>
      <c r="BN263" s="1" t="s">
        <v>74</v>
      </c>
      <c r="BO263" s="1" t="s">
        <v>74</v>
      </c>
      <c r="BP263" s="1" t="s">
        <v>74</v>
      </c>
      <c r="BQ263" s="1" t="s">
        <v>74</v>
      </c>
      <c r="BR263" s="1" t="s">
        <v>102</v>
      </c>
      <c r="BS263" s="1" t="s">
        <v>5637</v>
      </c>
      <c r="BT263" s="1" t="str">
        <f>HYPERLINK("https%3A%2F%2Fwww.webofscience.com%2Fwos%2Fwoscc%2Ffull-record%2FWOS:000678284900001","View Full Record in Web of Science")</f>
        <v>View Full Record in Web of Science</v>
      </c>
    </row>
    <row r="264" ht="12.75" customHeight="1">
      <c r="A264" s="1" t="s">
        <v>132</v>
      </c>
      <c r="B264" s="1" t="s">
        <v>5638</v>
      </c>
      <c r="C264" s="1" t="s">
        <v>74</v>
      </c>
      <c r="D264" s="1" t="s">
        <v>74</v>
      </c>
      <c r="E264" s="1" t="s">
        <v>74</v>
      </c>
      <c r="F264" s="1" t="s">
        <v>5639</v>
      </c>
      <c r="G264" s="1" t="s">
        <v>74</v>
      </c>
      <c r="H264" s="1" t="s">
        <v>74</v>
      </c>
      <c r="I264" s="1" t="s">
        <v>5640</v>
      </c>
      <c r="J264" s="1" t="s">
        <v>5641</v>
      </c>
      <c r="K264" s="1" t="s">
        <v>74</v>
      </c>
      <c r="L264" s="1" t="s">
        <v>74</v>
      </c>
      <c r="M264" s="1" t="s">
        <v>80</v>
      </c>
      <c r="N264" s="1" t="s">
        <v>136</v>
      </c>
      <c r="O264" s="1" t="s">
        <v>74</v>
      </c>
      <c r="P264" s="1" t="s">
        <v>74</v>
      </c>
      <c r="Q264" s="1" t="s">
        <v>74</v>
      </c>
      <c r="R264" s="1" t="s">
        <v>74</v>
      </c>
      <c r="S264" s="1" t="s">
        <v>74</v>
      </c>
      <c r="T264" s="1" t="s">
        <v>5642</v>
      </c>
      <c r="U264" s="1" t="s">
        <v>74</v>
      </c>
      <c r="V264" s="1" t="s">
        <v>5643</v>
      </c>
      <c r="W264" s="1" t="s">
        <v>5644</v>
      </c>
      <c r="X264" s="1" t="s">
        <v>5645</v>
      </c>
      <c r="Y264" s="1" t="s">
        <v>5646</v>
      </c>
      <c r="Z264" s="1" t="s">
        <v>74</v>
      </c>
      <c r="AA264" s="1" t="s">
        <v>74</v>
      </c>
      <c r="AB264" s="1" t="s">
        <v>74</v>
      </c>
      <c r="AC264" s="1" t="s">
        <v>74</v>
      </c>
      <c r="AD264" s="1" t="s">
        <v>74</v>
      </c>
      <c r="AE264" s="1" t="s">
        <v>74</v>
      </c>
      <c r="AF264" s="1" t="s">
        <v>74</v>
      </c>
      <c r="AG264" s="1">
        <v>57.0</v>
      </c>
      <c r="AH264" s="1">
        <v>0.0</v>
      </c>
      <c r="AI264" s="1">
        <v>0.0</v>
      </c>
      <c r="AJ264" s="1">
        <v>11.0</v>
      </c>
      <c r="AK264" s="1">
        <v>24.0</v>
      </c>
      <c r="AL264" s="1" t="s">
        <v>5647</v>
      </c>
      <c r="AM264" s="1" t="s">
        <v>5648</v>
      </c>
      <c r="AN264" s="1" t="s">
        <v>5649</v>
      </c>
      <c r="AO264" s="1" t="s">
        <v>5650</v>
      </c>
      <c r="AP264" s="1" t="s">
        <v>74</v>
      </c>
      <c r="AQ264" s="1" t="s">
        <v>74</v>
      </c>
      <c r="AR264" s="1" t="s">
        <v>5651</v>
      </c>
      <c r="AS264" s="1" t="s">
        <v>5652</v>
      </c>
      <c r="AT264" s="1" t="s">
        <v>4667</v>
      </c>
      <c r="AU264" s="1">
        <v>2023.0</v>
      </c>
      <c r="AV264" s="1">
        <v>14.0</v>
      </c>
      <c r="AW264" s="1">
        <v>3.0</v>
      </c>
      <c r="AX264" s="1" t="s">
        <v>74</v>
      </c>
      <c r="AY264" s="1" t="s">
        <v>74</v>
      </c>
      <c r="AZ264" s="1" t="s">
        <v>74</v>
      </c>
      <c r="BA264" s="1" t="s">
        <v>74</v>
      </c>
      <c r="BB264" s="1">
        <v>62.0</v>
      </c>
      <c r="BC264" s="1">
        <v>81.0</v>
      </c>
      <c r="BD264" s="1" t="s">
        <v>74</v>
      </c>
      <c r="BE264" s="1" t="s">
        <v>5653</v>
      </c>
      <c r="BF264" s="2" t="str">
        <f>HYPERLINK("http://dx.doi.org/10.21615/cesder.7416","http://dx.doi.org/10.21615/cesder.7416")</f>
        <v>http://dx.doi.org/10.21615/cesder.7416</v>
      </c>
      <c r="BG264" s="1" t="s">
        <v>74</v>
      </c>
      <c r="BH264" s="1" t="s">
        <v>74</v>
      </c>
      <c r="BI264" s="1">
        <v>20.0</v>
      </c>
      <c r="BJ264" s="1" t="s">
        <v>915</v>
      </c>
      <c r="BK264" s="1" t="s">
        <v>172</v>
      </c>
      <c r="BL264" s="1" t="s">
        <v>916</v>
      </c>
      <c r="BM264" s="1" t="s">
        <v>5654</v>
      </c>
      <c r="BN264" s="1" t="s">
        <v>74</v>
      </c>
      <c r="BO264" s="1" t="s">
        <v>174</v>
      </c>
      <c r="BP264" s="1" t="s">
        <v>74</v>
      </c>
      <c r="BQ264" s="1" t="s">
        <v>74</v>
      </c>
      <c r="BR264" s="1" t="s">
        <v>102</v>
      </c>
      <c r="BS264" s="1" t="s">
        <v>5655</v>
      </c>
      <c r="BT264" s="1" t="str">
        <f>HYPERLINK("https%3A%2F%2Fwww.webofscience.com%2Fwos%2Fwoscc%2Ffull-record%2FWOS:001123780000006","View Full Record in Web of Science")</f>
        <v>View Full Record in Web of Science</v>
      </c>
    </row>
    <row r="265" ht="12.75" customHeight="1">
      <c r="A265" s="1" t="s">
        <v>132</v>
      </c>
      <c r="B265" s="1" t="s">
        <v>5656</v>
      </c>
      <c r="C265" s="1" t="s">
        <v>74</v>
      </c>
      <c r="D265" s="1" t="s">
        <v>74</v>
      </c>
      <c r="E265" s="1" t="s">
        <v>74</v>
      </c>
      <c r="F265" s="1" t="s">
        <v>5657</v>
      </c>
      <c r="G265" s="1" t="s">
        <v>74</v>
      </c>
      <c r="H265" s="1" t="s">
        <v>74</v>
      </c>
      <c r="I265" s="1" t="s">
        <v>5658</v>
      </c>
      <c r="J265" s="1" t="s">
        <v>5659</v>
      </c>
      <c r="K265" s="1" t="s">
        <v>74</v>
      </c>
      <c r="L265" s="1" t="s">
        <v>74</v>
      </c>
      <c r="M265" s="1" t="s">
        <v>80</v>
      </c>
      <c r="N265" s="1" t="s">
        <v>136</v>
      </c>
      <c r="O265" s="1" t="s">
        <v>74</v>
      </c>
      <c r="P265" s="1" t="s">
        <v>74</v>
      </c>
      <c r="Q265" s="1" t="s">
        <v>74</v>
      </c>
      <c r="R265" s="1" t="s">
        <v>74</v>
      </c>
      <c r="S265" s="1" t="s">
        <v>74</v>
      </c>
      <c r="T265" s="1" t="s">
        <v>5660</v>
      </c>
      <c r="U265" s="1" t="s">
        <v>74</v>
      </c>
      <c r="V265" s="1" t="s">
        <v>5661</v>
      </c>
      <c r="W265" s="1" t="s">
        <v>5662</v>
      </c>
      <c r="X265" s="1" t="s">
        <v>5663</v>
      </c>
      <c r="Y265" s="1" t="s">
        <v>5664</v>
      </c>
      <c r="Z265" s="1" t="s">
        <v>5665</v>
      </c>
      <c r="AA265" s="1" t="s">
        <v>74</v>
      </c>
      <c r="AB265" s="1" t="s">
        <v>5666</v>
      </c>
      <c r="AC265" s="1" t="s">
        <v>74</v>
      </c>
      <c r="AD265" s="1" t="s">
        <v>74</v>
      </c>
      <c r="AE265" s="1" t="s">
        <v>74</v>
      </c>
      <c r="AF265" s="1" t="s">
        <v>74</v>
      </c>
      <c r="AG265" s="1">
        <v>16.0</v>
      </c>
      <c r="AH265" s="1">
        <v>31.0</v>
      </c>
      <c r="AI265" s="1">
        <v>33.0</v>
      </c>
      <c r="AJ265" s="1">
        <v>8.0</v>
      </c>
      <c r="AK265" s="1">
        <v>45.0</v>
      </c>
      <c r="AL265" s="1" t="s">
        <v>3551</v>
      </c>
      <c r="AM265" s="1" t="s">
        <v>193</v>
      </c>
      <c r="AN265" s="1" t="s">
        <v>3552</v>
      </c>
      <c r="AO265" s="1" t="s">
        <v>5667</v>
      </c>
      <c r="AP265" s="1" t="s">
        <v>5668</v>
      </c>
      <c r="AQ265" s="1" t="s">
        <v>74</v>
      </c>
      <c r="AR265" s="1" t="s">
        <v>5669</v>
      </c>
      <c r="AS265" s="1" t="s">
        <v>5670</v>
      </c>
      <c r="AT265" s="1" t="s">
        <v>870</v>
      </c>
      <c r="AU265" s="1">
        <v>2022.0</v>
      </c>
      <c r="AV265" s="1">
        <v>81.0</v>
      </c>
      <c r="AW265" s="1" t="s">
        <v>74</v>
      </c>
      <c r="AX265" s="1" t="s">
        <v>74</v>
      </c>
      <c r="AY265" s="1" t="s">
        <v>74</v>
      </c>
      <c r="AZ265" s="1" t="s">
        <v>74</v>
      </c>
      <c r="BA265" s="1" t="s">
        <v>74</v>
      </c>
      <c r="BB265" s="1">
        <v>67.0</v>
      </c>
      <c r="BC265" s="1">
        <v>71.0</v>
      </c>
      <c r="BD265" s="1" t="s">
        <v>74</v>
      </c>
      <c r="BE265" s="1" t="s">
        <v>5671</v>
      </c>
      <c r="BF265" s="2" t="str">
        <f>HYPERLINK("http://dx.doi.org/10.1016/j.clinimag.2021.09.018","http://dx.doi.org/10.1016/j.clinimag.2021.09.018")</f>
        <v>http://dx.doi.org/10.1016/j.clinimag.2021.09.018</v>
      </c>
      <c r="BG265" s="1" t="s">
        <v>74</v>
      </c>
      <c r="BH265" s="1" t="s">
        <v>5672</v>
      </c>
      <c r="BI265" s="1">
        <v>5.0</v>
      </c>
      <c r="BJ265" s="1" t="s">
        <v>656</v>
      </c>
      <c r="BK265" s="1" t="s">
        <v>149</v>
      </c>
      <c r="BL265" s="1" t="s">
        <v>656</v>
      </c>
      <c r="BM265" s="1" t="s">
        <v>5673</v>
      </c>
      <c r="BN265" s="1">
        <v>3.4619566E7</v>
      </c>
      <c r="BO265" s="1" t="s">
        <v>74</v>
      </c>
      <c r="BP265" s="1" t="s">
        <v>74</v>
      </c>
      <c r="BQ265" s="1" t="s">
        <v>74</v>
      </c>
      <c r="BR265" s="1" t="s">
        <v>102</v>
      </c>
      <c r="BS265" s="1" t="s">
        <v>5674</v>
      </c>
      <c r="BT265" s="1" t="str">
        <f>HYPERLINK("https%3A%2F%2Fwww.webofscience.com%2Fwos%2Fwoscc%2Ffull-record%2FWOS:000705378600013","View Full Record in Web of Science")</f>
        <v>View Full Record in Web of Science</v>
      </c>
    </row>
    <row r="266" ht="12.75" customHeight="1">
      <c r="A266" s="1" t="s">
        <v>132</v>
      </c>
      <c r="B266" s="1" t="s">
        <v>5675</v>
      </c>
      <c r="C266" s="1" t="s">
        <v>74</v>
      </c>
      <c r="D266" s="1" t="s">
        <v>74</v>
      </c>
      <c r="E266" s="1" t="s">
        <v>74</v>
      </c>
      <c r="F266" s="1" t="s">
        <v>5676</v>
      </c>
      <c r="G266" s="1" t="s">
        <v>74</v>
      </c>
      <c r="H266" s="1" t="s">
        <v>74</v>
      </c>
      <c r="I266" s="1" t="s">
        <v>5677</v>
      </c>
      <c r="J266" s="1" t="s">
        <v>5678</v>
      </c>
      <c r="K266" s="1" t="s">
        <v>74</v>
      </c>
      <c r="L266" s="1" t="s">
        <v>74</v>
      </c>
      <c r="M266" s="1" t="s">
        <v>80</v>
      </c>
      <c r="N266" s="1" t="s">
        <v>136</v>
      </c>
      <c r="O266" s="1" t="s">
        <v>74</v>
      </c>
      <c r="P266" s="1" t="s">
        <v>74</v>
      </c>
      <c r="Q266" s="1" t="s">
        <v>74</v>
      </c>
      <c r="R266" s="1" t="s">
        <v>74</v>
      </c>
      <c r="S266" s="1" t="s">
        <v>74</v>
      </c>
      <c r="T266" s="1" t="s">
        <v>5679</v>
      </c>
      <c r="U266" s="1" t="s">
        <v>74</v>
      </c>
      <c r="V266" s="1" t="s">
        <v>5680</v>
      </c>
      <c r="W266" s="1" t="s">
        <v>5681</v>
      </c>
      <c r="X266" s="1" t="s">
        <v>5682</v>
      </c>
      <c r="Y266" s="1" t="s">
        <v>5683</v>
      </c>
      <c r="Z266" s="1" t="s">
        <v>5684</v>
      </c>
      <c r="AA266" s="1" t="s">
        <v>74</v>
      </c>
      <c r="AB266" s="1" t="s">
        <v>74</v>
      </c>
      <c r="AC266" s="1" t="s">
        <v>74</v>
      </c>
      <c r="AD266" s="1" t="s">
        <v>74</v>
      </c>
      <c r="AE266" s="1" t="s">
        <v>74</v>
      </c>
      <c r="AF266" s="1" t="s">
        <v>74</v>
      </c>
      <c r="AG266" s="1">
        <v>48.0</v>
      </c>
      <c r="AH266" s="1">
        <v>1.0</v>
      </c>
      <c r="AI266" s="1">
        <v>1.0</v>
      </c>
      <c r="AJ266" s="1">
        <v>6.0</v>
      </c>
      <c r="AK266" s="1">
        <v>29.0</v>
      </c>
      <c r="AL266" s="1" t="s">
        <v>5685</v>
      </c>
      <c r="AM266" s="1" t="s">
        <v>4661</v>
      </c>
      <c r="AN266" s="1" t="s">
        <v>5686</v>
      </c>
      <c r="AO266" s="1" t="s">
        <v>5687</v>
      </c>
      <c r="AP266" s="1" t="s">
        <v>74</v>
      </c>
      <c r="AQ266" s="1" t="s">
        <v>74</v>
      </c>
      <c r="AR266" s="1" t="s">
        <v>5688</v>
      </c>
      <c r="AS266" s="1" t="s">
        <v>5689</v>
      </c>
      <c r="AT266" s="1" t="s">
        <v>5690</v>
      </c>
      <c r="AU266" s="1">
        <v>2023.0</v>
      </c>
      <c r="AV266" s="1">
        <v>11.0</v>
      </c>
      <c r="AW266" s="1">
        <v>2.0</v>
      </c>
      <c r="AX266" s="1" t="s">
        <v>74</v>
      </c>
      <c r="AY266" s="1" t="s">
        <v>74</v>
      </c>
      <c r="AZ266" s="1" t="s">
        <v>74</v>
      </c>
      <c r="BA266" s="1" t="s">
        <v>74</v>
      </c>
      <c r="BB266" s="1">
        <v>312.0</v>
      </c>
      <c r="BC266" s="1">
        <v>328.0</v>
      </c>
      <c r="BD266" s="1" t="s">
        <v>74</v>
      </c>
      <c r="BE266" s="1" t="s">
        <v>74</v>
      </c>
      <c r="BF266" s="1" t="s">
        <v>74</v>
      </c>
      <c r="BG266" s="1" t="s">
        <v>74</v>
      </c>
      <c r="BH266" s="1" t="s">
        <v>74</v>
      </c>
      <c r="BI266" s="1">
        <v>17.0</v>
      </c>
      <c r="BJ266" s="1" t="s">
        <v>5691</v>
      </c>
      <c r="BK266" s="1" t="s">
        <v>172</v>
      </c>
      <c r="BL266" s="1" t="s">
        <v>5691</v>
      </c>
      <c r="BM266" s="1" t="s">
        <v>5692</v>
      </c>
      <c r="BN266" s="1" t="s">
        <v>74</v>
      </c>
      <c r="BO266" s="1" t="s">
        <v>74</v>
      </c>
      <c r="BP266" s="1" t="s">
        <v>74</v>
      </c>
      <c r="BQ266" s="1" t="s">
        <v>74</v>
      </c>
      <c r="BR266" s="1" t="s">
        <v>102</v>
      </c>
      <c r="BS266" s="1" t="s">
        <v>5693</v>
      </c>
      <c r="BT266" s="1" t="str">
        <f>HYPERLINK("https%3A%2F%2Fwww.webofscience.com%2Fwos%2Fwoscc%2Ffull-record%2FWOS:000988718500001","View Full Record in Web of Science")</f>
        <v>View Full Record in Web of Science</v>
      </c>
    </row>
    <row r="267" ht="12.75" customHeight="1">
      <c r="A267" s="1" t="s">
        <v>72</v>
      </c>
      <c r="B267" s="1" t="s">
        <v>5694</v>
      </c>
      <c r="C267" s="1" t="s">
        <v>74</v>
      </c>
      <c r="D267" s="1" t="s">
        <v>5695</v>
      </c>
      <c r="E267" s="1" t="s">
        <v>74</v>
      </c>
      <c r="F267" s="1" t="s">
        <v>5696</v>
      </c>
      <c r="G267" s="1" t="s">
        <v>74</v>
      </c>
      <c r="H267" s="1" t="s">
        <v>74</v>
      </c>
      <c r="I267" s="1" t="s">
        <v>5697</v>
      </c>
      <c r="J267" s="1" t="s">
        <v>5698</v>
      </c>
      <c r="K267" s="1" t="s">
        <v>5699</v>
      </c>
      <c r="L267" s="1" t="s">
        <v>74</v>
      </c>
      <c r="M267" s="1" t="s">
        <v>80</v>
      </c>
      <c r="N267" s="1" t="s">
        <v>81</v>
      </c>
      <c r="O267" s="1" t="s">
        <v>5700</v>
      </c>
      <c r="P267" s="1" t="s">
        <v>5701</v>
      </c>
      <c r="Q267" s="1" t="s">
        <v>5702</v>
      </c>
      <c r="R267" s="1" t="s">
        <v>5703</v>
      </c>
      <c r="S267" s="1" t="s">
        <v>74</v>
      </c>
      <c r="T267" s="1" t="s">
        <v>5704</v>
      </c>
      <c r="U267" s="1" t="s">
        <v>74</v>
      </c>
      <c r="V267" s="1" t="s">
        <v>5705</v>
      </c>
      <c r="W267" s="1" t="s">
        <v>5706</v>
      </c>
      <c r="X267" s="1" t="s">
        <v>5707</v>
      </c>
      <c r="Y267" s="1" t="s">
        <v>5708</v>
      </c>
      <c r="Z267" s="1" t="s">
        <v>5709</v>
      </c>
      <c r="AA267" s="1" t="s">
        <v>74</v>
      </c>
      <c r="AB267" s="1" t="s">
        <v>74</v>
      </c>
      <c r="AC267" s="1" t="s">
        <v>74</v>
      </c>
      <c r="AD267" s="1" t="s">
        <v>74</v>
      </c>
      <c r="AE267" s="1" t="s">
        <v>74</v>
      </c>
      <c r="AF267" s="1" t="s">
        <v>74</v>
      </c>
      <c r="AG267" s="1">
        <v>37.0</v>
      </c>
      <c r="AH267" s="1">
        <v>0.0</v>
      </c>
      <c r="AI267" s="1">
        <v>0.0</v>
      </c>
      <c r="AJ267" s="1">
        <v>1.0</v>
      </c>
      <c r="AK267" s="1">
        <v>13.0</v>
      </c>
      <c r="AL267" s="1" t="s">
        <v>709</v>
      </c>
      <c r="AM267" s="1" t="s">
        <v>710</v>
      </c>
      <c r="AN267" s="1" t="s">
        <v>711</v>
      </c>
      <c r="AO267" s="1" t="s">
        <v>5710</v>
      </c>
      <c r="AP267" s="1" t="s">
        <v>74</v>
      </c>
      <c r="AQ267" s="1" t="s">
        <v>74</v>
      </c>
      <c r="AR267" s="1" t="s">
        <v>5711</v>
      </c>
      <c r="AS267" s="1" t="s">
        <v>74</v>
      </c>
      <c r="AT267" s="1" t="s">
        <v>74</v>
      </c>
      <c r="AU267" s="1">
        <v>2022.0</v>
      </c>
      <c r="AV267" s="1" t="s">
        <v>74</v>
      </c>
      <c r="AW267" s="1" t="s">
        <v>74</v>
      </c>
      <c r="AX267" s="1" t="s">
        <v>74</v>
      </c>
      <c r="AY267" s="1" t="s">
        <v>74</v>
      </c>
      <c r="AZ267" s="1" t="s">
        <v>74</v>
      </c>
      <c r="BA267" s="1" t="s">
        <v>74</v>
      </c>
      <c r="BB267" s="1">
        <v>687.0</v>
      </c>
      <c r="BC267" s="1">
        <v>706.0</v>
      </c>
      <c r="BD267" s="1" t="s">
        <v>74</v>
      </c>
      <c r="BE267" s="1" t="s">
        <v>74</v>
      </c>
      <c r="BF267" s="1" t="s">
        <v>74</v>
      </c>
      <c r="BG267" s="1" t="s">
        <v>74</v>
      </c>
      <c r="BH267" s="1" t="s">
        <v>74</v>
      </c>
      <c r="BI267" s="1">
        <v>20.0</v>
      </c>
      <c r="BJ267" s="1" t="s">
        <v>5712</v>
      </c>
      <c r="BK267" s="1" t="s">
        <v>99</v>
      </c>
      <c r="BL267" s="1" t="s">
        <v>204</v>
      </c>
      <c r="BM267" s="1" t="s">
        <v>5713</v>
      </c>
      <c r="BN267" s="1" t="s">
        <v>74</v>
      </c>
      <c r="BO267" s="1" t="s">
        <v>74</v>
      </c>
      <c r="BP267" s="1" t="s">
        <v>74</v>
      </c>
      <c r="BQ267" s="1" t="s">
        <v>74</v>
      </c>
      <c r="BR267" s="1" t="s">
        <v>102</v>
      </c>
      <c r="BS267" s="1" t="s">
        <v>5714</v>
      </c>
      <c r="BT267" s="1" t="str">
        <f>HYPERLINK("https%3A%2F%2Fwww.webofscience.com%2Fwos%2Fwoscc%2Ffull-record%2FWOS:000838680600037","View Full Record in Web of Science")</f>
        <v>View Full Record in Web of Science</v>
      </c>
    </row>
    <row r="268" ht="12.75" customHeight="1">
      <c r="A268" s="1" t="s">
        <v>72</v>
      </c>
      <c r="B268" s="1" t="s">
        <v>5715</v>
      </c>
      <c r="C268" s="1" t="s">
        <v>74</v>
      </c>
      <c r="D268" s="1" t="s">
        <v>74</v>
      </c>
      <c r="E268" s="1" t="s">
        <v>236</v>
      </c>
      <c r="F268" s="1" t="s">
        <v>5716</v>
      </c>
      <c r="G268" s="1" t="s">
        <v>74</v>
      </c>
      <c r="H268" s="1" t="s">
        <v>74</v>
      </c>
      <c r="I268" s="1" t="s">
        <v>5717</v>
      </c>
      <c r="J268" s="1" t="s">
        <v>5718</v>
      </c>
      <c r="K268" s="1" t="s">
        <v>5719</v>
      </c>
      <c r="L268" s="1" t="s">
        <v>74</v>
      </c>
      <c r="M268" s="1" t="s">
        <v>80</v>
      </c>
      <c r="N268" s="1" t="s">
        <v>81</v>
      </c>
      <c r="O268" s="1" t="s">
        <v>5720</v>
      </c>
      <c r="P268" s="1" t="s">
        <v>5721</v>
      </c>
      <c r="Q268" s="1" t="s">
        <v>4093</v>
      </c>
      <c r="R268" s="1" t="s">
        <v>74</v>
      </c>
      <c r="S268" s="1" t="s">
        <v>74</v>
      </c>
      <c r="T268" s="1" t="s">
        <v>5722</v>
      </c>
      <c r="U268" s="1" t="s">
        <v>74</v>
      </c>
      <c r="V268" s="1" t="s">
        <v>5723</v>
      </c>
      <c r="W268" s="1" t="s">
        <v>5724</v>
      </c>
      <c r="X268" s="1" t="s">
        <v>5725</v>
      </c>
      <c r="Y268" s="1" t="s">
        <v>5726</v>
      </c>
      <c r="Z268" s="1" t="s">
        <v>5727</v>
      </c>
      <c r="AA268" s="1" t="s">
        <v>74</v>
      </c>
      <c r="AB268" s="1" t="s">
        <v>74</v>
      </c>
      <c r="AC268" s="1" t="s">
        <v>5728</v>
      </c>
      <c r="AD268" s="1" t="s">
        <v>5729</v>
      </c>
      <c r="AE268" s="1" t="s">
        <v>5730</v>
      </c>
      <c r="AF268" s="1" t="s">
        <v>74</v>
      </c>
      <c r="AG268" s="1">
        <v>12.0</v>
      </c>
      <c r="AH268" s="1">
        <v>0.0</v>
      </c>
      <c r="AI268" s="1">
        <v>0.0</v>
      </c>
      <c r="AJ268" s="1">
        <v>0.0</v>
      </c>
      <c r="AK268" s="1">
        <v>0.0</v>
      </c>
      <c r="AL268" s="1" t="s">
        <v>236</v>
      </c>
      <c r="AM268" s="1" t="s">
        <v>193</v>
      </c>
      <c r="AN268" s="1" t="s">
        <v>252</v>
      </c>
      <c r="AO268" s="1" t="s">
        <v>5731</v>
      </c>
      <c r="AP268" s="1" t="s">
        <v>74</v>
      </c>
      <c r="AQ268" s="1" t="s">
        <v>5732</v>
      </c>
      <c r="AR268" s="1" t="s">
        <v>5733</v>
      </c>
      <c r="AS268" s="1" t="s">
        <v>74</v>
      </c>
      <c r="AT268" s="1" t="s">
        <v>74</v>
      </c>
      <c r="AU268" s="1">
        <v>2024.0</v>
      </c>
      <c r="AV268" s="1" t="s">
        <v>74</v>
      </c>
      <c r="AW268" s="1" t="s">
        <v>74</v>
      </c>
      <c r="AX268" s="1" t="s">
        <v>74</v>
      </c>
      <c r="AY268" s="1" t="s">
        <v>74</v>
      </c>
      <c r="AZ268" s="1" t="s">
        <v>74</v>
      </c>
      <c r="BA268" s="1" t="s">
        <v>74</v>
      </c>
      <c r="BB268" s="1">
        <v>557.0</v>
      </c>
      <c r="BC268" s="1">
        <v>562.0</v>
      </c>
      <c r="BD268" s="1" t="s">
        <v>74</v>
      </c>
      <c r="BE268" s="1" t="s">
        <v>5734</v>
      </c>
      <c r="BF268" s="2" t="str">
        <f>HYPERLINK("http://dx.doi.org/10.1109/CSNDSP60683.2024.10636609","http://dx.doi.org/10.1109/CSNDSP60683.2024.10636609")</f>
        <v>http://dx.doi.org/10.1109/CSNDSP60683.2024.10636609</v>
      </c>
      <c r="BG268" s="1" t="s">
        <v>74</v>
      </c>
      <c r="BH268" s="1" t="s">
        <v>74</v>
      </c>
      <c r="BI268" s="1">
        <v>6.0</v>
      </c>
      <c r="BJ268" s="1" t="s">
        <v>5735</v>
      </c>
      <c r="BK268" s="1" t="s">
        <v>128</v>
      </c>
      <c r="BL268" s="1" t="s">
        <v>5736</v>
      </c>
      <c r="BM268" s="1" t="s">
        <v>5737</v>
      </c>
      <c r="BN268" s="1" t="s">
        <v>74</v>
      </c>
      <c r="BO268" s="1" t="s">
        <v>74</v>
      </c>
      <c r="BP268" s="1" t="s">
        <v>74</v>
      </c>
      <c r="BQ268" s="1" t="s">
        <v>74</v>
      </c>
      <c r="BR268" s="1" t="s">
        <v>102</v>
      </c>
      <c r="BS268" s="1" t="s">
        <v>5738</v>
      </c>
      <c r="BT268" s="1" t="str">
        <f>HYPERLINK("https%3A%2F%2Fwww.webofscience.com%2Fwos%2Fwoscc%2Ffull-record%2FWOS:001324588800105","View Full Record in Web of Science")</f>
        <v>View Full Record in Web of Science</v>
      </c>
    </row>
    <row r="269" ht="12.75" customHeight="1">
      <c r="A269" s="1" t="s">
        <v>132</v>
      </c>
      <c r="B269" s="1" t="s">
        <v>5739</v>
      </c>
      <c r="C269" s="1" t="s">
        <v>74</v>
      </c>
      <c r="D269" s="1" t="s">
        <v>74</v>
      </c>
      <c r="E269" s="1" t="s">
        <v>74</v>
      </c>
      <c r="F269" s="1" t="s">
        <v>5740</v>
      </c>
      <c r="G269" s="1" t="s">
        <v>74</v>
      </c>
      <c r="H269" s="1" t="s">
        <v>74</v>
      </c>
      <c r="I269" s="1" t="s">
        <v>5741</v>
      </c>
      <c r="J269" s="1" t="s">
        <v>5742</v>
      </c>
      <c r="K269" s="1" t="s">
        <v>74</v>
      </c>
      <c r="L269" s="1" t="s">
        <v>74</v>
      </c>
      <c r="M269" s="1" t="s">
        <v>80</v>
      </c>
      <c r="N269" s="1" t="s">
        <v>136</v>
      </c>
      <c r="O269" s="1" t="s">
        <v>74</v>
      </c>
      <c r="P269" s="1" t="s">
        <v>74</v>
      </c>
      <c r="Q269" s="1" t="s">
        <v>74</v>
      </c>
      <c r="R269" s="1" t="s">
        <v>74</v>
      </c>
      <c r="S269" s="1" t="s">
        <v>74</v>
      </c>
      <c r="T269" s="1" t="s">
        <v>5743</v>
      </c>
      <c r="U269" s="1" t="s">
        <v>5744</v>
      </c>
      <c r="V269" s="1" t="s">
        <v>5745</v>
      </c>
      <c r="W269" s="1" t="s">
        <v>5746</v>
      </c>
      <c r="X269" s="1" t="s">
        <v>5747</v>
      </c>
      <c r="Y269" s="1" t="s">
        <v>5748</v>
      </c>
      <c r="Z269" s="1" t="s">
        <v>5749</v>
      </c>
      <c r="AA269" s="1" t="s">
        <v>5750</v>
      </c>
      <c r="AB269" s="1" t="s">
        <v>5751</v>
      </c>
      <c r="AC269" s="1" t="s">
        <v>5752</v>
      </c>
      <c r="AD269" s="1" t="s">
        <v>5753</v>
      </c>
      <c r="AE269" s="1" t="s">
        <v>5754</v>
      </c>
      <c r="AF269" s="1" t="s">
        <v>74</v>
      </c>
      <c r="AG269" s="1">
        <v>70.0</v>
      </c>
      <c r="AH269" s="1">
        <v>13.0</v>
      </c>
      <c r="AI269" s="1">
        <v>13.0</v>
      </c>
      <c r="AJ269" s="1">
        <v>27.0</v>
      </c>
      <c r="AK269" s="1">
        <v>153.0</v>
      </c>
      <c r="AL269" s="1" t="s">
        <v>595</v>
      </c>
      <c r="AM269" s="1" t="s">
        <v>467</v>
      </c>
      <c r="AN269" s="1" t="s">
        <v>596</v>
      </c>
      <c r="AO269" s="1" t="s">
        <v>5755</v>
      </c>
      <c r="AP269" s="1" t="s">
        <v>5756</v>
      </c>
      <c r="AQ269" s="1" t="s">
        <v>74</v>
      </c>
      <c r="AR269" s="1" t="s">
        <v>5757</v>
      </c>
      <c r="AS269" s="1" t="s">
        <v>5758</v>
      </c>
      <c r="AT269" s="1" t="s">
        <v>5759</v>
      </c>
      <c r="AU269" s="1">
        <v>2023.0</v>
      </c>
      <c r="AV269" s="1">
        <v>36.0</v>
      </c>
      <c r="AW269" s="1">
        <v>1.0</v>
      </c>
      <c r="AX269" s="1" t="s">
        <v>74</v>
      </c>
      <c r="AY269" s="1" t="s">
        <v>74</v>
      </c>
      <c r="AZ269" s="1" t="s">
        <v>74</v>
      </c>
      <c r="BA269" s="1" t="s">
        <v>74</v>
      </c>
      <c r="BB269" s="1">
        <v>1420.0</v>
      </c>
      <c r="BC269" s="1">
        <v>1448.0</v>
      </c>
      <c r="BD269" s="1" t="s">
        <v>74</v>
      </c>
      <c r="BE269" s="1" t="s">
        <v>5760</v>
      </c>
      <c r="BF269" s="2" t="str">
        <f>HYPERLINK("http://dx.doi.org/10.1080/1331677X.2022.2089194","http://dx.doi.org/10.1080/1331677X.2022.2089194")</f>
        <v>http://dx.doi.org/10.1080/1331677X.2022.2089194</v>
      </c>
      <c r="BG269" s="1" t="s">
        <v>74</v>
      </c>
      <c r="BH269" s="1" t="s">
        <v>476</v>
      </c>
      <c r="BI269" s="1">
        <v>29.0</v>
      </c>
      <c r="BJ269" s="1" t="s">
        <v>202</v>
      </c>
      <c r="BK269" s="1" t="s">
        <v>203</v>
      </c>
      <c r="BL269" s="1" t="s">
        <v>204</v>
      </c>
      <c r="BM269" s="1" t="s">
        <v>5761</v>
      </c>
      <c r="BN269" s="1" t="s">
        <v>74</v>
      </c>
      <c r="BO269" s="1" t="s">
        <v>3027</v>
      </c>
      <c r="BP269" s="1" t="s">
        <v>74</v>
      </c>
      <c r="BQ269" s="1" t="s">
        <v>74</v>
      </c>
      <c r="BR269" s="1" t="s">
        <v>102</v>
      </c>
      <c r="BS269" s="1" t="s">
        <v>5762</v>
      </c>
      <c r="BT269" s="1" t="str">
        <f>HYPERLINK("https%3A%2F%2Fwww.webofscience.com%2Fwos%2Fwoscc%2Ffull-record%2FWOS:000813702400001","View Full Record in Web of Science")</f>
        <v>View Full Record in Web of Science</v>
      </c>
    </row>
    <row r="270" ht="12.75" customHeight="1">
      <c r="A270" s="1" t="s">
        <v>132</v>
      </c>
      <c r="B270" s="1" t="s">
        <v>5763</v>
      </c>
      <c r="C270" s="1" t="s">
        <v>74</v>
      </c>
      <c r="D270" s="1" t="s">
        <v>74</v>
      </c>
      <c r="E270" s="1" t="s">
        <v>74</v>
      </c>
      <c r="F270" s="1" t="s">
        <v>5764</v>
      </c>
      <c r="G270" s="1" t="s">
        <v>74</v>
      </c>
      <c r="H270" s="1" t="s">
        <v>74</v>
      </c>
      <c r="I270" s="1" t="s">
        <v>5765</v>
      </c>
      <c r="J270" s="1" t="s">
        <v>5766</v>
      </c>
      <c r="K270" s="1" t="s">
        <v>74</v>
      </c>
      <c r="L270" s="1" t="s">
        <v>74</v>
      </c>
      <c r="M270" s="1" t="s">
        <v>80</v>
      </c>
      <c r="N270" s="1" t="s">
        <v>1010</v>
      </c>
      <c r="O270" s="1" t="s">
        <v>74</v>
      </c>
      <c r="P270" s="1" t="s">
        <v>74</v>
      </c>
      <c r="Q270" s="1" t="s">
        <v>74</v>
      </c>
      <c r="R270" s="1" t="s">
        <v>74</v>
      </c>
      <c r="S270" s="1" t="s">
        <v>74</v>
      </c>
      <c r="T270" s="1" t="s">
        <v>5767</v>
      </c>
      <c r="U270" s="1" t="s">
        <v>5768</v>
      </c>
      <c r="V270" s="1" t="s">
        <v>5769</v>
      </c>
      <c r="W270" s="1" t="s">
        <v>5770</v>
      </c>
      <c r="X270" s="1" t="s">
        <v>5771</v>
      </c>
      <c r="Y270" s="1" t="s">
        <v>5772</v>
      </c>
      <c r="Z270" s="1" t="s">
        <v>5773</v>
      </c>
      <c r="AA270" s="1" t="s">
        <v>5774</v>
      </c>
      <c r="AB270" s="1" t="s">
        <v>5775</v>
      </c>
      <c r="AC270" s="1" t="s">
        <v>5776</v>
      </c>
      <c r="AD270" s="1" t="s">
        <v>5776</v>
      </c>
      <c r="AE270" s="1" t="s">
        <v>5777</v>
      </c>
      <c r="AF270" s="1" t="s">
        <v>74</v>
      </c>
      <c r="AG270" s="1">
        <v>39.0</v>
      </c>
      <c r="AH270" s="1">
        <v>0.0</v>
      </c>
      <c r="AI270" s="1">
        <v>0.0</v>
      </c>
      <c r="AJ270" s="1">
        <v>22.0</v>
      </c>
      <c r="AK270" s="1">
        <v>27.0</v>
      </c>
      <c r="AL270" s="1" t="s">
        <v>1970</v>
      </c>
      <c r="AM270" s="1" t="s">
        <v>1658</v>
      </c>
      <c r="AN270" s="1" t="s">
        <v>1971</v>
      </c>
      <c r="AO270" s="1" t="s">
        <v>74</v>
      </c>
      <c r="AP270" s="1" t="s">
        <v>5778</v>
      </c>
      <c r="AQ270" s="1" t="s">
        <v>74</v>
      </c>
      <c r="AR270" s="1" t="s">
        <v>5779</v>
      </c>
      <c r="AS270" s="1" t="s">
        <v>5780</v>
      </c>
      <c r="AT270" s="1" t="s">
        <v>328</v>
      </c>
      <c r="AU270" s="1">
        <v>2024.0</v>
      </c>
      <c r="AV270" s="1">
        <v>12.0</v>
      </c>
      <c r="AW270" s="1">
        <v>11.0</v>
      </c>
      <c r="AX270" s="1" t="s">
        <v>74</v>
      </c>
      <c r="AY270" s="1" t="s">
        <v>74</v>
      </c>
      <c r="AZ270" s="1" t="s">
        <v>74</v>
      </c>
      <c r="BA270" s="1" t="s">
        <v>74</v>
      </c>
      <c r="BB270" s="1" t="s">
        <v>74</v>
      </c>
      <c r="BC270" s="1" t="s">
        <v>74</v>
      </c>
      <c r="BD270" s="1">
        <v>1082.0</v>
      </c>
      <c r="BE270" s="1" t="s">
        <v>5781</v>
      </c>
      <c r="BF270" s="2" t="str">
        <f>HYPERLINK("http://dx.doi.org/10.3390/healthcare12111082","http://dx.doi.org/10.3390/healthcare12111082")</f>
        <v>http://dx.doi.org/10.3390/healthcare12111082</v>
      </c>
      <c r="BG270" s="1" t="s">
        <v>74</v>
      </c>
      <c r="BH270" s="1" t="s">
        <v>74</v>
      </c>
      <c r="BI270" s="1">
        <v>13.0</v>
      </c>
      <c r="BJ270" s="1" t="s">
        <v>5782</v>
      </c>
      <c r="BK270" s="1" t="s">
        <v>783</v>
      </c>
      <c r="BL270" s="1" t="s">
        <v>5783</v>
      </c>
      <c r="BM270" s="1" t="s">
        <v>5784</v>
      </c>
      <c r="BN270" s="1">
        <v>3.8891157E7</v>
      </c>
      <c r="BO270" s="1" t="s">
        <v>284</v>
      </c>
      <c r="BP270" s="1" t="s">
        <v>74</v>
      </c>
      <c r="BQ270" s="1" t="s">
        <v>74</v>
      </c>
      <c r="BR270" s="1" t="s">
        <v>102</v>
      </c>
      <c r="BS270" s="1" t="s">
        <v>5785</v>
      </c>
      <c r="BT270" s="1" t="str">
        <f>HYPERLINK("https%3A%2F%2Fwww.webofscience.com%2Fwos%2Fwoscc%2Ffull-record%2FWOS:001246714300001","View Full Record in Web of Science")</f>
        <v>View Full Record in Web of Science</v>
      </c>
    </row>
    <row r="271" ht="12.75" customHeight="1">
      <c r="A271" s="1" t="s">
        <v>132</v>
      </c>
      <c r="B271" s="1" t="s">
        <v>5786</v>
      </c>
      <c r="C271" s="1" t="s">
        <v>74</v>
      </c>
      <c r="D271" s="1" t="s">
        <v>74</v>
      </c>
      <c r="E271" s="1" t="s">
        <v>74</v>
      </c>
      <c r="F271" s="1" t="s">
        <v>5787</v>
      </c>
      <c r="G271" s="1" t="s">
        <v>74</v>
      </c>
      <c r="H271" s="1" t="s">
        <v>74</v>
      </c>
      <c r="I271" s="1" t="s">
        <v>5788</v>
      </c>
      <c r="J271" s="1" t="s">
        <v>5789</v>
      </c>
      <c r="K271" s="1" t="s">
        <v>74</v>
      </c>
      <c r="L271" s="1" t="s">
        <v>74</v>
      </c>
      <c r="M271" s="1" t="s">
        <v>638</v>
      </c>
      <c r="N271" s="1" t="s">
        <v>136</v>
      </c>
      <c r="O271" s="1" t="s">
        <v>74</v>
      </c>
      <c r="P271" s="1" t="s">
        <v>74</v>
      </c>
      <c r="Q271" s="1" t="s">
        <v>74</v>
      </c>
      <c r="R271" s="1" t="s">
        <v>74</v>
      </c>
      <c r="S271" s="1" t="s">
        <v>74</v>
      </c>
      <c r="T271" s="1" t="s">
        <v>5790</v>
      </c>
      <c r="U271" s="1" t="s">
        <v>74</v>
      </c>
      <c r="V271" s="1" t="s">
        <v>5791</v>
      </c>
      <c r="W271" s="1" t="s">
        <v>74</v>
      </c>
      <c r="X271" s="1" t="s">
        <v>74</v>
      </c>
      <c r="Y271" s="1" t="s">
        <v>74</v>
      </c>
      <c r="Z271" s="1" t="s">
        <v>5792</v>
      </c>
      <c r="AA271" s="1" t="s">
        <v>5793</v>
      </c>
      <c r="AB271" s="1" t="s">
        <v>74</v>
      </c>
      <c r="AC271" s="1" t="s">
        <v>74</v>
      </c>
      <c r="AD271" s="1" t="s">
        <v>74</v>
      </c>
      <c r="AE271" s="1" t="s">
        <v>74</v>
      </c>
      <c r="AF271" s="1" t="s">
        <v>74</v>
      </c>
      <c r="AG271" s="1">
        <v>13.0</v>
      </c>
      <c r="AH271" s="1">
        <v>1.0</v>
      </c>
      <c r="AI271" s="1">
        <v>2.0</v>
      </c>
      <c r="AJ271" s="1">
        <v>2.0</v>
      </c>
      <c r="AK271" s="1">
        <v>8.0</v>
      </c>
      <c r="AL271" s="1" t="s">
        <v>5794</v>
      </c>
      <c r="AM271" s="1" t="s">
        <v>5795</v>
      </c>
      <c r="AN271" s="1" t="s">
        <v>5796</v>
      </c>
      <c r="AO271" s="1" t="s">
        <v>5797</v>
      </c>
      <c r="AP271" s="1" t="s">
        <v>5798</v>
      </c>
      <c r="AQ271" s="1" t="s">
        <v>74</v>
      </c>
      <c r="AR271" s="1" t="s">
        <v>5799</v>
      </c>
      <c r="AS271" s="1" t="s">
        <v>5800</v>
      </c>
      <c r="AT271" s="1" t="s">
        <v>74</v>
      </c>
      <c r="AU271" s="1">
        <v>2020.0</v>
      </c>
      <c r="AV271" s="1">
        <v>9.0</v>
      </c>
      <c r="AW271" s="1">
        <v>2.0</v>
      </c>
      <c r="AX271" s="1" t="s">
        <v>74</v>
      </c>
      <c r="AY271" s="1" t="s">
        <v>74</v>
      </c>
      <c r="AZ271" s="1" t="s">
        <v>74</v>
      </c>
      <c r="BA271" s="1" t="s">
        <v>74</v>
      </c>
      <c r="BB271" s="1">
        <v>257.0</v>
      </c>
      <c r="BC271" s="1">
        <v>290.0</v>
      </c>
      <c r="BD271" s="1" t="s">
        <v>74</v>
      </c>
      <c r="BE271" s="1" t="s">
        <v>5801</v>
      </c>
      <c r="BF271" s="2" t="str">
        <f>HYPERLINK("http://dx.doi.org/10.5354/0719-2584.2020.54489","http://dx.doi.org/10.5354/0719-2584.2020.54489")</f>
        <v>http://dx.doi.org/10.5354/0719-2584.2020.54489</v>
      </c>
      <c r="BG271" s="1" t="s">
        <v>74</v>
      </c>
      <c r="BH271" s="1" t="s">
        <v>74</v>
      </c>
      <c r="BI271" s="1">
        <v>34.0</v>
      </c>
      <c r="BJ271" s="1" t="s">
        <v>915</v>
      </c>
      <c r="BK271" s="1" t="s">
        <v>172</v>
      </c>
      <c r="BL271" s="1" t="s">
        <v>916</v>
      </c>
      <c r="BM271" s="1" t="s">
        <v>5802</v>
      </c>
      <c r="BN271" s="1" t="s">
        <v>74</v>
      </c>
      <c r="BO271" s="1" t="s">
        <v>1161</v>
      </c>
      <c r="BP271" s="1" t="s">
        <v>74</v>
      </c>
      <c r="BQ271" s="1" t="s">
        <v>74</v>
      </c>
      <c r="BR271" s="1" t="s">
        <v>102</v>
      </c>
      <c r="BS271" s="1" t="s">
        <v>5803</v>
      </c>
      <c r="BT271" s="1" t="str">
        <f>HYPERLINK("https%3A%2F%2Fwww.webofscience.com%2Fwos%2Fwoscc%2Ffull-record%2FWOS:000605189400011","View Full Record in Web of Science")</f>
        <v>View Full Record in Web of Science</v>
      </c>
    </row>
    <row r="272" ht="12.75" customHeight="1">
      <c r="A272" s="1" t="s">
        <v>132</v>
      </c>
      <c r="B272" s="1" t="s">
        <v>5804</v>
      </c>
      <c r="C272" s="1" t="s">
        <v>74</v>
      </c>
      <c r="D272" s="1" t="s">
        <v>74</v>
      </c>
      <c r="E272" s="1" t="s">
        <v>74</v>
      </c>
      <c r="F272" s="1" t="s">
        <v>5805</v>
      </c>
      <c r="G272" s="1" t="s">
        <v>74</v>
      </c>
      <c r="H272" s="1" t="s">
        <v>74</v>
      </c>
      <c r="I272" s="1" t="s">
        <v>5806</v>
      </c>
      <c r="J272" s="1" t="s">
        <v>5807</v>
      </c>
      <c r="K272" s="1" t="s">
        <v>74</v>
      </c>
      <c r="L272" s="1" t="s">
        <v>74</v>
      </c>
      <c r="M272" s="1" t="s">
        <v>80</v>
      </c>
      <c r="N272" s="1" t="s">
        <v>136</v>
      </c>
      <c r="O272" s="1" t="s">
        <v>74</v>
      </c>
      <c r="P272" s="1" t="s">
        <v>74</v>
      </c>
      <c r="Q272" s="1" t="s">
        <v>74</v>
      </c>
      <c r="R272" s="1" t="s">
        <v>74</v>
      </c>
      <c r="S272" s="1" t="s">
        <v>74</v>
      </c>
      <c r="T272" s="1" t="s">
        <v>5808</v>
      </c>
      <c r="U272" s="1" t="s">
        <v>74</v>
      </c>
      <c r="V272" s="1" t="s">
        <v>5809</v>
      </c>
      <c r="W272" s="1" t="s">
        <v>5810</v>
      </c>
      <c r="X272" s="1" t="s">
        <v>5811</v>
      </c>
      <c r="Y272" s="1" t="s">
        <v>5812</v>
      </c>
      <c r="Z272" s="1" t="s">
        <v>5813</v>
      </c>
      <c r="AA272" s="1" t="s">
        <v>5814</v>
      </c>
      <c r="AB272" s="1" t="s">
        <v>5815</v>
      </c>
      <c r="AC272" s="1" t="s">
        <v>5816</v>
      </c>
      <c r="AD272" s="1" t="s">
        <v>5817</v>
      </c>
      <c r="AE272" s="1" t="s">
        <v>5818</v>
      </c>
      <c r="AF272" s="1" t="s">
        <v>74</v>
      </c>
      <c r="AG272" s="1">
        <v>25.0</v>
      </c>
      <c r="AH272" s="1">
        <v>28.0</v>
      </c>
      <c r="AI272" s="1">
        <v>29.0</v>
      </c>
      <c r="AJ272" s="1">
        <v>13.0</v>
      </c>
      <c r="AK272" s="1">
        <v>74.0</v>
      </c>
      <c r="AL272" s="1" t="s">
        <v>3551</v>
      </c>
      <c r="AM272" s="1" t="s">
        <v>193</v>
      </c>
      <c r="AN272" s="1" t="s">
        <v>3552</v>
      </c>
      <c r="AO272" s="1" t="s">
        <v>5819</v>
      </c>
      <c r="AP272" s="1" t="s">
        <v>5820</v>
      </c>
      <c r="AQ272" s="1" t="s">
        <v>74</v>
      </c>
      <c r="AR272" s="1" t="s">
        <v>5821</v>
      </c>
      <c r="AS272" s="1" t="s">
        <v>5822</v>
      </c>
      <c r="AT272" s="1" t="s">
        <v>1027</v>
      </c>
      <c r="AU272" s="1">
        <v>2021.0</v>
      </c>
      <c r="AV272" s="1">
        <v>87.0</v>
      </c>
      <c r="AW272" s="1" t="s">
        <v>74</v>
      </c>
      <c r="AX272" s="1" t="s">
        <v>74</v>
      </c>
      <c r="AY272" s="1" t="s">
        <v>74</v>
      </c>
      <c r="AZ272" s="1" t="s">
        <v>74</v>
      </c>
      <c r="BA272" s="1" t="s">
        <v>74</v>
      </c>
      <c r="BB272" s="1" t="s">
        <v>74</v>
      </c>
      <c r="BC272" s="1" t="s">
        <v>74</v>
      </c>
      <c r="BD272" s="1">
        <v>106498.0</v>
      </c>
      <c r="BE272" s="1" t="s">
        <v>5823</v>
      </c>
      <c r="BF272" s="2" t="str">
        <f>HYPERLINK("http://dx.doi.org/10.1016/j.eiar.2020.106498","http://dx.doi.org/10.1016/j.eiar.2020.106498")</f>
        <v>http://dx.doi.org/10.1016/j.eiar.2020.106498</v>
      </c>
      <c r="BG272" s="1" t="s">
        <v>74</v>
      </c>
      <c r="BH272" s="1" t="s">
        <v>74</v>
      </c>
      <c r="BI272" s="1">
        <v>8.0</v>
      </c>
      <c r="BJ272" s="1" t="s">
        <v>1002</v>
      </c>
      <c r="BK272" s="1" t="s">
        <v>203</v>
      </c>
      <c r="BL272" s="1" t="s">
        <v>894</v>
      </c>
      <c r="BM272" s="1" t="s">
        <v>5824</v>
      </c>
      <c r="BN272" s="1" t="s">
        <v>74</v>
      </c>
      <c r="BO272" s="1" t="s">
        <v>74</v>
      </c>
      <c r="BP272" s="1" t="s">
        <v>74</v>
      </c>
      <c r="BQ272" s="1" t="s">
        <v>74</v>
      </c>
      <c r="BR272" s="1" t="s">
        <v>102</v>
      </c>
      <c r="BS272" s="1" t="s">
        <v>5825</v>
      </c>
      <c r="BT272" s="1" t="str">
        <f>HYPERLINK("https%3A%2F%2Fwww.webofscience.com%2Fwos%2Fwoscc%2Ffull-record%2FWOS:000614713900004","View Full Record in Web of Science")</f>
        <v>View Full Record in Web of Science</v>
      </c>
    </row>
    <row r="273" ht="12.75" customHeight="1">
      <c r="A273" s="1" t="s">
        <v>132</v>
      </c>
      <c r="B273" s="1" t="s">
        <v>5826</v>
      </c>
      <c r="C273" s="1" t="s">
        <v>74</v>
      </c>
      <c r="D273" s="1" t="s">
        <v>74</v>
      </c>
      <c r="E273" s="1" t="s">
        <v>74</v>
      </c>
      <c r="F273" s="1" t="s">
        <v>5827</v>
      </c>
      <c r="G273" s="1" t="s">
        <v>74</v>
      </c>
      <c r="H273" s="1" t="s">
        <v>74</v>
      </c>
      <c r="I273" s="1" t="s">
        <v>5828</v>
      </c>
      <c r="J273" s="1" t="s">
        <v>5829</v>
      </c>
      <c r="K273" s="1" t="s">
        <v>74</v>
      </c>
      <c r="L273" s="1" t="s">
        <v>74</v>
      </c>
      <c r="M273" s="1" t="s">
        <v>80</v>
      </c>
      <c r="N273" s="1" t="s">
        <v>136</v>
      </c>
      <c r="O273" s="1" t="s">
        <v>74</v>
      </c>
      <c r="P273" s="1" t="s">
        <v>74</v>
      </c>
      <c r="Q273" s="1" t="s">
        <v>74</v>
      </c>
      <c r="R273" s="1" t="s">
        <v>74</v>
      </c>
      <c r="S273" s="1" t="s">
        <v>74</v>
      </c>
      <c r="T273" s="1" t="s">
        <v>5830</v>
      </c>
      <c r="U273" s="1" t="s">
        <v>5831</v>
      </c>
      <c r="V273" s="1" t="s">
        <v>5832</v>
      </c>
      <c r="W273" s="1" t="s">
        <v>5833</v>
      </c>
      <c r="X273" s="1" t="s">
        <v>5834</v>
      </c>
      <c r="Y273" s="1" t="s">
        <v>5835</v>
      </c>
      <c r="Z273" s="1" t="s">
        <v>5836</v>
      </c>
      <c r="AA273" s="1" t="s">
        <v>5837</v>
      </c>
      <c r="AB273" s="1" t="s">
        <v>74</v>
      </c>
      <c r="AC273" s="1" t="s">
        <v>74</v>
      </c>
      <c r="AD273" s="1" t="s">
        <v>74</v>
      </c>
      <c r="AE273" s="1" t="s">
        <v>74</v>
      </c>
      <c r="AF273" s="1" t="s">
        <v>74</v>
      </c>
      <c r="AG273" s="1">
        <v>128.0</v>
      </c>
      <c r="AH273" s="1">
        <v>25.0</v>
      </c>
      <c r="AI273" s="1">
        <v>25.0</v>
      </c>
      <c r="AJ273" s="1">
        <v>109.0</v>
      </c>
      <c r="AK273" s="1">
        <v>299.0</v>
      </c>
      <c r="AL273" s="1" t="s">
        <v>595</v>
      </c>
      <c r="AM273" s="1" t="s">
        <v>467</v>
      </c>
      <c r="AN273" s="1" t="s">
        <v>596</v>
      </c>
      <c r="AO273" s="1" t="s">
        <v>5838</v>
      </c>
      <c r="AP273" s="1" t="s">
        <v>5839</v>
      </c>
      <c r="AQ273" s="1" t="s">
        <v>74</v>
      </c>
      <c r="AR273" s="1" t="s">
        <v>5840</v>
      </c>
      <c r="AS273" s="1" t="s">
        <v>5841</v>
      </c>
      <c r="AT273" s="1" t="s">
        <v>5842</v>
      </c>
      <c r="AU273" s="1">
        <v>2023.0</v>
      </c>
      <c r="AV273" s="1">
        <v>43.0</v>
      </c>
      <c r="AW273" s="1" t="s">
        <v>5843</v>
      </c>
      <c r="AX273" s="1" t="s">
        <v>74</v>
      </c>
      <c r="AY273" s="1" t="s">
        <v>74</v>
      </c>
      <c r="AZ273" s="1" t="s">
        <v>74</v>
      </c>
      <c r="BA273" s="1" t="s">
        <v>74</v>
      </c>
      <c r="BB273" s="1">
        <v>1055.0</v>
      </c>
      <c r="BC273" s="1">
        <v>1082.0</v>
      </c>
      <c r="BD273" s="1" t="s">
        <v>74</v>
      </c>
      <c r="BE273" s="1" t="s">
        <v>5844</v>
      </c>
      <c r="BF273" s="2" t="str">
        <f>HYPERLINK("http://dx.doi.org/10.1080/02642069.2023.2258799","http://dx.doi.org/10.1080/02642069.2023.2258799")</f>
        <v>http://dx.doi.org/10.1080/02642069.2023.2258799</v>
      </c>
      <c r="BG273" s="1" t="s">
        <v>74</v>
      </c>
      <c r="BH273" s="1" t="s">
        <v>357</v>
      </c>
      <c r="BI273" s="1">
        <v>28.0</v>
      </c>
      <c r="BJ273" s="1" t="s">
        <v>1776</v>
      </c>
      <c r="BK273" s="1" t="s">
        <v>203</v>
      </c>
      <c r="BL273" s="1" t="s">
        <v>204</v>
      </c>
      <c r="BM273" s="1" t="s">
        <v>5845</v>
      </c>
      <c r="BN273" s="1" t="s">
        <v>74</v>
      </c>
      <c r="BO273" s="1" t="s">
        <v>632</v>
      </c>
      <c r="BP273" s="1" t="s">
        <v>74</v>
      </c>
      <c r="BQ273" s="1" t="s">
        <v>74</v>
      </c>
      <c r="BR273" s="1" t="s">
        <v>102</v>
      </c>
      <c r="BS273" s="1" t="s">
        <v>5846</v>
      </c>
      <c r="BT273" s="1" t="str">
        <f>HYPERLINK("https%3A%2F%2Fwww.webofscience.com%2Fwos%2Fwoscc%2Ffull-record%2FWOS:001077504000001","View Full Record in Web of Science")</f>
        <v>View Full Record in Web of Science</v>
      </c>
    </row>
    <row r="274" ht="12.75" customHeight="1">
      <c r="A274" s="1" t="s">
        <v>132</v>
      </c>
      <c r="B274" s="1" t="s">
        <v>5847</v>
      </c>
      <c r="C274" s="1" t="s">
        <v>74</v>
      </c>
      <c r="D274" s="1" t="s">
        <v>74</v>
      </c>
      <c r="E274" s="1" t="s">
        <v>74</v>
      </c>
      <c r="F274" s="1" t="s">
        <v>5848</v>
      </c>
      <c r="G274" s="1" t="s">
        <v>74</v>
      </c>
      <c r="H274" s="1" t="s">
        <v>74</v>
      </c>
      <c r="I274" s="1" t="s">
        <v>5849</v>
      </c>
      <c r="J274" s="1" t="s">
        <v>5850</v>
      </c>
      <c r="K274" s="1" t="s">
        <v>74</v>
      </c>
      <c r="L274" s="1" t="s">
        <v>74</v>
      </c>
      <c r="M274" s="1" t="s">
        <v>80</v>
      </c>
      <c r="N274" s="1" t="s">
        <v>136</v>
      </c>
      <c r="O274" s="1" t="s">
        <v>74</v>
      </c>
      <c r="P274" s="1" t="s">
        <v>74</v>
      </c>
      <c r="Q274" s="1" t="s">
        <v>74</v>
      </c>
      <c r="R274" s="1" t="s">
        <v>74</v>
      </c>
      <c r="S274" s="1" t="s">
        <v>74</v>
      </c>
      <c r="T274" s="1" t="s">
        <v>5851</v>
      </c>
      <c r="U274" s="1" t="s">
        <v>74</v>
      </c>
      <c r="V274" s="1" t="s">
        <v>5852</v>
      </c>
      <c r="W274" s="1" t="s">
        <v>5853</v>
      </c>
      <c r="X274" s="1" t="s">
        <v>5854</v>
      </c>
      <c r="Y274" s="1" t="s">
        <v>5855</v>
      </c>
      <c r="Z274" s="1" t="s">
        <v>5856</v>
      </c>
      <c r="AA274" s="1" t="s">
        <v>74</v>
      </c>
      <c r="AB274" s="1" t="s">
        <v>5857</v>
      </c>
      <c r="AC274" s="1" t="s">
        <v>74</v>
      </c>
      <c r="AD274" s="1" t="s">
        <v>74</v>
      </c>
      <c r="AE274" s="1" t="s">
        <v>74</v>
      </c>
      <c r="AF274" s="1" t="s">
        <v>74</v>
      </c>
      <c r="AG274" s="1">
        <v>36.0</v>
      </c>
      <c r="AH274" s="1">
        <v>0.0</v>
      </c>
      <c r="AI274" s="1">
        <v>0.0</v>
      </c>
      <c r="AJ274" s="1">
        <v>8.0</v>
      </c>
      <c r="AK274" s="1">
        <v>8.0</v>
      </c>
      <c r="AL274" s="1" t="s">
        <v>192</v>
      </c>
      <c r="AM274" s="1" t="s">
        <v>193</v>
      </c>
      <c r="AN274" s="1" t="s">
        <v>194</v>
      </c>
      <c r="AO274" s="1" t="s">
        <v>5858</v>
      </c>
      <c r="AP274" s="1" t="s">
        <v>5859</v>
      </c>
      <c r="AQ274" s="1" t="s">
        <v>74</v>
      </c>
      <c r="AR274" s="1" t="s">
        <v>5860</v>
      </c>
      <c r="AS274" s="1" t="s">
        <v>5861</v>
      </c>
      <c r="AT274" s="1" t="s">
        <v>1279</v>
      </c>
      <c r="AU274" s="1">
        <v>2024.0</v>
      </c>
      <c r="AV274" s="1">
        <v>16.0</v>
      </c>
      <c r="AW274" s="1">
        <v>3.0</v>
      </c>
      <c r="AX274" s="1" t="s">
        <v>74</v>
      </c>
      <c r="AY274" s="1" t="s">
        <v>74</v>
      </c>
      <c r="AZ274" s="1" t="s">
        <v>474</v>
      </c>
      <c r="BA274" s="1" t="s">
        <v>74</v>
      </c>
      <c r="BB274" s="1">
        <v>513.0</v>
      </c>
      <c r="BC274" s="1">
        <v>526.0</v>
      </c>
      <c r="BD274" s="1" t="s">
        <v>74</v>
      </c>
      <c r="BE274" s="1" t="s">
        <v>5862</v>
      </c>
      <c r="BF274" s="2" t="str">
        <f>HYPERLINK("http://dx.doi.org/10.1007/s41649-024-00284-7","http://dx.doi.org/10.1007/s41649-024-00284-7")</f>
        <v>http://dx.doi.org/10.1007/s41649-024-00284-7</v>
      </c>
      <c r="BG274" s="1" t="s">
        <v>74</v>
      </c>
      <c r="BH274" s="1" t="s">
        <v>3129</v>
      </c>
      <c r="BI274" s="1">
        <v>14.0</v>
      </c>
      <c r="BJ274" s="1" t="s">
        <v>5863</v>
      </c>
      <c r="BK274" s="1" t="s">
        <v>172</v>
      </c>
      <c r="BL274" s="1" t="s">
        <v>5864</v>
      </c>
      <c r="BM274" s="1" t="s">
        <v>5865</v>
      </c>
      <c r="BN274" s="1">
        <v>3.9022373E7</v>
      </c>
      <c r="BO274" s="1" t="s">
        <v>74</v>
      </c>
      <c r="BP274" s="1" t="s">
        <v>74</v>
      </c>
      <c r="BQ274" s="1" t="s">
        <v>74</v>
      </c>
      <c r="BR274" s="1" t="s">
        <v>102</v>
      </c>
      <c r="BS274" s="1" t="s">
        <v>5866</v>
      </c>
      <c r="BT274" s="1" t="str">
        <f>HYPERLINK("https%3A%2F%2Fwww.webofscience.com%2Fwos%2Fwoscc%2Ffull-record%2FWOS:001235751700001","View Full Record in Web of Science")</f>
        <v>View Full Record in Web of Science</v>
      </c>
    </row>
    <row r="275" ht="12.75" customHeight="1">
      <c r="A275" s="1" t="s">
        <v>132</v>
      </c>
      <c r="B275" s="1" t="s">
        <v>5867</v>
      </c>
      <c r="C275" s="1" t="s">
        <v>74</v>
      </c>
      <c r="D275" s="1" t="s">
        <v>74</v>
      </c>
      <c r="E275" s="1" t="s">
        <v>74</v>
      </c>
      <c r="F275" s="1" t="s">
        <v>5868</v>
      </c>
      <c r="G275" s="1" t="s">
        <v>74</v>
      </c>
      <c r="H275" s="1" t="s">
        <v>74</v>
      </c>
      <c r="I275" s="1" t="s">
        <v>5869</v>
      </c>
      <c r="J275" s="1" t="s">
        <v>5870</v>
      </c>
      <c r="K275" s="1" t="s">
        <v>74</v>
      </c>
      <c r="L275" s="1" t="s">
        <v>74</v>
      </c>
      <c r="M275" s="1" t="s">
        <v>80</v>
      </c>
      <c r="N275" s="1" t="s">
        <v>136</v>
      </c>
      <c r="O275" s="1" t="s">
        <v>74</v>
      </c>
      <c r="P275" s="1" t="s">
        <v>74</v>
      </c>
      <c r="Q275" s="1" t="s">
        <v>74</v>
      </c>
      <c r="R275" s="1" t="s">
        <v>74</v>
      </c>
      <c r="S275" s="1" t="s">
        <v>74</v>
      </c>
      <c r="T275" s="1" t="s">
        <v>5871</v>
      </c>
      <c r="U275" s="1" t="s">
        <v>3794</v>
      </c>
      <c r="V275" s="1" t="s">
        <v>5872</v>
      </c>
      <c r="W275" s="1" t="s">
        <v>5873</v>
      </c>
      <c r="X275" s="1" t="s">
        <v>5874</v>
      </c>
      <c r="Y275" s="1" t="s">
        <v>5875</v>
      </c>
      <c r="Z275" s="1" t="s">
        <v>5876</v>
      </c>
      <c r="AA275" s="1" t="s">
        <v>74</v>
      </c>
      <c r="AB275" s="1" t="s">
        <v>5877</v>
      </c>
      <c r="AC275" s="1" t="s">
        <v>5878</v>
      </c>
      <c r="AD275" s="1" t="s">
        <v>5879</v>
      </c>
      <c r="AE275" s="1" t="s">
        <v>5880</v>
      </c>
      <c r="AF275" s="1" t="s">
        <v>74</v>
      </c>
      <c r="AG275" s="1">
        <v>33.0</v>
      </c>
      <c r="AH275" s="1">
        <v>10.0</v>
      </c>
      <c r="AI275" s="1">
        <v>10.0</v>
      </c>
      <c r="AJ275" s="1">
        <v>2.0</v>
      </c>
      <c r="AK275" s="1">
        <v>2.0</v>
      </c>
      <c r="AL275" s="1" t="s">
        <v>2928</v>
      </c>
      <c r="AM275" s="1" t="s">
        <v>1090</v>
      </c>
      <c r="AN275" s="1" t="s">
        <v>2929</v>
      </c>
      <c r="AO275" s="1" t="s">
        <v>74</v>
      </c>
      <c r="AP275" s="1" t="s">
        <v>5881</v>
      </c>
      <c r="AQ275" s="1" t="s">
        <v>74</v>
      </c>
      <c r="AR275" s="1" t="s">
        <v>5882</v>
      </c>
      <c r="AS275" s="1" t="s">
        <v>5883</v>
      </c>
      <c r="AT275" s="1" t="s">
        <v>1051</v>
      </c>
      <c r="AU275" s="1">
        <v>2021.0</v>
      </c>
      <c r="AV275" s="1">
        <v>2.0</v>
      </c>
      <c r="AW275" s="1">
        <v>4.0</v>
      </c>
      <c r="AX275" s="1" t="s">
        <v>74</v>
      </c>
      <c r="AY275" s="1" t="s">
        <v>74</v>
      </c>
      <c r="AZ275" s="1" t="s">
        <v>74</v>
      </c>
      <c r="BA275" s="1" t="s">
        <v>74</v>
      </c>
      <c r="BB275" s="1">
        <v>721.0</v>
      </c>
      <c r="BC275" s="1">
        <v>726.0</v>
      </c>
      <c r="BD275" s="1" t="s">
        <v>74</v>
      </c>
      <c r="BE275" s="1" t="s">
        <v>5884</v>
      </c>
      <c r="BF275" s="2" t="str">
        <f>HYPERLINK("http://dx.doi.org/10.1093/ehjdh/ztab090","http://dx.doi.org/10.1093/ehjdh/ztab090")</f>
        <v>http://dx.doi.org/10.1093/ehjdh/ztab090</v>
      </c>
      <c r="BG275" s="1" t="s">
        <v>74</v>
      </c>
      <c r="BH275" s="1" t="s">
        <v>74</v>
      </c>
      <c r="BI275" s="1">
        <v>6.0</v>
      </c>
      <c r="BJ275" s="1" t="s">
        <v>2729</v>
      </c>
      <c r="BK275" s="1" t="s">
        <v>172</v>
      </c>
      <c r="BL275" s="1" t="s">
        <v>2730</v>
      </c>
      <c r="BM275" s="1" t="s">
        <v>5885</v>
      </c>
      <c r="BN275" s="1">
        <v>3.6713089E7</v>
      </c>
      <c r="BO275" s="1" t="s">
        <v>284</v>
      </c>
      <c r="BP275" s="1" t="s">
        <v>74</v>
      </c>
      <c r="BQ275" s="1" t="s">
        <v>74</v>
      </c>
      <c r="BR275" s="1" t="s">
        <v>102</v>
      </c>
      <c r="BS275" s="1" t="s">
        <v>5886</v>
      </c>
      <c r="BT275" s="1" t="str">
        <f>HYPERLINK("https%3A%2F%2Fwww.webofscience.com%2Fwos%2Fwoscc%2Ffull-record%2FWOS:001146053400028","View Full Record in Web of Science")</f>
        <v>View Full Record in Web of Science</v>
      </c>
    </row>
    <row r="276" ht="12.75" customHeight="1">
      <c r="A276" s="1" t="s">
        <v>132</v>
      </c>
      <c r="B276" s="1" t="s">
        <v>5887</v>
      </c>
      <c r="C276" s="1" t="s">
        <v>74</v>
      </c>
      <c r="D276" s="1" t="s">
        <v>74</v>
      </c>
      <c r="E276" s="1" t="s">
        <v>74</v>
      </c>
      <c r="F276" s="1" t="s">
        <v>5888</v>
      </c>
      <c r="G276" s="1" t="s">
        <v>74</v>
      </c>
      <c r="H276" s="1" t="s">
        <v>74</v>
      </c>
      <c r="I276" s="1" t="s">
        <v>5889</v>
      </c>
      <c r="J276" s="1" t="s">
        <v>5890</v>
      </c>
      <c r="K276" s="1" t="s">
        <v>74</v>
      </c>
      <c r="L276" s="1" t="s">
        <v>74</v>
      </c>
      <c r="M276" s="1" t="s">
        <v>80</v>
      </c>
      <c r="N276" s="1" t="s">
        <v>136</v>
      </c>
      <c r="O276" s="1" t="s">
        <v>74</v>
      </c>
      <c r="P276" s="1" t="s">
        <v>74</v>
      </c>
      <c r="Q276" s="1" t="s">
        <v>74</v>
      </c>
      <c r="R276" s="1" t="s">
        <v>74</v>
      </c>
      <c r="S276" s="1" t="s">
        <v>74</v>
      </c>
      <c r="T276" s="1" t="s">
        <v>5891</v>
      </c>
      <c r="U276" s="1" t="s">
        <v>74</v>
      </c>
      <c r="V276" s="1" t="s">
        <v>5892</v>
      </c>
      <c r="W276" s="1" t="s">
        <v>5893</v>
      </c>
      <c r="X276" s="1" t="s">
        <v>5894</v>
      </c>
      <c r="Y276" s="1" t="s">
        <v>5895</v>
      </c>
      <c r="Z276" s="1" t="s">
        <v>5896</v>
      </c>
      <c r="AA276" s="1" t="s">
        <v>74</v>
      </c>
      <c r="AB276" s="1" t="s">
        <v>74</v>
      </c>
      <c r="AC276" s="1" t="s">
        <v>74</v>
      </c>
      <c r="AD276" s="1" t="s">
        <v>74</v>
      </c>
      <c r="AE276" s="1" t="s">
        <v>74</v>
      </c>
      <c r="AF276" s="1" t="s">
        <v>74</v>
      </c>
      <c r="AG276" s="1">
        <v>21.0</v>
      </c>
      <c r="AH276" s="1">
        <v>0.0</v>
      </c>
      <c r="AI276" s="1">
        <v>0.0</v>
      </c>
      <c r="AJ276" s="1">
        <v>0.0</v>
      </c>
      <c r="AK276" s="1">
        <v>0.0</v>
      </c>
      <c r="AL276" s="1" t="s">
        <v>5897</v>
      </c>
      <c r="AM276" s="1" t="s">
        <v>5898</v>
      </c>
      <c r="AN276" s="1" t="s">
        <v>5899</v>
      </c>
      <c r="AO276" s="1" t="s">
        <v>5900</v>
      </c>
      <c r="AP276" s="1" t="s">
        <v>5901</v>
      </c>
      <c r="AQ276" s="1" t="s">
        <v>74</v>
      </c>
      <c r="AR276" s="1" t="s">
        <v>5902</v>
      </c>
      <c r="AS276" s="1" t="s">
        <v>5903</v>
      </c>
      <c r="AT276" s="1" t="s">
        <v>74</v>
      </c>
      <c r="AU276" s="1">
        <v>2024.0</v>
      </c>
      <c r="AV276" s="1">
        <v>23.0</v>
      </c>
      <c r="AW276" s="1">
        <v>5.0</v>
      </c>
      <c r="AX276" s="1" t="s">
        <v>74</v>
      </c>
      <c r="AY276" s="1" t="s">
        <v>74</v>
      </c>
      <c r="AZ276" s="1" t="s">
        <v>74</v>
      </c>
      <c r="BA276" s="1" t="s">
        <v>74</v>
      </c>
      <c r="BB276" s="1" t="s">
        <v>74</v>
      </c>
      <c r="BC276" s="1" t="s">
        <v>74</v>
      </c>
      <c r="BD276" s="1" t="s">
        <v>74</v>
      </c>
      <c r="BE276" s="1" t="s">
        <v>5904</v>
      </c>
      <c r="BF276" s="2" t="str">
        <f>HYPERLINK("http://dx.doi.org/10.15688/jvolsu2.2024.5.10","http://dx.doi.org/10.15688/jvolsu2.2024.5.10")</f>
        <v>http://dx.doi.org/10.15688/jvolsu2.2024.5.10</v>
      </c>
      <c r="BG276" s="1" t="s">
        <v>74</v>
      </c>
      <c r="BH276" s="1" t="s">
        <v>74</v>
      </c>
      <c r="BI276" s="1">
        <v>215.0</v>
      </c>
      <c r="BJ276" s="1" t="s">
        <v>1255</v>
      </c>
      <c r="BK276" s="1" t="s">
        <v>172</v>
      </c>
      <c r="BL276" s="1" t="s">
        <v>1256</v>
      </c>
      <c r="BM276" s="1" t="s">
        <v>5905</v>
      </c>
      <c r="BN276" s="1" t="s">
        <v>74</v>
      </c>
      <c r="BO276" s="1" t="s">
        <v>174</v>
      </c>
      <c r="BP276" s="1" t="s">
        <v>74</v>
      </c>
      <c r="BQ276" s="1" t="s">
        <v>74</v>
      </c>
      <c r="BR276" s="1" t="s">
        <v>102</v>
      </c>
      <c r="BS276" s="1" t="s">
        <v>5906</v>
      </c>
      <c r="BT276" s="1" t="str">
        <f>HYPERLINK("https%3A%2F%2Fwww.webofscience.com%2Fwos%2Fwoscc%2Ffull-record%2FWOS:001389514800010","View Full Record in Web of Science")</f>
        <v>View Full Record in Web of Science</v>
      </c>
    </row>
    <row r="277" ht="12.75" customHeight="1">
      <c r="A277" s="1" t="s">
        <v>72</v>
      </c>
      <c r="B277" s="1" t="s">
        <v>5907</v>
      </c>
      <c r="C277" s="1" t="s">
        <v>74</v>
      </c>
      <c r="D277" s="1" t="s">
        <v>74</v>
      </c>
      <c r="E277" s="1" t="s">
        <v>236</v>
      </c>
      <c r="F277" s="1" t="s">
        <v>5908</v>
      </c>
      <c r="G277" s="1" t="s">
        <v>74</v>
      </c>
      <c r="H277" s="1" t="s">
        <v>74</v>
      </c>
      <c r="I277" s="1" t="s">
        <v>5909</v>
      </c>
      <c r="J277" s="1" t="s">
        <v>5910</v>
      </c>
      <c r="K277" s="1" t="s">
        <v>5911</v>
      </c>
      <c r="L277" s="1" t="s">
        <v>74</v>
      </c>
      <c r="M277" s="1" t="s">
        <v>80</v>
      </c>
      <c r="N277" s="1" t="s">
        <v>81</v>
      </c>
      <c r="O277" s="1" t="s">
        <v>5912</v>
      </c>
      <c r="P277" s="1" t="s">
        <v>5913</v>
      </c>
      <c r="Q277" s="1" t="s">
        <v>5914</v>
      </c>
      <c r="R277" s="1" t="s">
        <v>236</v>
      </c>
      <c r="S277" s="1" t="s">
        <v>74</v>
      </c>
      <c r="T277" s="1" t="s">
        <v>5915</v>
      </c>
      <c r="U277" s="1" t="s">
        <v>74</v>
      </c>
      <c r="V277" s="1" t="s">
        <v>5916</v>
      </c>
      <c r="W277" s="1" t="s">
        <v>5917</v>
      </c>
      <c r="X277" s="1" t="s">
        <v>5918</v>
      </c>
      <c r="Y277" s="1" t="s">
        <v>5919</v>
      </c>
      <c r="Z277" s="1" t="s">
        <v>5920</v>
      </c>
      <c r="AA277" s="1" t="s">
        <v>74</v>
      </c>
      <c r="AB277" s="1" t="s">
        <v>74</v>
      </c>
      <c r="AC277" s="1" t="s">
        <v>74</v>
      </c>
      <c r="AD277" s="1" t="s">
        <v>74</v>
      </c>
      <c r="AE277" s="1" t="s">
        <v>74</v>
      </c>
      <c r="AF277" s="1" t="s">
        <v>74</v>
      </c>
      <c r="AG277" s="1">
        <v>36.0</v>
      </c>
      <c r="AH277" s="1">
        <v>0.0</v>
      </c>
      <c r="AI277" s="1">
        <v>0.0</v>
      </c>
      <c r="AJ277" s="1">
        <v>6.0</v>
      </c>
      <c r="AK277" s="1">
        <v>7.0</v>
      </c>
      <c r="AL277" s="1" t="s">
        <v>236</v>
      </c>
      <c r="AM277" s="1" t="s">
        <v>193</v>
      </c>
      <c r="AN277" s="1" t="s">
        <v>252</v>
      </c>
      <c r="AO277" s="1" t="s">
        <v>5921</v>
      </c>
      <c r="AP277" s="1" t="s">
        <v>74</v>
      </c>
      <c r="AQ277" s="1" t="s">
        <v>5922</v>
      </c>
      <c r="AR277" s="1" t="s">
        <v>5923</v>
      </c>
      <c r="AS277" s="1" t="s">
        <v>74</v>
      </c>
      <c r="AT277" s="1" t="s">
        <v>74</v>
      </c>
      <c r="AU277" s="1">
        <v>2024.0</v>
      </c>
      <c r="AV277" s="1" t="s">
        <v>74</v>
      </c>
      <c r="AW277" s="1" t="s">
        <v>74</v>
      </c>
      <c r="AX277" s="1" t="s">
        <v>74</v>
      </c>
      <c r="AY277" s="1" t="s">
        <v>74</v>
      </c>
      <c r="AZ277" s="1" t="s">
        <v>74</v>
      </c>
      <c r="BA277" s="1" t="s">
        <v>74</v>
      </c>
      <c r="BB277" s="1" t="s">
        <v>74</v>
      </c>
      <c r="BC277" s="1" t="s">
        <v>74</v>
      </c>
      <c r="BD277" s="1" t="s">
        <v>74</v>
      </c>
      <c r="BE277" s="1" t="s">
        <v>5924</v>
      </c>
      <c r="BF277" s="2" t="str">
        <f>HYPERLINK("http://dx.doi.org/10.1109/INFOTEH60418.2024.10495946","http://dx.doi.org/10.1109/INFOTEH60418.2024.10495946")</f>
        <v>http://dx.doi.org/10.1109/INFOTEH60418.2024.10495946</v>
      </c>
      <c r="BG277" s="1" t="s">
        <v>74</v>
      </c>
      <c r="BH277" s="1" t="s">
        <v>74</v>
      </c>
      <c r="BI277" s="1">
        <v>6.0</v>
      </c>
      <c r="BJ277" s="1" t="s">
        <v>5925</v>
      </c>
      <c r="BK277" s="1" t="s">
        <v>128</v>
      </c>
      <c r="BL277" s="1" t="s">
        <v>1325</v>
      </c>
      <c r="BM277" s="1" t="s">
        <v>5926</v>
      </c>
      <c r="BN277" s="1" t="s">
        <v>74</v>
      </c>
      <c r="BO277" s="1" t="s">
        <v>74</v>
      </c>
      <c r="BP277" s="1" t="s">
        <v>74</v>
      </c>
      <c r="BQ277" s="1" t="s">
        <v>74</v>
      </c>
      <c r="BR277" s="1" t="s">
        <v>102</v>
      </c>
      <c r="BS277" s="1" t="s">
        <v>5927</v>
      </c>
      <c r="BT277" s="1" t="str">
        <f>HYPERLINK("https%3A%2F%2Fwww.webofscience.com%2Fwos%2Fwoscc%2Ffull-record%2FWOS:001215550500027","View Full Record in Web of Science")</f>
        <v>View Full Record in Web of Science</v>
      </c>
    </row>
    <row r="278" ht="12.75" customHeight="1">
      <c r="A278" s="1" t="s">
        <v>132</v>
      </c>
      <c r="B278" s="1" t="s">
        <v>5928</v>
      </c>
      <c r="C278" s="1" t="s">
        <v>74</v>
      </c>
      <c r="D278" s="1" t="s">
        <v>74</v>
      </c>
      <c r="E278" s="1" t="s">
        <v>74</v>
      </c>
      <c r="F278" s="1" t="s">
        <v>5929</v>
      </c>
      <c r="G278" s="1" t="s">
        <v>74</v>
      </c>
      <c r="H278" s="1" t="s">
        <v>74</v>
      </c>
      <c r="I278" s="1" t="s">
        <v>5930</v>
      </c>
      <c r="J278" s="1" t="s">
        <v>5931</v>
      </c>
      <c r="K278" s="1" t="s">
        <v>74</v>
      </c>
      <c r="L278" s="1" t="s">
        <v>74</v>
      </c>
      <c r="M278" s="1" t="s">
        <v>80</v>
      </c>
      <c r="N278" s="1" t="s">
        <v>136</v>
      </c>
      <c r="O278" s="1" t="s">
        <v>74</v>
      </c>
      <c r="P278" s="1" t="s">
        <v>74</v>
      </c>
      <c r="Q278" s="1" t="s">
        <v>74</v>
      </c>
      <c r="R278" s="1" t="s">
        <v>74</v>
      </c>
      <c r="S278" s="1" t="s">
        <v>74</v>
      </c>
      <c r="T278" s="1" t="s">
        <v>5932</v>
      </c>
      <c r="U278" s="1" t="s">
        <v>74</v>
      </c>
      <c r="V278" s="1" t="s">
        <v>5933</v>
      </c>
      <c r="W278" s="1" t="s">
        <v>5934</v>
      </c>
      <c r="X278" s="1" t="s">
        <v>5935</v>
      </c>
      <c r="Y278" s="1" t="s">
        <v>5936</v>
      </c>
      <c r="Z278" s="1" t="s">
        <v>5937</v>
      </c>
      <c r="AA278" s="1" t="s">
        <v>74</v>
      </c>
      <c r="AB278" s="1" t="s">
        <v>74</v>
      </c>
      <c r="AC278" s="1" t="s">
        <v>74</v>
      </c>
      <c r="AD278" s="1" t="s">
        <v>74</v>
      </c>
      <c r="AE278" s="1" t="s">
        <v>74</v>
      </c>
      <c r="AF278" s="1" t="s">
        <v>74</v>
      </c>
      <c r="AG278" s="1">
        <v>22.0</v>
      </c>
      <c r="AH278" s="1">
        <v>0.0</v>
      </c>
      <c r="AI278" s="1">
        <v>0.0</v>
      </c>
      <c r="AJ278" s="1">
        <v>53.0</v>
      </c>
      <c r="AK278" s="1">
        <v>53.0</v>
      </c>
      <c r="AL278" s="1" t="s">
        <v>5938</v>
      </c>
      <c r="AM278" s="1" t="s">
        <v>5939</v>
      </c>
      <c r="AN278" s="1" t="s">
        <v>5940</v>
      </c>
      <c r="AO278" s="1" t="s">
        <v>5941</v>
      </c>
      <c r="AP278" s="1" t="s">
        <v>5942</v>
      </c>
      <c r="AQ278" s="1" t="s">
        <v>74</v>
      </c>
      <c r="AR278" s="1" t="s">
        <v>5943</v>
      </c>
      <c r="AS278" s="1" t="s">
        <v>5944</v>
      </c>
      <c r="AT278" s="1" t="s">
        <v>74</v>
      </c>
      <c r="AU278" s="1">
        <v>2024.0</v>
      </c>
      <c r="AV278" s="1" t="s">
        <v>74</v>
      </c>
      <c r="AW278" s="1">
        <v>2.0</v>
      </c>
      <c r="AX278" s="1" t="s">
        <v>74</v>
      </c>
      <c r="AY278" s="1" t="s">
        <v>74</v>
      </c>
      <c r="AZ278" s="1" t="s">
        <v>74</v>
      </c>
      <c r="BA278" s="1" t="s">
        <v>74</v>
      </c>
      <c r="BB278" s="1" t="s">
        <v>74</v>
      </c>
      <c r="BC278" s="1" t="s">
        <v>74</v>
      </c>
      <c r="BD278" s="1" t="s">
        <v>74</v>
      </c>
      <c r="BE278" s="1" t="s">
        <v>5945</v>
      </c>
      <c r="BF278" s="2" t="str">
        <f>HYPERLINK("http://dx.doi.org/10.32342/2074-5354-2024-2-61-12","http://dx.doi.org/10.32342/2074-5354-2024-2-61-12")</f>
        <v>http://dx.doi.org/10.32342/2074-5354-2024-2-61-12</v>
      </c>
      <c r="BG278" s="1" t="s">
        <v>74</v>
      </c>
      <c r="BH278" s="1" t="s">
        <v>74</v>
      </c>
      <c r="BI278" s="1">
        <v>17.0</v>
      </c>
      <c r="BJ278" s="1" t="s">
        <v>5946</v>
      </c>
      <c r="BK278" s="1" t="s">
        <v>172</v>
      </c>
      <c r="BL278" s="1" t="s">
        <v>204</v>
      </c>
      <c r="BM278" s="1" t="s">
        <v>5947</v>
      </c>
      <c r="BN278" s="1" t="s">
        <v>74</v>
      </c>
      <c r="BO278" s="1" t="s">
        <v>174</v>
      </c>
      <c r="BP278" s="1" t="s">
        <v>74</v>
      </c>
      <c r="BQ278" s="1" t="s">
        <v>74</v>
      </c>
      <c r="BR278" s="1" t="s">
        <v>102</v>
      </c>
      <c r="BS278" s="1" t="s">
        <v>5948</v>
      </c>
      <c r="BT278" s="1" t="str">
        <f>HYPERLINK("https%3A%2F%2Fwww.webofscience.com%2Fwos%2Fwoscc%2Ffull-record%2FWOS:001284490500012","View Full Record in Web of Science")</f>
        <v>View Full Record in Web of Science</v>
      </c>
    </row>
    <row r="279" ht="12.75" customHeight="1">
      <c r="A279" s="1" t="s">
        <v>132</v>
      </c>
      <c r="B279" s="1" t="s">
        <v>829</v>
      </c>
      <c r="C279" s="1" t="s">
        <v>74</v>
      </c>
      <c r="D279" s="1" t="s">
        <v>74</v>
      </c>
      <c r="E279" s="1" t="s">
        <v>74</v>
      </c>
      <c r="F279" s="1" t="s">
        <v>830</v>
      </c>
      <c r="G279" s="1" t="s">
        <v>74</v>
      </c>
      <c r="H279" s="1" t="s">
        <v>74</v>
      </c>
      <c r="I279" s="1" t="s">
        <v>5949</v>
      </c>
      <c r="J279" s="1" t="s">
        <v>289</v>
      </c>
      <c r="K279" s="1" t="s">
        <v>74</v>
      </c>
      <c r="L279" s="1" t="s">
        <v>74</v>
      </c>
      <c r="M279" s="1" t="s">
        <v>80</v>
      </c>
      <c r="N279" s="1" t="s">
        <v>136</v>
      </c>
      <c r="O279" s="1" t="s">
        <v>74</v>
      </c>
      <c r="P279" s="1" t="s">
        <v>74</v>
      </c>
      <c r="Q279" s="1" t="s">
        <v>74</v>
      </c>
      <c r="R279" s="1" t="s">
        <v>74</v>
      </c>
      <c r="S279" s="1" t="s">
        <v>74</v>
      </c>
      <c r="T279" s="1" t="s">
        <v>5950</v>
      </c>
      <c r="U279" s="1" t="s">
        <v>74</v>
      </c>
      <c r="V279" s="1" t="s">
        <v>5951</v>
      </c>
      <c r="W279" s="1" t="s">
        <v>5952</v>
      </c>
      <c r="X279" s="1" t="s">
        <v>836</v>
      </c>
      <c r="Y279" s="1" t="s">
        <v>5953</v>
      </c>
      <c r="Z279" s="1" t="s">
        <v>838</v>
      </c>
      <c r="AA279" s="1" t="s">
        <v>74</v>
      </c>
      <c r="AB279" s="1" t="s">
        <v>74</v>
      </c>
      <c r="AC279" s="1" t="s">
        <v>74</v>
      </c>
      <c r="AD279" s="1" t="s">
        <v>74</v>
      </c>
      <c r="AE279" s="1" t="s">
        <v>74</v>
      </c>
      <c r="AF279" s="1" t="s">
        <v>74</v>
      </c>
      <c r="AG279" s="1">
        <v>22.0</v>
      </c>
      <c r="AH279" s="1">
        <v>1.0</v>
      </c>
      <c r="AI279" s="1">
        <v>1.0</v>
      </c>
      <c r="AJ279" s="1">
        <v>86.0</v>
      </c>
      <c r="AK279" s="1">
        <v>147.0</v>
      </c>
      <c r="AL279" s="1" t="s">
        <v>296</v>
      </c>
      <c r="AM279" s="1" t="s">
        <v>297</v>
      </c>
      <c r="AN279" s="1" t="s">
        <v>298</v>
      </c>
      <c r="AO279" s="1" t="s">
        <v>299</v>
      </c>
      <c r="AP279" s="1" t="s">
        <v>300</v>
      </c>
      <c r="AQ279" s="1" t="s">
        <v>74</v>
      </c>
      <c r="AR279" s="1" t="s">
        <v>289</v>
      </c>
      <c r="AS279" s="1" t="s">
        <v>301</v>
      </c>
      <c r="AT279" s="1" t="s">
        <v>1301</v>
      </c>
      <c r="AU279" s="1">
        <v>2024.0</v>
      </c>
      <c r="AV279" s="1">
        <v>57.0</v>
      </c>
      <c r="AW279" s="1">
        <v>2.0</v>
      </c>
      <c r="AX279" s="1" t="s">
        <v>74</v>
      </c>
      <c r="AY279" s="1" t="s">
        <v>74</v>
      </c>
      <c r="AZ279" s="1" t="s">
        <v>74</v>
      </c>
      <c r="BA279" s="1" t="s">
        <v>74</v>
      </c>
      <c r="BB279" s="1">
        <v>125.0</v>
      </c>
      <c r="BC279" s="1">
        <v>128.0</v>
      </c>
      <c r="BD279" s="1" t="s">
        <v>74</v>
      </c>
      <c r="BE279" s="1" t="s">
        <v>5954</v>
      </c>
      <c r="BF279" s="2" t="str">
        <f>HYPERLINK("http://dx.doi.org/10.1109/MC.2023.3340772","http://dx.doi.org/10.1109/MC.2023.3340772")</f>
        <v>http://dx.doi.org/10.1109/MC.2023.3340772</v>
      </c>
      <c r="BG279" s="1" t="s">
        <v>74</v>
      </c>
      <c r="BH279" s="1" t="s">
        <v>74</v>
      </c>
      <c r="BI279" s="1">
        <v>4.0</v>
      </c>
      <c r="BJ279" s="1" t="s">
        <v>304</v>
      </c>
      <c r="BK279" s="1" t="s">
        <v>149</v>
      </c>
      <c r="BL279" s="1" t="s">
        <v>232</v>
      </c>
      <c r="BM279" s="1" t="s">
        <v>5955</v>
      </c>
      <c r="BN279" s="1" t="s">
        <v>74</v>
      </c>
      <c r="BO279" s="1" t="s">
        <v>632</v>
      </c>
      <c r="BP279" s="1" t="s">
        <v>74</v>
      </c>
      <c r="BQ279" s="1" t="s">
        <v>74</v>
      </c>
      <c r="BR279" s="1" t="s">
        <v>102</v>
      </c>
      <c r="BS279" s="1" t="s">
        <v>5956</v>
      </c>
      <c r="BT279" s="1" t="str">
        <f>HYPERLINK("https%3A%2F%2Fwww.webofscience.com%2Fwos%2Fwoscc%2Ffull-record%2FWOS:001168172500016","View Full Record in Web of Science")</f>
        <v>View Full Record in Web of Science</v>
      </c>
    </row>
    <row r="280" ht="12.75" customHeight="1">
      <c r="A280" s="1" t="s">
        <v>132</v>
      </c>
      <c r="B280" s="1" t="s">
        <v>5957</v>
      </c>
      <c r="C280" s="1" t="s">
        <v>74</v>
      </c>
      <c r="D280" s="1" t="s">
        <v>74</v>
      </c>
      <c r="E280" s="1" t="s">
        <v>74</v>
      </c>
      <c r="F280" s="1" t="s">
        <v>5958</v>
      </c>
      <c r="G280" s="1" t="s">
        <v>74</v>
      </c>
      <c r="H280" s="1" t="s">
        <v>74</v>
      </c>
      <c r="I280" s="1" t="s">
        <v>5959</v>
      </c>
      <c r="J280" s="1" t="s">
        <v>5960</v>
      </c>
      <c r="K280" s="1" t="s">
        <v>74</v>
      </c>
      <c r="L280" s="1" t="s">
        <v>74</v>
      </c>
      <c r="M280" s="1" t="s">
        <v>80</v>
      </c>
      <c r="N280" s="1" t="s">
        <v>136</v>
      </c>
      <c r="O280" s="1" t="s">
        <v>74</v>
      </c>
      <c r="P280" s="1" t="s">
        <v>74</v>
      </c>
      <c r="Q280" s="1" t="s">
        <v>74</v>
      </c>
      <c r="R280" s="1" t="s">
        <v>74</v>
      </c>
      <c r="S280" s="1" t="s">
        <v>74</v>
      </c>
      <c r="T280" s="1" t="s">
        <v>5961</v>
      </c>
      <c r="U280" s="1" t="s">
        <v>5962</v>
      </c>
      <c r="V280" s="1" t="s">
        <v>5963</v>
      </c>
      <c r="W280" s="1" t="s">
        <v>5964</v>
      </c>
      <c r="X280" s="1" t="s">
        <v>5965</v>
      </c>
      <c r="Y280" s="1" t="s">
        <v>5966</v>
      </c>
      <c r="Z280" s="1" t="s">
        <v>5967</v>
      </c>
      <c r="AA280" s="1" t="s">
        <v>74</v>
      </c>
      <c r="AB280" s="1" t="s">
        <v>5968</v>
      </c>
      <c r="AC280" s="1" t="s">
        <v>5969</v>
      </c>
      <c r="AD280" s="1" t="s">
        <v>5969</v>
      </c>
      <c r="AE280" s="1" t="s">
        <v>5970</v>
      </c>
      <c r="AF280" s="1" t="s">
        <v>74</v>
      </c>
      <c r="AG280" s="1">
        <v>77.0</v>
      </c>
      <c r="AH280" s="1">
        <v>46.0</v>
      </c>
      <c r="AI280" s="1">
        <v>47.0</v>
      </c>
      <c r="AJ280" s="1">
        <v>41.0</v>
      </c>
      <c r="AK280" s="1">
        <v>187.0</v>
      </c>
      <c r="AL280" s="1" t="s">
        <v>2745</v>
      </c>
      <c r="AM280" s="1" t="s">
        <v>2746</v>
      </c>
      <c r="AN280" s="1" t="s">
        <v>2747</v>
      </c>
      <c r="AO280" s="1" t="s">
        <v>5971</v>
      </c>
      <c r="AP280" s="1" t="s">
        <v>5972</v>
      </c>
      <c r="AQ280" s="1" t="s">
        <v>74</v>
      </c>
      <c r="AR280" s="1" t="s">
        <v>5960</v>
      </c>
      <c r="AS280" s="1" t="s">
        <v>5973</v>
      </c>
      <c r="AT280" s="1" t="s">
        <v>870</v>
      </c>
      <c r="AU280" s="1">
        <v>2022.0</v>
      </c>
      <c r="AV280" s="1">
        <v>135.0</v>
      </c>
      <c r="AW280" s="1" t="s">
        <v>74</v>
      </c>
      <c r="AX280" s="1" t="s">
        <v>74</v>
      </c>
      <c r="AY280" s="1" t="s">
        <v>74</v>
      </c>
      <c r="AZ280" s="1" t="s">
        <v>74</v>
      </c>
      <c r="BA280" s="1" t="s">
        <v>74</v>
      </c>
      <c r="BB280" s="1" t="s">
        <v>74</v>
      </c>
      <c r="BC280" s="1" t="s">
        <v>74</v>
      </c>
      <c r="BD280" s="1">
        <v>102884.0</v>
      </c>
      <c r="BE280" s="1" t="s">
        <v>5974</v>
      </c>
      <c r="BF280" s="2" t="str">
        <f>HYPERLINK("http://dx.doi.org/10.1016/j.futures.2021.102884","http://dx.doi.org/10.1016/j.futures.2021.102884")</f>
        <v>http://dx.doi.org/10.1016/j.futures.2021.102884</v>
      </c>
      <c r="BG280" s="1" t="s">
        <v>74</v>
      </c>
      <c r="BH280" s="1" t="s">
        <v>4192</v>
      </c>
      <c r="BI280" s="1">
        <v>11.0</v>
      </c>
      <c r="BJ280" s="1" t="s">
        <v>5975</v>
      </c>
      <c r="BK280" s="1" t="s">
        <v>203</v>
      </c>
      <c r="BL280" s="1" t="s">
        <v>4615</v>
      </c>
      <c r="BM280" s="1" t="s">
        <v>5976</v>
      </c>
      <c r="BN280" s="1" t="s">
        <v>74</v>
      </c>
      <c r="BO280" s="1" t="s">
        <v>5977</v>
      </c>
      <c r="BP280" s="1" t="s">
        <v>74</v>
      </c>
      <c r="BQ280" s="1" t="s">
        <v>74</v>
      </c>
      <c r="BR280" s="1" t="s">
        <v>102</v>
      </c>
      <c r="BS280" s="1" t="s">
        <v>5978</v>
      </c>
      <c r="BT280" s="1" t="str">
        <f>HYPERLINK("https%3A%2F%2Fwww.webofscience.com%2Fwos%2Fwoscc%2Ffull-record%2FWOS:000736574800006","View Full Record in Web of Science")</f>
        <v>View Full Record in Web of Science</v>
      </c>
    </row>
    <row r="281" ht="12.75" customHeight="1">
      <c r="A281" s="1" t="s">
        <v>72</v>
      </c>
      <c r="B281" s="1" t="s">
        <v>5979</v>
      </c>
      <c r="C281" s="1" t="s">
        <v>74</v>
      </c>
      <c r="D281" s="1" t="s">
        <v>5980</v>
      </c>
      <c r="E281" s="1" t="s">
        <v>74</v>
      </c>
      <c r="F281" s="1" t="s">
        <v>5981</v>
      </c>
      <c r="G281" s="1" t="s">
        <v>74</v>
      </c>
      <c r="H281" s="1" t="s">
        <v>74</v>
      </c>
      <c r="I281" s="1" t="s">
        <v>5982</v>
      </c>
      <c r="J281" s="1" t="s">
        <v>5983</v>
      </c>
      <c r="K281" s="1" t="s">
        <v>5984</v>
      </c>
      <c r="L281" s="1" t="s">
        <v>74</v>
      </c>
      <c r="M281" s="1" t="s">
        <v>80</v>
      </c>
      <c r="N281" s="1" t="s">
        <v>81</v>
      </c>
      <c r="O281" s="1" t="s">
        <v>5985</v>
      </c>
      <c r="P281" s="1" t="s">
        <v>5986</v>
      </c>
      <c r="Q281" s="1" t="s">
        <v>5987</v>
      </c>
      <c r="R281" s="1" t="s">
        <v>5988</v>
      </c>
      <c r="S281" s="1" t="s">
        <v>5989</v>
      </c>
      <c r="T281" s="1" t="s">
        <v>5990</v>
      </c>
      <c r="U281" s="1" t="s">
        <v>5991</v>
      </c>
      <c r="V281" s="1" t="s">
        <v>5992</v>
      </c>
      <c r="W281" s="1" t="s">
        <v>5993</v>
      </c>
      <c r="X281" s="1" t="s">
        <v>5994</v>
      </c>
      <c r="Y281" s="1" t="s">
        <v>5995</v>
      </c>
      <c r="Z281" s="1" t="s">
        <v>5996</v>
      </c>
      <c r="AA281" s="1" t="s">
        <v>5997</v>
      </c>
      <c r="AB281" s="1" t="s">
        <v>5998</v>
      </c>
      <c r="AC281" s="1" t="s">
        <v>74</v>
      </c>
      <c r="AD281" s="1" t="s">
        <v>74</v>
      </c>
      <c r="AE281" s="1" t="s">
        <v>74</v>
      </c>
      <c r="AF281" s="1" t="s">
        <v>74</v>
      </c>
      <c r="AG281" s="1">
        <v>12.0</v>
      </c>
      <c r="AH281" s="1">
        <v>0.0</v>
      </c>
      <c r="AI281" s="1">
        <v>0.0</v>
      </c>
      <c r="AJ281" s="1">
        <v>15.0</v>
      </c>
      <c r="AK281" s="1">
        <v>22.0</v>
      </c>
      <c r="AL281" s="1" t="s">
        <v>5999</v>
      </c>
      <c r="AM281" s="1" t="s">
        <v>322</v>
      </c>
      <c r="AN281" s="1" t="s">
        <v>6000</v>
      </c>
      <c r="AO281" s="1" t="s">
        <v>6001</v>
      </c>
      <c r="AP281" s="1" t="s">
        <v>74</v>
      </c>
      <c r="AQ281" s="1" t="s">
        <v>6002</v>
      </c>
      <c r="AR281" s="1" t="s">
        <v>6003</v>
      </c>
      <c r="AS281" s="1" t="s">
        <v>74</v>
      </c>
      <c r="AT281" s="1" t="s">
        <v>74</v>
      </c>
      <c r="AU281" s="1">
        <v>2023.0</v>
      </c>
      <c r="AV281" s="1">
        <v>44.0</v>
      </c>
      <c r="AW281" s="1" t="s">
        <v>74</v>
      </c>
      <c r="AX281" s="1" t="s">
        <v>74</v>
      </c>
      <c r="AY281" s="1" t="s">
        <v>74</v>
      </c>
      <c r="AZ281" s="1" t="s">
        <v>74</v>
      </c>
      <c r="BA281" s="1" t="s">
        <v>74</v>
      </c>
      <c r="BB281" s="1">
        <v>10.0</v>
      </c>
      <c r="BC281" s="1">
        <v>15.0</v>
      </c>
      <c r="BD281" s="1" t="s">
        <v>74</v>
      </c>
      <c r="BE281" s="1" t="s">
        <v>6004</v>
      </c>
      <c r="BF281" s="2" t="str">
        <f>HYPERLINK("http://dx.doi.org/10.3233/ATDE230892","http://dx.doi.org/10.3233/ATDE230892")</f>
        <v>http://dx.doi.org/10.3233/ATDE230892</v>
      </c>
      <c r="BG281" s="1" t="s">
        <v>74</v>
      </c>
      <c r="BH281" s="1" t="s">
        <v>74</v>
      </c>
      <c r="BI281" s="1">
        <v>6.0</v>
      </c>
      <c r="BJ281" s="1" t="s">
        <v>6005</v>
      </c>
      <c r="BK281" s="1" t="s">
        <v>128</v>
      </c>
      <c r="BL281" s="1" t="s">
        <v>6006</v>
      </c>
      <c r="BM281" s="1" t="s">
        <v>6007</v>
      </c>
      <c r="BN281" s="1" t="s">
        <v>74</v>
      </c>
      <c r="BO281" s="1" t="s">
        <v>174</v>
      </c>
      <c r="BP281" s="1" t="s">
        <v>74</v>
      </c>
      <c r="BQ281" s="1" t="s">
        <v>74</v>
      </c>
      <c r="BR281" s="1" t="s">
        <v>102</v>
      </c>
      <c r="BS281" s="1" t="s">
        <v>6008</v>
      </c>
      <c r="BT281" s="1" t="str">
        <f>HYPERLINK("https%3A%2F%2Fwww.webofscience.com%2Fwos%2Fwoscc%2Ffull-record%2FWOS:001176429700002","View Full Record in Web of Science")</f>
        <v>View Full Record in Web of Science</v>
      </c>
    </row>
    <row r="282" ht="12.75" customHeight="1">
      <c r="A282" s="1" t="s">
        <v>132</v>
      </c>
      <c r="B282" s="1" t="s">
        <v>6009</v>
      </c>
      <c r="C282" s="1" t="s">
        <v>74</v>
      </c>
      <c r="D282" s="1" t="s">
        <v>74</v>
      </c>
      <c r="E282" s="1" t="s">
        <v>74</v>
      </c>
      <c r="F282" s="1" t="s">
        <v>6010</v>
      </c>
      <c r="G282" s="1" t="s">
        <v>74</v>
      </c>
      <c r="H282" s="1" t="s">
        <v>74</v>
      </c>
      <c r="I282" s="1" t="s">
        <v>6011</v>
      </c>
      <c r="J282" s="1" t="s">
        <v>6012</v>
      </c>
      <c r="K282" s="1" t="s">
        <v>74</v>
      </c>
      <c r="L282" s="1" t="s">
        <v>74</v>
      </c>
      <c r="M282" s="1" t="s">
        <v>80</v>
      </c>
      <c r="N282" s="1" t="s">
        <v>136</v>
      </c>
      <c r="O282" s="1" t="s">
        <v>74</v>
      </c>
      <c r="P282" s="1" t="s">
        <v>74</v>
      </c>
      <c r="Q282" s="1" t="s">
        <v>74</v>
      </c>
      <c r="R282" s="1" t="s">
        <v>74</v>
      </c>
      <c r="S282" s="1" t="s">
        <v>74</v>
      </c>
      <c r="T282" s="1" t="s">
        <v>6013</v>
      </c>
      <c r="U282" s="1" t="s">
        <v>6014</v>
      </c>
      <c r="V282" s="1" t="s">
        <v>6015</v>
      </c>
      <c r="W282" s="1" t="s">
        <v>6016</v>
      </c>
      <c r="X282" s="1" t="s">
        <v>6017</v>
      </c>
      <c r="Y282" s="1" t="s">
        <v>6018</v>
      </c>
      <c r="Z282" s="1" t="s">
        <v>6019</v>
      </c>
      <c r="AA282" s="1" t="s">
        <v>74</v>
      </c>
      <c r="AB282" s="1" t="s">
        <v>6020</v>
      </c>
      <c r="AC282" s="1" t="s">
        <v>74</v>
      </c>
      <c r="AD282" s="1" t="s">
        <v>74</v>
      </c>
      <c r="AE282" s="1" t="s">
        <v>74</v>
      </c>
      <c r="AF282" s="1" t="s">
        <v>74</v>
      </c>
      <c r="AG282" s="1">
        <v>19.0</v>
      </c>
      <c r="AH282" s="1">
        <v>18.0</v>
      </c>
      <c r="AI282" s="1">
        <v>18.0</v>
      </c>
      <c r="AJ282" s="1">
        <v>3.0</v>
      </c>
      <c r="AK282" s="1">
        <v>15.0</v>
      </c>
      <c r="AL282" s="1" t="s">
        <v>4185</v>
      </c>
      <c r="AM282" s="1" t="s">
        <v>349</v>
      </c>
      <c r="AN282" s="1" t="s">
        <v>4186</v>
      </c>
      <c r="AO282" s="1" t="s">
        <v>6021</v>
      </c>
      <c r="AP282" s="1" t="s">
        <v>6022</v>
      </c>
      <c r="AQ282" s="1" t="s">
        <v>74</v>
      </c>
      <c r="AR282" s="1" t="s">
        <v>6023</v>
      </c>
      <c r="AS282" s="1" t="s">
        <v>6024</v>
      </c>
      <c r="AT282" s="1" t="s">
        <v>1253</v>
      </c>
      <c r="AU282" s="1">
        <v>2023.0</v>
      </c>
      <c r="AV282" s="1">
        <v>35.0</v>
      </c>
      <c r="AW282" s="1">
        <v>4.0</v>
      </c>
      <c r="AX282" s="1" t="s">
        <v>74</v>
      </c>
      <c r="AY282" s="1" t="s">
        <v>74</v>
      </c>
      <c r="AZ282" s="1" t="s">
        <v>74</v>
      </c>
      <c r="BA282" s="1" t="s">
        <v>74</v>
      </c>
      <c r="BB282" s="1">
        <v>219.0</v>
      </c>
      <c r="BC282" s="1">
        <v>226.0</v>
      </c>
      <c r="BD282" s="1" t="s">
        <v>74</v>
      </c>
      <c r="BE282" s="1" t="s">
        <v>6025</v>
      </c>
      <c r="BF282" s="2" t="str">
        <f>HYPERLINK("http://dx.doi.org/10.1016/j.clon.2023.01.014","http://dx.doi.org/10.1016/j.clon.2023.01.014")</f>
        <v>http://dx.doi.org/10.1016/j.clon.2023.01.014</v>
      </c>
      <c r="BG282" s="1" t="s">
        <v>74</v>
      </c>
      <c r="BH282" s="1" t="s">
        <v>330</v>
      </c>
      <c r="BI282" s="1">
        <v>8.0</v>
      </c>
      <c r="BJ282" s="1" t="s">
        <v>1904</v>
      </c>
      <c r="BK282" s="1" t="s">
        <v>149</v>
      </c>
      <c r="BL282" s="1" t="s">
        <v>1904</v>
      </c>
      <c r="BM282" s="1" t="s">
        <v>6026</v>
      </c>
      <c r="BN282" s="1">
        <v>3.6725406E7</v>
      </c>
      <c r="BO282" s="1" t="s">
        <v>306</v>
      </c>
      <c r="BP282" s="1" t="s">
        <v>74</v>
      </c>
      <c r="BQ282" s="1" t="s">
        <v>74</v>
      </c>
      <c r="BR282" s="1" t="s">
        <v>102</v>
      </c>
      <c r="BS282" s="1" t="s">
        <v>6027</v>
      </c>
      <c r="BT282" s="1" t="str">
        <f>HYPERLINK("https%3A%2F%2Fwww.webofscience.com%2Fwos%2Fwoscc%2Ffull-record%2FWOS:000961884900001","View Full Record in Web of Science")</f>
        <v>View Full Record in Web of Science</v>
      </c>
    </row>
    <row r="283" ht="12.75" customHeight="1">
      <c r="A283" s="1" t="s">
        <v>72</v>
      </c>
      <c r="B283" s="1" t="s">
        <v>6028</v>
      </c>
      <c r="C283" s="1" t="s">
        <v>74</v>
      </c>
      <c r="D283" s="1" t="s">
        <v>2382</v>
      </c>
      <c r="E283" s="1" t="s">
        <v>74</v>
      </c>
      <c r="F283" s="1" t="s">
        <v>6029</v>
      </c>
      <c r="G283" s="1" t="s">
        <v>74</v>
      </c>
      <c r="H283" s="1" t="s">
        <v>74</v>
      </c>
      <c r="I283" s="1" t="s">
        <v>6030</v>
      </c>
      <c r="J283" s="1" t="s">
        <v>6031</v>
      </c>
      <c r="K283" s="1" t="s">
        <v>2386</v>
      </c>
      <c r="L283" s="1" t="s">
        <v>74</v>
      </c>
      <c r="M283" s="1" t="s">
        <v>80</v>
      </c>
      <c r="N283" s="1" t="s">
        <v>81</v>
      </c>
      <c r="O283" s="1" t="s">
        <v>6032</v>
      </c>
      <c r="P283" s="1" t="s">
        <v>6033</v>
      </c>
      <c r="Q283" s="1" t="s">
        <v>6034</v>
      </c>
      <c r="R283" s="1" t="s">
        <v>74</v>
      </c>
      <c r="S283" s="1" t="s">
        <v>74</v>
      </c>
      <c r="T283" s="1" t="s">
        <v>6035</v>
      </c>
      <c r="U283" s="1" t="s">
        <v>6036</v>
      </c>
      <c r="V283" s="1" t="s">
        <v>6037</v>
      </c>
      <c r="W283" s="1" t="s">
        <v>6038</v>
      </c>
      <c r="X283" s="1" t="s">
        <v>6039</v>
      </c>
      <c r="Y283" s="1" t="s">
        <v>6040</v>
      </c>
      <c r="Z283" s="1" t="s">
        <v>6041</v>
      </c>
      <c r="AA283" s="1" t="s">
        <v>6042</v>
      </c>
      <c r="AB283" s="1" t="s">
        <v>6043</v>
      </c>
      <c r="AC283" s="1" t="s">
        <v>74</v>
      </c>
      <c r="AD283" s="1" t="s">
        <v>74</v>
      </c>
      <c r="AE283" s="1" t="s">
        <v>74</v>
      </c>
      <c r="AF283" s="1" t="s">
        <v>74</v>
      </c>
      <c r="AG283" s="1">
        <v>44.0</v>
      </c>
      <c r="AH283" s="1">
        <v>0.0</v>
      </c>
      <c r="AI283" s="1">
        <v>0.0</v>
      </c>
      <c r="AJ283" s="1">
        <v>1.0</v>
      </c>
      <c r="AK283" s="1">
        <v>1.0</v>
      </c>
      <c r="AL283" s="1" t="s">
        <v>223</v>
      </c>
      <c r="AM283" s="1" t="s">
        <v>224</v>
      </c>
      <c r="AN283" s="1" t="s">
        <v>225</v>
      </c>
      <c r="AO283" s="1" t="s">
        <v>2398</v>
      </c>
      <c r="AP283" s="1" t="s">
        <v>2399</v>
      </c>
      <c r="AQ283" s="1" t="s">
        <v>6044</v>
      </c>
      <c r="AR283" s="1" t="s">
        <v>2401</v>
      </c>
      <c r="AS283" s="1" t="s">
        <v>74</v>
      </c>
      <c r="AT283" s="1" t="s">
        <v>74</v>
      </c>
      <c r="AU283" s="1">
        <v>2024.0</v>
      </c>
      <c r="AV283" s="1">
        <v>1082.0</v>
      </c>
      <c r="AW283" s="1" t="s">
        <v>74</v>
      </c>
      <c r="AX283" s="1" t="s">
        <v>74</v>
      </c>
      <c r="AY283" s="1" t="s">
        <v>74</v>
      </c>
      <c r="AZ283" s="1" t="s">
        <v>74</v>
      </c>
      <c r="BA283" s="1" t="s">
        <v>74</v>
      </c>
      <c r="BB283" s="1">
        <v>320.0</v>
      </c>
      <c r="BC283" s="1">
        <v>333.0</v>
      </c>
      <c r="BD283" s="1" t="s">
        <v>74</v>
      </c>
      <c r="BE283" s="1" t="s">
        <v>6045</v>
      </c>
      <c r="BF283" s="2" t="str">
        <f>HYPERLINK("http://dx.doi.org/10.1007/978-3-031-67434-1_30","http://dx.doi.org/10.1007/978-3-031-67434-1_30")</f>
        <v>http://dx.doi.org/10.1007/978-3-031-67434-1_30</v>
      </c>
      <c r="BG283" s="1" t="s">
        <v>74</v>
      </c>
      <c r="BH283" s="1" t="s">
        <v>74</v>
      </c>
      <c r="BI283" s="1">
        <v>14.0</v>
      </c>
      <c r="BJ283" s="1" t="s">
        <v>6046</v>
      </c>
      <c r="BK283" s="1" t="s">
        <v>405</v>
      </c>
      <c r="BL283" s="1" t="s">
        <v>406</v>
      </c>
      <c r="BM283" s="1" t="s">
        <v>6047</v>
      </c>
      <c r="BN283" s="1" t="s">
        <v>74</v>
      </c>
      <c r="BO283" s="1" t="s">
        <v>74</v>
      </c>
      <c r="BP283" s="1" t="s">
        <v>74</v>
      </c>
      <c r="BQ283" s="1" t="s">
        <v>74</v>
      </c>
      <c r="BR283" s="1" t="s">
        <v>102</v>
      </c>
      <c r="BS283" s="1" t="s">
        <v>6048</v>
      </c>
      <c r="BT283" s="1" t="str">
        <f>HYPERLINK("https%3A%2F%2Fwww.webofscience.com%2Fwos%2Fwoscc%2Ffull-record%2FWOS:001313510800030","View Full Record in Web of Science")</f>
        <v>View Full Record in Web of Science</v>
      </c>
    </row>
    <row r="284" ht="12.75" customHeight="1">
      <c r="A284" s="1" t="s">
        <v>132</v>
      </c>
      <c r="B284" s="1" t="s">
        <v>6049</v>
      </c>
      <c r="C284" s="1" t="s">
        <v>74</v>
      </c>
      <c r="D284" s="1" t="s">
        <v>74</v>
      </c>
      <c r="E284" s="1" t="s">
        <v>74</v>
      </c>
      <c r="F284" s="1" t="s">
        <v>6050</v>
      </c>
      <c r="G284" s="1" t="s">
        <v>74</v>
      </c>
      <c r="H284" s="1" t="s">
        <v>74</v>
      </c>
      <c r="I284" s="1" t="s">
        <v>6051</v>
      </c>
      <c r="J284" s="1" t="s">
        <v>4996</v>
      </c>
      <c r="K284" s="1" t="s">
        <v>74</v>
      </c>
      <c r="L284" s="1" t="s">
        <v>74</v>
      </c>
      <c r="M284" s="1" t="s">
        <v>80</v>
      </c>
      <c r="N284" s="1" t="s">
        <v>1010</v>
      </c>
      <c r="O284" s="1" t="s">
        <v>74</v>
      </c>
      <c r="P284" s="1" t="s">
        <v>74</v>
      </c>
      <c r="Q284" s="1" t="s">
        <v>74</v>
      </c>
      <c r="R284" s="1" t="s">
        <v>74</v>
      </c>
      <c r="S284" s="1" t="s">
        <v>74</v>
      </c>
      <c r="T284" s="1" t="s">
        <v>6052</v>
      </c>
      <c r="U284" s="1" t="s">
        <v>6053</v>
      </c>
      <c r="V284" s="1" t="s">
        <v>6054</v>
      </c>
      <c r="W284" s="1" t="s">
        <v>6055</v>
      </c>
      <c r="X284" s="1" t="s">
        <v>6056</v>
      </c>
      <c r="Y284" s="1" t="s">
        <v>6057</v>
      </c>
      <c r="Z284" s="1" t="s">
        <v>6058</v>
      </c>
      <c r="AA284" s="1" t="s">
        <v>6059</v>
      </c>
      <c r="AB284" s="1" t="s">
        <v>6060</v>
      </c>
      <c r="AC284" s="1" t="s">
        <v>74</v>
      </c>
      <c r="AD284" s="1" t="s">
        <v>74</v>
      </c>
      <c r="AE284" s="1" t="s">
        <v>74</v>
      </c>
      <c r="AF284" s="1" t="s">
        <v>74</v>
      </c>
      <c r="AG284" s="1">
        <v>30.0</v>
      </c>
      <c r="AH284" s="1">
        <v>2.0</v>
      </c>
      <c r="AI284" s="1">
        <v>3.0</v>
      </c>
      <c r="AJ284" s="1">
        <v>0.0</v>
      </c>
      <c r="AK284" s="1">
        <v>0.0</v>
      </c>
      <c r="AL284" s="1" t="s">
        <v>5005</v>
      </c>
      <c r="AM284" s="1" t="s">
        <v>5006</v>
      </c>
      <c r="AN284" s="1" t="s">
        <v>5007</v>
      </c>
      <c r="AO284" s="1" t="s">
        <v>74</v>
      </c>
      <c r="AP284" s="1" t="s">
        <v>5008</v>
      </c>
      <c r="AQ284" s="1" t="s">
        <v>74</v>
      </c>
      <c r="AR284" s="1" t="s">
        <v>5009</v>
      </c>
      <c r="AS284" s="1" t="s">
        <v>5010</v>
      </c>
      <c r="AT284" s="1" t="s">
        <v>1051</v>
      </c>
      <c r="AU284" s="1">
        <v>2022.0</v>
      </c>
      <c r="AV284" s="1">
        <v>2.0</v>
      </c>
      <c r="AW284" s="1">
        <v>4.0</v>
      </c>
      <c r="AX284" s="1" t="s">
        <v>74</v>
      </c>
      <c r="AY284" s="1" t="s">
        <v>74</v>
      </c>
      <c r="AZ284" s="1" t="s">
        <v>74</v>
      </c>
      <c r="BA284" s="1" t="s">
        <v>74</v>
      </c>
      <c r="BB284" s="1">
        <v>213.0</v>
      </c>
      <c r="BC284" s="1">
        <v>223.0</v>
      </c>
      <c r="BD284" s="1" t="s">
        <v>74</v>
      </c>
      <c r="BE284" s="1" t="s">
        <v>6061</v>
      </c>
      <c r="BF284" s="2" t="str">
        <f>HYPERLINK("http://dx.doi.org/10.20517/ais.2022.32","http://dx.doi.org/10.20517/ais.2022.32")</f>
        <v>http://dx.doi.org/10.20517/ais.2022.32</v>
      </c>
      <c r="BG284" s="1" t="s">
        <v>74</v>
      </c>
      <c r="BH284" s="1" t="s">
        <v>74</v>
      </c>
      <c r="BI284" s="1">
        <v>11.0</v>
      </c>
      <c r="BJ284" s="1" t="s">
        <v>5012</v>
      </c>
      <c r="BK284" s="1" t="s">
        <v>172</v>
      </c>
      <c r="BL284" s="1" t="s">
        <v>5012</v>
      </c>
      <c r="BM284" s="1" t="s">
        <v>6062</v>
      </c>
      <c r="BN284" s="1" t="s">
        <v>74</v>
      </c>
      <c r="BO284" s="1" t="s">
        <v>174</v>
      </c>
      <c r="BP284" s="1" t="s">
        <v>74</v>
      </c>
      <c r="BQ284" s="1" t="s">
        <v>74</v>
      </c>
      <c r="BR284" s="1" t="s">
        <v>102</v>
      </c>
      <c r="BS284" s="1" t="s">
        <v>6063</v>
      </c>
      <c r="BT284" s="1" t="str">
        <f>HYPERLINK("https%3A%2F%2Fwww.webofscience.com%2Fwos%2Fwoscc%2Ffull-record%2FWOS:001314502900005","View Full Record in Web of Science")</f>
        <v>View Full Record in Web of Science</v>
      </c>
    </row>
    <row r="285" ht="12.75" customHeight="1">
      <c r="A285" s="1" t="s">
        <v>132</v>
      </c>
      <c r="B285" s="1" t="s">
        <v>6064</v>
      </c>
      <c r="C285" s="1" t="s">
        <v>74</v>
      </c>
      <c r="D285" s="1" t="s">
        <v>74</v>
      </c>
      <c r="E285" s="1" t="s">
        <v>74</v>
      </c>
      <c r="F285" s="1" t="s">
        <v>6065</v>
      </c>
      <c r="G285" s="1" t="s">
        <v>74</v>
      </c>
      <c r="H285" s="1" t="s">
        <v>74</v>
      </c>
      <c r="I285" s="1" t="s">
        <v>6066</v>
      </c>
      <c r="J285" s="1" t="s">
        <v>6067</v>
      </c>
      <c r="K285" s="1" t="s">
        <v>74</v>
      </c>
      <c r="L285" s="1" t="s">
        <v>74</v>
      </c>
      <c r="M285" s="1" t="s">
        <v>80</v>
      </c>
      <c r="N285" s="1" t="s">
        <v>136</v>
      </c>
      <c r="O285" s="1" t="s">
        <v>74</v>
      </c>
      <c r="P285" s="1" t="s">
        <v>74</v>
      </c>
      <c r="Q285" s="1" t="s">
        <v>74</v>
      </c>
      <c r="R285" s="1" t="s">
        <v>74</v>
      </c>
      <c r="S285" s="1" t="s">
        <v>74</v>
      </c>
      <c r="T285" s="1" t="s">
        <v>6068</v>
      </c>
      <c r="U285" s="1" t="s">
        <v>6069</v>
      </c>
      <c r="V285" s="1" t="s">
        <v>6070</v>
      </c>
      <c r="W285" s="1" t="s">
        <v>6071</v>
      </c>
      <c r="X285" s="1" t="s">
        <v>6072</v>
      </c>
      <c r="Y285" s="1" t="s">
        <v>6073</v>
      </c>
      <c r="Z285" s="1" t="s">
        <v>6074</v>
      </c>
      <c r="AA285" s="1" t="s">
        <v>6075</v>
      </c>
      <c r="AB285" s="1" t="s">
        <v>74</v>
      </c>
      <c r="AC285" s="1" t="s">
        <v>6076</v>
      </c>
      <c r="AD285" s="1" t="s">
        <v>6077</v>
      </c>
      <c r="AE285" s="1" t="s">
        <v>6078</v>
      </c>
      <c r="AF285" s="1" t="s">
        <v>74</v>
      </c>
      <c r="AG285" s="1">
        <v>116.0</v>
      </c>
      <c r="AH285" s="1">
        <v>20.0</v>
      </c>
      <c r="AI285" s="1">
        <v>20.0</v>
      </c>
      <c r="AJ285" s="1">
        <v>182.0</v>
      </c>
      <c r="AK285" s="1">
        <v>215.0</v>
      </c>
      <c r="AL285" s="1" t="s">
        <v>2745</v>
      </c>
      <c r="AM285" s="1" t="s">
        <v>2746</v>
      </c>
      <c r="AN285" s="1" t="s">
        <v>2747</v>
      </c>
      <c r="AO285" s="1" t="s">
        <v>6079</v>
      </c>
      <c r="AP285" s="1" t="s">
        <v>6080</v>
      </c>
      <c r="AQ285" s="1" t="s">
        <v>74</v>
      </c>
      <c r="AR285" s="1" t="s">
        <v>6081</v>
      </c>
      <c r="AS285" s="1" t="s">
        <v>6082</v>
      </c>
      <c r="AT285" s="1" t="s">
        <v>4829</v>
      </c>
      <c r="AU285" s="1">
        <v>2024.0</v>
      </c>
      <c r="AV285" s="1">
        <v>363.0</v>
      </c>
      <c r="AW285" s="1" t="s">
        <v>74</v>
      </c>
      <c r="AX285" s="1" t="s">
        <v>74</v>
      </c>
      <c r="AY285" s="1" t="s">
        <v>74</v>
      </c>
      <c r="AZ285" s="1" t="s">
        <v>74</v>
      </c>
      <c r="BA285" s="1" t="s">
        <v>74</v>
      </c>
      <c r="BB285" s="1" t="s">
        <v>74</v>
      </c>
      <c r="BC285" s="1" t="s">
        <v>74</v>
      </c>
      <c r="BD285" s="1">
        <v>123081.0</v>
      </c>
      <c r="BE285" s="1" t="s">
        <v>6083</v>
      </c>
      <c r="BF285" s="2" t="str">
        <f>HYPERLINK("http://dx.doi.org/10.1016/j.apenergy.2024.123081","http://dx.doi.org/10.1016/j.apenergy.2024.123081")</f>
        <v>http://dx.doi.org/10.1016/j.apenergy.2024.123081</v>
      </c>
      <c r="BG285" s="1" t="s">
        <v>74</v>
      </c>
      <c r="BH285" s="1" t="s">
        <v>2958</v>
      </c>
      <c r="BI285" s="1">
        <v>16.0</v>
      </c>
      <c r="BJ285" s="1" t="s">
        <v>6084</v>
      </c>
      <c r="BK285" s="1" t="s">
        <v>149</v>
      </c>
      <c r="BL285" s="1" t="s">
        <v>6085</v>
      </c>
      <c r="BM285" s="1" t="s">
        <v>6086</v>
      </c>
      <c r="BN285" s="1" t="s">
        <v>74</v>
      </c>
      <c r="BO285" s="1" t="s">
        <v>74</v>
      </c>
      <c r="BP285" s="1" t="s">
        <v>74</v>
      </c>
      <c r="BQ285" s="1" t="s">
        <v>74</v>
      </c>
      <c r="BR285" s="1" t="s">
        <v>102</v>
      </c>
      <c r="BS285" s="1" t="s">
        <v>6087</v>
      </c>
      <c r="BT285" s="1" t="str">
        <f>HYPERLINK("https%3A%2F%2Fwww.webofscience.com%2Fwos%2Fwoscc%2Ffull-record%2FWOS:001217270200001","View Full Record in Web of Science")</f>
        <v>View Full Record in Web of Science</v>
      </c>
    </row>
    <row r="286" ht="12.75" customHeight="1">
      <c r="A286" s="1" t="s">
        <v>132</v>
      </c>
      <c r="B286" s="1" t="s">
        <v>6088</v>
      </c>
      <c r="C286" s="1" t="s">
        <v>74</v>
      </c>
      <c r="D286" s="1" t="s">
        <v>74</v>
      </c>
      <c r="E286" s="1" t="s">
        <v>74</v>
      </c>
      <c r="F286" s="1" t="s">
        <v>6089</v>
      </c>
      <c r="G286" s="1" t="s">
        <v>74</v>
      </c>
      <c r="H286" s="1" t="s">
        <v>74</v>
      </c>
      <c r="I286" s="1" t="s">
        <v>6090</v>
      </c>
      <c r="J286" s="1" t="s">
        <v>5018</v>
      </c>
      <c r="K286" s="1" t="s">
        <v>74</v>
      </c>
      <c r="L286" s="1" t="s">
        <v>74</v>
      </c>
      <c r="M286" s="1" t="s">
        <v>80</v>
      </c>
      <c r="N286" s="1" t="s">
        <v>136</v>
      </c>
      <c r="O286" s="1" t="s">
        <v>74</v>
      </c>
      <c r="P286" s="1" t="s">
        <v>74</v>
      </c>
      <c r="Q286" s="1" t="s">
        <v>74</v>
      </c>
      <c r="R286" s="1" t="s">
        <v>74</v>
      </c>
      <c r="S286" s="1" t="s">
        <v>74</v>
      </c>
      <c r="T286" s="1" t="s">
        <v>6091</v>
      </c>
      <c r="U286" s="1" t="s">
        <v>6092</v>
      </c>
      <c r="V286" s="1" t="s">
        <v>6093</v>
      </c>
      <c r="W286" s="1" t="s">
        <v>6094</v>
      </c>
      <c r="X286" s="1" t="s">
        <v>6095</v>
      </c>
      <c r="Y286" s="1" t="s">
        <v>6096</v>
      </c>
      <c r="Z286" s="1" t="s">
        <v>6097</v>
      </c>
      <c r="AA286" s="1" t="s">
        <v>74</v>
      </c>
      <c r="AB286" s="1" t="s">
        <v>74</v>
      </c>
      <c r="AC286" s="1" t="s">
        <v>6098</v>
      </c>
      <c r="AD286" s="1" t="s">
        <v>5753</v>
      </c>
      <c r="AE286" s="1" t="s">
        <v>3018</v>
      </c>
      <c r="AF286" s="1" t="s">
        <v>74</v>
      </c>
      <c r="AG286" s="1">
        <v>66.0</v>
      </c>
      <c r="AH286" s="1">
        <v>2.0</v>
      </c>
      <c r="AI286" s="1">
        <v>2.0</v>
      </c>
      <c r="AJ286" s="1">
        <v>61.0</v>
      </c>
      <c r="AK286" s="1">
        <v>106.0</v>
      </c>
      <c r="AL286" s="1" t="s">
        <v>1970</v>
      </c>
      <c r="AM286" s="1" t="s">
        <v>1658</v>
      </c>
      <c r="AN286" s="1" t="s">
        <v>1971</v>
      </c>
      <c r="AO286" s="1" t="s">
        <v>74</v>
      </c>
      <c r="AP286" s="1" t="s">
        <v>5029</v>
      </c>
      <c r="AQ286" s="1" t="s">
        <v>74</v>
      </c>
      <c r="AR286" s="1" t="s">
        <v>5030</v>
      </c>
      <c r="AS286" s="1" t="s">
        <v>5031</v>
      </c>
      <c r="AT286" s="1" t="s">
        <v>1027</v>
      </c>
      <c r="AU286" s="1">
        <v>2024.0</v>
      </c>
      <c r="AV286" s="1">
        <v>16.0</v>
      </c>
      <c r="AW286" s="1">
        <v>6.0</v>
      </c>
      <c r="AX286" s="1" t="s">
        <v>74</v>
      </c>
      <c r="AY286" s="1" t="s">
        <v>74</v>
      </c>
      <c r="AZ286" s="1" t="s">
        <v>74</v>
      </c>
      <c r="BA286" s="1" t="s">
        <v>74</v>
      </c>
      <c r="BB286" s="1" t="s">
        <v>74</v>
      </c>
      <c r="BC286" s="1" t="s">
        <v>74</v>
      </c>
      <c r="BD286" s="1">
        <v>2526.0</v>
      </c>
      <c r="BE286" s="1" t="s">
        <v>6099</v>
      </c>
      <c r="BF286" s="2" t="str">
        <f>HYPERLINK("http://dx.doi.org/10.3390/su16062526","http://dx.doi.org/10.3390/su16062526")</f>
        <v>http://dx.doi.org/10.3390/su16062526</v>
      </c>
      <c r="BG286" s="1" t="s">
        <v>74</v>
      </c>
      <c r="BH286" s="1" t="s">
        <v>74</v>
      </c>
      <c r="BI286" s="1">
        <v>19.0</v>
      </c>
      <c r="BJ286" s="1" t="s">
        <v>5033</v>
      </c>
      <c r="BK286" s="1" t="s">
        <v>783</v>
      </c>
      <c r="BL286" s="1" t="s">
        <v>3612</v>
      </c>
      <c r="BM286" s="1" t="s">
        <v>6100</v>
      </c>
      <c r="BN286" s="1" t="s">
        <v>74</v>
      </c>
      <c r="BO286" s="1" t="s">
        <v>174</v>
      </c>
      <c r="BP286" s="1" t="s">
        <v>74</v>
      </c>
      <c r="BQ286" s="1" t="s">
        <v>74</v>
      </c>
      <c r="BR286" s="1" t="s">
        <v>102</v>
      </c>
      <c r="BS286" s="1" t="s">
        <v>6101</v>
      </c>
      <c r="BT286" s="1" t="str">
        <f>HYPERLINK("https%3A%2F%2Fwww.webofscience.com%2Fwos%2Fwoscc%2Ffull-record%2FWOS:001192771300001","View Full Record in Web of Science")</f>
        <v>View Full Record in Web of Science</v>
      </c>
    </row>
    <row r="287" ht="12.75" customHeight="1">
      <c r="A287" s="1" t="s">
        <v>132</v>
      </c>
      <c r="B287" s="1" t="s">
        <v>6102</v>
      </c>
      <c r="C287" s="1" t="s">
        <v>74</v>
      </c>
      <c r="D287" s="1" t="s">
        <v>74</v>
      </c>
      <c r="E287" s="1" t="s">
        <v>74</v>
      </c>
      <c r="F287" s="1" t="s">
        <v>6103</v>
      </c>
      <c r="G287" s="1" t="s">
        <v>74</v>
      </c>
      <c r="H287" s="1" t="s">
        <v>74</v>
      </c>
      <c r="I287" s="1" t="s">
        <v>6104</v>
      </c>
      <c r="J287" s="1" t="s">
        <v>6105</v>
      </c>
      <c r="K287" s="1" t="s">
        <v>74</v>
      </c>
      <c r="L287" s="1" t="s">
        <v>74</v>
      </c>
      <c r="M287" s="1" t="s">
        <v>80</v>
      </c>
      <c r="N287" s="1" t="s">
        <v>136</v>
      </c>
      <c r="O287" s="1" t="s">
        <v>74</v>
      </c>
      <c r="P287" s="1" t="s">
        <v>74</v>
      </c>
      <c r="Q287" s="1" t="s">
        <v>74</v>
      </c>
      <c r="R287" s="1" t="s">
        <v>74</v>
      </c>
      <c r="S287" s="1" t="s">
        <v>74</v>
      </c>
      <c r="T287" s="1" t="s">
        <v>6106</v>
      </c>
      <c r="U287" s="1" t="s">
        <v>6107</v>
      </c>
      <c r="V287" s="1" t="s">
        <v>6108</v>
      </c>
      <c r="W287" s="1" t="s">
        <v>6109</v>
      </c>
      <c r="X287" s="1" t="s">
        <v>74</v>
      </c>
      <c r="Y287" s="1" t="s">
        <v>6110</v>
      </c>
      <c r="Z287" s="1" t="s">
        <v>74</v>
      </c>
      <c r="AA287" s="1" t="s">
        <v>74</v>
      </c>
      <c r="AB287" s="1" t="s">
        <v>74</v>
      </c>
      <c r="AC287" s="1" t="s">
        <v>74</v>
      </c>
      <c r="AD287" s="1" t="s">
        <v>74</v>
      </c>
      <c r="AE287" s="1" t="s">
        <v>74</v>
      </c>
      <c r="AF287" s="1" t="s">
        <v>74</v>
      </c>
      <c r="AG287" s="1">
        <v>15.0</v>
      </c>
      <c r="AH287" s="1">
        <v>0.0</v>
      </c>
      <c r="AI287" s="1">
        <v>0.0</v>
      </c>
      <c r="AJ287" s="1">
        <v>7.0</v>
      </c>
      <c r="AK287" s="1">
        <v>64.0</v>
      </c>
      <c r="AL287" s="1" t="s">
        <v>6111</v>
      </c>
      <c r="AM287" s="1" t="s">
        <v>6112</v>
      </c>
      <c r="AN287" s="1" t="s">
        <v>6113</v>
      </c>
      <c r="AO287" s="1" t="s">
        <v>6114</v>
      </c>
      <c r="AP287" s="1" t="s">
        <v>6115</v>
      </c>
      <c r="AQ287" s="1" t="s">
        <v>74</v>
      </c>
      <c r="AR287" s="1" t="s">
        <v>6116</v>
      </c>
      <c r="AS287" s="1" t="s">
        <v>6117</v>
      </c>
      <c r="AT287" s="1" t="s">
        <v>843</v>
      </c>
      <c r="AU287" s="1">
        <v>2017.0</v>
      </c>
      <c r="AV287" s="1">
        <v>28.0</v>
      </c>
      <c r="AW287" s="1">
        <v>3.0</v>
      </c>
      <c r="AX287" s="1" t="s">
        <v>74</v>
      </c>
      <c r="AY287" s="1" t="s">
        <v>74</v>
      </c>
      <c r="AZ287" s="1" t="s">
        <v>74</v>
      </c>
      <c r="BA287" s="1" t="s">
        <v>74</v>
      </c>
      <c r="BB287" s="1">
        <v>2576.0</v>
      </c>
      <c r="BC287" s="1">
        <v>2579.0</v>
      </c>
      <c r="BD287" s="1" t="s">
        <v>74</v>
      </c>
      <c r="BE287" s="1" t="s">
        <v>74</v>
      </c>
      <c r="BF287" s="1" t="s">
        <v>74</v>
      </c>
      <c r="BG287" s="1" t="s">
        <v>74</v>
      </c>
      <c r="BH287" s="1" t="s">
        <v>74</v>
      </c>
      <c r="BI287" s="1">
        <v>4.0</v>
      </c>
      <c r="BJ287" s="1" t="s">
        <v>6118</v>
      </c>
      <c r="BK287" s="1" t="s">
        <v>783</v>
      </c>
      <c r="BL287" s="1" t="s">
        <v>6118</v>
      </c>
      <c r="BM287" s="1" t="s">
        <v>6119</v>
      </c>
      <c r="BN287" s="1" t="s">
        <v>74</v>
      </c>
      <c r="BO287" s="1" t="s">
        <v>74</v>
      </c>
      <c r="BP287" s="1" t="s">
        <v>74</v>
      </c>
      <c r="BQ287" s="1" t="s">
        <v>74</v>
      </c>
      <c r="BR287" s="1" t="s">
        <v>102</v>
      </c>
      <c r="BS287" s="1" t="s">
        <v>6120</v>
      </c>
      <c r="BT287" s="1" t="str">
        <f>HYPERLINK("https%3A%2F%2Fwww.webofscience.com%2Fwos%2Fwoscc%2Ffull-record%2FWOS:000405993200171","View Full Record in Web of Science")</f>
        <v>View Full Record in Web of Science</v>
      </c>
    </row>
    <row r="288" ht="12.75" customHeight="1">
      <c r="A288" s="1" t="s">
        <v>132</v>
      </c>
      <c r="B288" s="1" t="s">
        <v>6121</v>
      </c>
      <c r="C288" s="1" t="s">
        <v>74</v>
      </c>
      <c r="D288" s="1" t="s">
        <v>74</v>
      </c>
      <c r="E288" s="1" t="s">
        <v>74</v>
      </c>
      <c r="F288" s="1" t="s">
        <v>6122</v>
      </c>
      <c r="G288" s="1" t="s">
        <v>74</v>
      </c>
      <c r="H288" s="1" t="s">
        <v>74</v>
      </c>
      <c r="I288" s="1" t="s">
        <v>6123</v>
      </c>
      <c r="J288" s="1" t="s">
        <v>6124</v>
      </c>
      <c r="K288" s="1" t="s">
        <v>74</v>
      </c>
      <c r="L288" s="1" t="s">
        <v>74</v>
      </c>
      <c r="M288" s="1" t="s">
        <v>80</v>
      </c>
      <c r="N288" s="1" t="s">
        <v>136</v>
      </c>
      <c r="O288" s="1" t="s">
        <v>74</v>
      </c>
      <c r="P288" s="1" t="s">
        <v>74</v>
      </c>
      <c r="Q288" s="1" t="s">
        <v>74</v>
      </c>
      <c r="R288" s="1" t="s">
        <v>74</v>
      </c>
      <c r="S288" s="1" t="s">
        <v>74</v>
      </c>
      <c r="T288" s="1" t="s">
        <v>6125</v>
      </c>
      <c r="U288" s="1" t="s">
        <v>74</v>
      </c>
      <c r="V288" s="1" t="s">
        <v>6126</v>
      </c>
      <c r="W288" s="1" t="s">
        <v>6127</v>
      </c>
      <c r="X288" s="1" t="s">
        <v>6128</v>
      </c>
      <c r="Y288" s="1" t="s">
        <v>6129</v>
      </c>
      <c r="Z288" s="1" t="s">
        <v>6130</v>
      </c>
      <c r="AA288" s="1" t="s">
        <v>74</v>
      </c>
      <c r="AB288" s="1" t="s">
        <v>6131</v>
      </c>
      <c r="AC288" s="1" t="s">
        <v>74</v>
      </c>
      <c r="AD288" s="1" t="s">
        <v>74</v>
      </c>
      <c r="AE288" s="1" t="s">
        <v>74</v>
      </c>
      <c r="AF288" s="1" t="s">
        <v>74</v>
      </c>
      <c r="AG288" s="1">
        <v>52.0</v>
      </c>
      <c r="AH288" s="1">
        <v>55.0</v>
      </c>
      <c r="AI288" s="1">
        <v>61.0</v>
      </c>
      <c r="AJ288" s="1">
        <v>11.0</v>
      </c>
      <c r="AK288" s="1">
        <v>123.0</v>
      </c>
      <c r="AL288" s="1" t="s">
        <v>595</v>
      </c>
      <c r="AM288" s="1" t="s">
        <v>467</v>
      </c>
      <c r="AN288" s="1" t="s">
        <v>596</v>
      </c>
      <c r="AO288" s="1" t="s">
        <v>6132</v>
      </c>
      <c r="AP288" s="1" t="s">
        <v>6133</v>
      </c>
      <c r="AQ288" s="1" t="s">
        <v>74</v>
      </c>
      <c r="AR288" s="1" t="s">
        <v>6134</v>
      </c>
      <c r="AS288" s="1" t="s">
        <v>6135</v>
      </c>
      <c r="AT288" s="1" t="s">
        <v>2469</v>
      </c>
      <c r="AU288" s="1">
        <v>2016.0</v>
      </c>
      <c r="AV288" s="1">
        <v>39.0</v>
      </c>
      <c r="AW288" s="1" t="s">
        <v>6136</v>
      </c>
      <c r="AX288" s="1" t="s">
        <v>74</v>
      </c>
      <c r="AY288" s="1" t="s">
        <v>74</v>
      </c>
      <c r="AZ288" s="1" t="s">
        <v>474</v>
      </c>
      <c r="BA288" s="1" t="s">
        <v>74</v>
      </c>
      <c r="BB288" s="1">
        <v>793.0</v>
      </c>
      <c r="BC288" s="1">
        <v>819.0</v>
      </c>
      <c r="BD288" s="1" t="s">
        <v>74</v>
      </c>
      <c r="BE288" s="1" t="s">
        <v>6137</v>
      </c>
      <c r="BF288" s="2" t="str">
        <f>HYPERLINK("http://dx.doi.org/10.1080/01402390.2015.1088838","http://dx.doi.org/10.1080/01402390.2015.1088838")</f>
        <v>http://dx.doi.org/10.1080/01402390.2015.1088838</v>
      </c>
      <c r="BG288" s="1" t="s">
        <v>74</v>
      </c>
      <c r="BH288" s="1" t="s">
        <v>74</v>
      </c>
      <c r="BI288" s="1">
        <v>27.0</v>
      </c>
      <c r="BJ288" s="1" t="s">
        <v>3535</v>
      </c>
      <c r="BK288" s="1" t="s">
        <v>203</v>
      </c>
      <c r="BL288" s="1" t="s">
        <v>3536</v>
      </c>
      <c r="BM288" s="1" t="s">
        <v>6138</v>
      </c>
      <c r="BN288" s="1" t="s">
        <v>74</v>
      </c>
      <c r="BO288" s="1" t="s">
        <v>74</v>
      </c>
      <c r="BP288" s="1" t="s">
        <v>74</v>
      </c>
      <c r="BQ288" s="1" t="s">
        <v>74</v>
      </c>
      <c r="BR288" s="1" t="s">
        <v>102</v>
      </c>
      <c r="BS288" s="1" t="s">
        <v>6139</v>
      </c>
      <c r="BT288" s="1" t="str">
        <f>HYPERLINK("https%3A%2F%2Fwww.webofscience.com%2Fwos%2Fwoscc%2Ffull-record%2FWOS:000387090600010","View Full Record in Web of Science")</f>
        <v>View Full Record in Web of Science</v>
      </c>
    </row>
    <row r="289" ht="12.75" customHeight="1">
      <c r="A289" s="1" t="s">
        <v>132</v>
      </c>
      <c r="B289" s="1" t="s">
        <v>6140</v>
      </c>
      <c r="C289" s="1" t="s">
        <v>74</v>
      </c>
      <c r="D289" s="1" t="s">
        <v>74</v>
      </c>
      <c r="E289" s="1" t="s">
        <v>74</v>
      </c>
      <c r="F289" s="1" t="s">
        <v>6141</v>
      </c>
      <c r="G289" s="1" t="s">
        <v>74</v>
      </c>
      <c r="H289" s="1" t="s">
        <v>74</v>
      </c>
      <c r="I289" s="1" t="s">
        <v>6142</v>
      </c>
      <c r="J289" s="1" t="s">
        <v>6143</v>
      </c>
      <c r="K289" s="1" t="s">
        <v>74</v>
      </c>
      <c r="L289" s="1" t="s">
        <v>74</v>
      </c>
      <c r="M289" s="1" t="s">
        <v>80</v>
      </c>
      <c r="N289" s="1" t="s">
        <v>136</v>
      </c>
      <c r="O289" s="1" t="s">
        <v>74</v>
      </c>
      <c r="P289" s="1" t="s">
        <v>74</v>
      </c>
      <c r="Q289" s="1" t="s">
        <v>74</v>
      </c>
      <c r="R289" s="1" t="s">
        <v>74</v>
      </c>
      <c r="S289" s="1" t="s">
        <v>74</v>
      </c>
      <c r="T289" s="1" t="s">
        <v>6144</v>
      </c>
      <c r="U289" s="1" t="s">
        <v>6145</v>
      </c>
      <c r="V289" s="1" t="s">
        <v>6146</v>
      </c>
      <c r="W289" s="1" t="s">
        <v>6147</v>
      </c>
      <c r="X289" s="1" t="s">
        <v>6148</v>
      </c>
      <c r="Y289" s="1" t="s">
        <v>6149</v>
      </c>
      <c r="Z289" s="1" t="s">
        <v>6150</v>
      </c>
      <c r="AA289" s="1" t="s">
        <v>74</v>
      </c>
      <c r="AB289" s="1" t="s">
        <v>74</v>
      </c>
      <c r="AC289" s="1" t="s">
        <v>6151</v>
      </c>
      <c r="AD289" s="1" t="s">
        <v>6151</v>
      </c>
      <c r="AE289" s="1" t="s">
        <v>6152</v>
      </c>
      <c r="AF289" s="1" t="s">
        <v>74</v>
      </c>
      <c r="AG289" s="1">
        <v>107.0</v>
      </c>
      <c r="AH289" s="1">
        <v>35.0</v>
      </c>
      <c r="AI289" s="1">
        <v>40.0</v>
      </c>
      <c r="AJ289" s="1">
        <v>7.0</v>
      </c>
      <c r="AK289" s="1">
        <v>85.0</v>
      </c>
      <c r="AL289" s="1" t="s">
        <v>6153</v>
      </c>
      <c r="AM289" s="1" t="s">
        <v>6154</v>
      </c>
      <c r="AN289" s="1" t="s">
        <v>6155</v>
      </c>
      <c r="AO289" s="1" t="s">
        <v>6156</v>
      </c>
      <c r="AP289" s="1" t="s">
        <v>6157</v>
      </c>
      <c r="AQ289" s="1" t="s">
        <v>74</v>
      </c>
      <c r="AR289" s="1" t="s">
        <v>6158</v>
      </c>
      <c r="AS289" s="1" t="s">
        <v>6159</v>
      </c>
      <c r="AT289" s="1" t="s">
        <v>1253</v>
      </c>
      <c r="AU289" s="1">
        <v>2022.0</v>
      </c>
      <c r="AV289" s="1">
        <v>47.0</v>
      </c>
      <c r="AW289" s="1">
        <v>2.0</v>
      </c>
      <c r="AX289" s="1" t="s">
        <v>74</v>
      </c>
      <c r="AY289" s="1" t="s">
        <v>74</v>
      </c>
      <c r="AZ289" s="1" t="s">
        <v>74</v>
      </c>
      <c r="BA289" s="1" t="s">
        <v>74</v>
      </c>
      <c r="BB289" s="1">
        <v>205.0</v>
      </c>
      <c r="BC289" s="1">
        <v>241.0</v>
      </c>
      <c r="BD289" s="1" t="s">
        <v>74</v>
      </c>
      <c r="BE289" s="1" t="s">
        <v>6160</v>
      </c>
      <c r="BF289" s="2" t="str">
        <f>HYPERLINK("http://dx.doi.org/10.1057/s41288-020-00201-7","http://dx.doi.org/10.1057/s41288-020-00201-7")</f>
        <v>http://dx.doi.org/10.1057/s41288-020-00201-7</v>
      </c>
      <c r="BG289" s="1" t="s">
        <v>74</v>
      </c>
      <c r="BH289" s="1" t="s">
        <v>1865</v>
      </c>
      <c r="BI289" s="1">
        <v>37.0</v>
      </c>
      <c r="BJ289" s="1" t="s">
        <v>3350</v>
      </c>
      <c r="BK289" s="1" t="s">
        <v>203</v>
      </c>
      <c r="BL289" s="1" t="s">
        <v>204</v>
      </c>
      <c r="BM289" s="1" t="s">
        <v>6161</v>
      </c>
      <c r="BN289" s="1" t="s">
        <v>74</v>
      </c>
      <c r="BO289" s="1" t="s">
        <v>306</v>
      </c>
      <c r="BP289" s="1" t="s">
        <v>74</v>
      </c>
      <c r="BQ289" s="1" t="s">
        <v>74</v>
      </c>
      <c r="BR289" s="1" t="s">
        <v>102</v>
      </c>
      <c r="BS289" s="1" t="s">
        <v>6162</v>
      </c>
      <c r="BT289" s="1" t="str">
        <f>HYPERLINK("https%3A%2F%2Fwww.webofscience.com%2Fwos%2Fwoscc%2Ffull-record%2FWOS:000616023500001","View Full Record in Web of Science")</f>
        <v>View Full Record in Web of Science</v>
      </c>
    </row>
    <row r="290" ht="12.75" customHeight="1">
      <c r="A290" s="1" t="s">
        <v>132</v>
      </c>
      <c r="B290" s="1" t="s">
        <v>6163</v>
      </c>
      <c r="C290" s="1" t="s">
        <v>74</v>
      </c>
      <c r="D290" s="1" t="s">
        <v>74</v>
      </c>
      <c r="E290" s="1" t="s">
        <v>74</v>
      </c>
      <c r="F290" s="1" t="s">
        <v>6164</v>
      </c>
      <c r="G290" s="1" t="s">
        <v>74</v>
      </c>
      <c r="H290" s="1" t="s">
        <v>74</v>
      </c>
      <c r="I290" s="1" t="s">
        <v>6165</v>
      </c>
      <c r="J290" s="1" t="s">
        <v>6166</v>
      </c>
      <c r="K290" s="1" t="s">
        <v>74</v>
      </c>
      <c r="L290" s="1" t="s">
        <v>74</v>
      </c>
      <c r="M290" s="1" t="s">
        <v>80</v>
      </c>
      <c r="N290" s="1" t="s">
        <v>1010</v>
      </c>
      <c r="O290" s="1" t="s">
        <v>74</v>
      </c>
      <c r="P290" s="1" t="s">
        <v>74</v>
      </c>
      <c r="Q290" s="1" t="s">
        <v>74</v>
      </c>
      <c r="R290" s="1" t="s">
        <v>74</v>
      </c>
      <c r="S290" s="1" t="s">
        <v>74</v>
      </c>
      <c r="T290" s="1" t="s">
        <v>6167</v>
      </c>
      <c r="U290" s="1" t="s">
        <v>6168</v>
      </c>
      <c r="V290" s="1" t="s">
        <v>6169</v>
      </c>
      <c r="W290" s="1" t="s">
        <v>6170</v>
      </c>
      <c r="X290" s="1" t="s">
        <v>6171</v>
      </c>
      <c r="Y290" s="1" t="s">
        <v>6172</v>
      </c>
      <c r="Z290" s="1" t="s">
        <v>6173</v>
      </c>
      <c r="AA290" s="1" t="s">
        <v>6174</v>
      </c>
      <c r="AB290" s="1" t="s">
        <v>6175</v>
      </c>
      <c r="AC290" s="1" t="s">
        <v>74</v>
      </c>
      <c r="AD290" s="1" t="s">
        <v>74</v>
      </c>
      <c r="AE290" s="1" t="s">
        <v>74</v>
      </c>
      <c r="AF290" s="1" t="s">
        <v>74</v>
      </c>
      <c r="AG290" s="1">
        <v>38.0</v>
      </c>
      <c r="AH290" s="1">
        <v>4.0</v>
      </c>
      <c r="AI290" s="1">
        <v>4.0</v>
      </c>
      <c r="AJ290" s="1">
        <v>2.0</v>
      </c>
      <c r="AK290" s="1">
        <v>32.0</v>
      </c>
      <c r="AL290" s="1" t="s">
        <v>1020</v>
      </c>
      <c r="AM290" s="1" t="s">
        <v>1021</v>
      </c>
      <c r="AN290" s="1" t="s">
        <v>1022</v>
      </c>
      <c r="AO290" s="1" t="s">
        <v>6176</v>
      </c>
      <c r="AP290" s="1" t="s">
        <v>6177</v>
      </c>
      <c r="AQ290" s="1" t="s">
        <v>74</v>
      </c>
      <c r="AR290" s="1" t="s">
        <v>6178</v>
      </c>
      <c r="AS290" s="1" t="s">
        <v>6179</v>
      </c>
      <c r="AT290" s="1" t="s">
        <v>1279</v>
      </c>
      <c r="AU290" s="1">
        <v>2021.0</v>
      </c>
      <c r="AV290" s="1">
        <v>31.0</v>
      </c>
      <c r="AW290" s="1">
        <v>4.0</v>
      </c>
      <c r="AX290" s="1" t="s">
        <v>74</v>
      </c>
      <c r="AY290" s="1" t="s">
        <v>74</v>
      </c>
      <c r="AZ290" s="1" t="s">
        <v>74</v>
      </c>
      <c r="BA290" s="1" t="s">
        <v>74</v>
      </c>
      <c r="BB290" s="1">
        <v>430.0</v>
      </c>
      <c r="BC290" s="1">
        <v>435.0</v>
      </c>
      <c r="BD290" s="1" t="s">
        <v>74</v>
      </c>
      <c r="BE290" s="1" t="s">
        <v>6180</v>
      </c>
      <c r="BF290" s="2" t="str">
        <f>HYPERLINK("http://dx.doi.org/10.1097/MOU.0000000000000883","http://dx.doi.org/10.1097/MOU.0000000000000883")</f>
        <v>http://dx.doi.org/10.1097/MOU.0000000000000883</v>
      </c>
      <c r="BG290" s="1" t="s">
        <v>74</v>
      </c>
      <c r="BH290" s="1" t="s">
        <v>74</v>
      </c>
      <c r="BI290" s="1">
        <v>6.0</v>
      </c>
      <c r="BJ290" s="1" t="s">
        <v>1665</v>
      </c>
      <c r="BK290" s="1" t="s">
        <v>149</v>
      </c>
      <c r="BL290" s="1" t="s">
        <v>1665</v>
      </c>
      <c r="BM290" s="1" t="s">
        <v>6181</v>
      </c>
      <c r="BN290" s="1">
        <v>3.3965977E7</v>
      </c>
      <c r="BO290" s="1" t="s">
        <v>74</v>
      </c>
      <c r="BP290" s="1" t="s">
        <v>74</v>
      </c>
      <c r="BQ290" s="1" t="s">
        <v>74</v>
      </c>
      <c r="BR290" s="1" t="s">
        <v>102</v>
      </c>
      <c r="BS290" s="1" t="s">
        <v>6182</v>
      </c>
      <c r="BT290" s="1" t="str">
        <f>HYPERLINK("https%3A%2F%2Fwww.webofscience.com%2Fwos%2Fwoscc%2Ffull-record%2FWOS:000662031400022","View Full Record in Web of Science")</f>
        <v>View Full Record in Web of Science</v>
      </c>
    </row>
    <row r="291" ht="12.75" customHeight="1">
      <c r="A291" s="1" t="s">
        <v>72</v>
      </c>
      <c r="B291" s="1" t="s">
        <v>6183</v>
      </c>
      <c r="C291" s="1" t="s">
        <v>74</v>
      </c>
      <c r="D291" s="1" t="s">
        <v>6184</v>
      </c>
      <c r="E291" s="1" t="s">
        <v>74</v>
      </c>
      <c r="F291" s="1" t="s">
        <v>6185</v>
      </c>
      <c r="G291" s="1" t="s">
        <v>74</v>
      </c>
      <c r="H291" s="1" t="s">
        <v>74</v>
      </c>
      <c r="I291" s="1" t="s">
        <v>6186</v>
      </c>
      <c r="J291" s="1" t="s">
        <v>6187</v>
      </c>
      <c r="K291" s="1" t="s">
        <v>3907</v>
      </c>
      <c r="L291" s="1" t="s">
        <v>74</v>
      </c>
      <c r="M291" s="1" t="s">
        <v>80</v>
      </c>
      <c r="N291" s="1" t="s">
        <v>81</v>
      </c>
      <c r="O291" s="1" t="s">
        <v>6188</v>
      </c>
      <c r="P291" s="1" t="s">
        <v>6189</v>
      </c>
      <c r="Q291" s="1" t="s">
        <v>667</v>
      </c>
      <c r="R291" s="1" t="s">
        <v>6190</v>
      </c>
      <c r="S291" s="1" t="s">
        <v>74</v>
      </c>
      <c r="T291" s="1" t="s">
        <v>6191</v>
      </c>
      <c r="U291" s="1" t="s">
        <v>74</v>
      </c>
      <c r="V291" s="1" t="s">
        <v>6192</v>
      </c>
      <c r="W291" s="1" t="s">
        <v>6193</v>
      </c>
      <c r="X291" s="1" t="s">
        <v>6194</v>
      </c>
      <c r="Y291" s="1" t="s">
        <v>6195</v>
      </c>
      <c r="Z291" s="1" t="s">
        <v>6196</v>
      </c>
      <c r="AA291" s="1" t="s">
        <v>74</v>
      </c>
      <c r="AB291" s="1" t="s">
        <v>74</v>
      </c>
      <c r="AC291" s="1" t="s">
        <v>74</v>
      </c>
      <c r="AD291" s="1" t="s">
        <v>74</v>
      </c>
      <c r="AE291" s="1" t="s">
        <v>74</v>
      </c>
      <c r="AF291" s="1" t="s">
        <v>74</v>
      </c>
      <c r="AG291" s="1">
        <v>29.0</v>
      </c>
      <c r="AH291" s="1">
        <v>3.0</v>
      </c>
      <c r="AI291" s="1">
        <v>3.0</v>
      </c>
      <c r="AJ291" s="1">
        <v>4.0</v>
      </c>
      <c r="AK291" s="1">
        <v>18.0</v>
      </c>
      <c r="AL291" s="1" t="s">
        <v>223</v>
      </c>
      <c r="AM291" s="1" t="s">
        <v>224</v>
      </c>
      <c r="AN291" s="1" t="s">
        <v>225</v>
      </c>
      <c r="AO291" s="1" t="s">
        <v>3924</v>
      </c>
      <c r="AP291" s="1" t="s">
        <v>3925</v>
      </c>
      <c r="AQ291" s="1" t="s">
        <v>6197</v>
      </c>
      <c r="AR291" s="1" t="s">
        <v>3927</v>
      </c>
      <c r="AS291" s="1" t="s">
        <v>74</v>
      </c>
      <c r="AT291" s="1" t="s">
        <v>74</v>
      </c>
      <c r="AU291" s="1">
        <v>2021.0</v>
      </c>
      <c r="AV291" s="1">
        <v>614.0</v>
      </c>
      <c r="AW291" s="1" t="s">
        <v>74</v>
      </c>
      <c r="AX291" s="1" t="s">
        <v>74</v>
      </c>
      <c r="AY291" s="1" t="s">
        <v>74</v>
      </c>
      <c r="AZ291" s="1" t="s">
        <v>74</v>
      </c>
      <c r="BA291" s="1" t="s">
        <v>74</v>
      </c>
      <c r="BB291" s="1">
        <v>144.0</v>
      </c>
      <c r="BC291" s="1">
        <v>159.0</v>
      </c>
      <c r="BD291" s="1" t="s">
        <v>74</v>
      </c>
      <c r="BE291" s="1" t="s">
        <v>6198</v>
      </c>
      <c r="BF291" s="2" t="str">
        <f>HYPERLINK("http://dx.doi.org/10.1007/978-3-030-80847-1_10","http://dx.doi.org/10.1007/978-3-030-80847-1_10")</f>
        <v>http://dx.doi.org/10.1007/978-3-030-80847-1_10</v>
      </c>
      <c r="BG291" s="1" t="s">
        <v>74</v>
      </c>
      <c r="BH291" s="1" t="s">
        <v>74</v>
      </c>
      <c r="BI291" s="1">
        <v>16.0</v>
      </c>
      <c r="BJ291" s="1" t="s">
        <v>6199</v>
      </c>
      <c r="BK291" s="1" t="s">
        <v>128</v>
      </c>
      <c r="BL291" s="1" t="s">
        <v>232</v>
      </c>
      <c r="BM291" s="1" t="s">
        <v>6200</v>
      </c>
      <c r="BN291" s="1" t="s">
        <v>74</v>
      </c>
      <c r="BO291" s="1" t="s">
        <v>74</v>
      </c>
      <c r="BP291" s="1" t="s">
        <v>74</v>
      </c>
      <c r="BQ291" s="1" t="s">
        <v>74</v>
      </c>
      <c r="BR291" s="1" t="s">
        <v>102</v>
      </c>
      <c r="BS291" s="1" t="s">
        <v>6201</v>
      </c>
      <c r="BT291" s="1" t="str">
        <f>HYPERLINK("https%3A%2F%2Fwww.webofscience.com%2Fwos%2Fwoscc%2Ffull-record%2FWOS:000777635100010","View Full Record in Web of Science")</f>
        <v>View Full Record in Web of Science</v>
      </c>
    </row>
    <row r="292" ht="12.75" customHeight="1">
      <c r="A292" s="1" t="s">
        <v>132</v>
      </c>
      <c r="B292" s="1" t="s">
        <v>6202</v>
      </c>
      <c r="C292" s="1" t="s">
        <v>74</v>
      </c>
      <c r="D292" s="1" t="s">
        <v>74</v>
      </c>
      <c r="E292" s="1" t="s">
        <v>74</v>
      </c>
      <c r="F292" s="1" t="s">
        <v>6203</v>
      </c>
      <c r="G292" s="1" t="s">
        <v>74</v>
      </c>
      <c r="H292" s="1" t="s">
        <v>74</v>
      </c>
      <c r="I292" s="1" t="s">
        <v>6204</v>
      </c>
      <c r="J292" s="1" t="s">
        <v>6205</v>
      </c>
      <c r="K292" s="1" t="s">
        <v>74</v>
      </c>
      <c r="L292" s="1" t="s">
        <v>74</v>
      </c>
      <c r="M292" s="1" t="s">
        <v>80</v>
      </c>
      <c r="N292" s="1" t="s">
        <v>1010</v>
      </c>
      <c r="O292" s="1" t="s">
        <v>74</v>
      </c>
      <c r="P292" s="1" t="s">
        <v>74</v>
      </c>
      <c r="Q292" s="1" t="s">
        <v>74</v>
      </c>
      <c r="R292" s="1" t="s">
        <v>74</v>
      </c>
      <c r="S292" s="1" t="s">
        <v>74</v>
      </c>
      <c r="T292" s="1" t="s">
        <v>6206</v>
      </c>
      <c r="U292" s="1" t="s">
        <v>6207</v>
      </c>
      <c r="V292" s="1" t="s">
        <v>6208</v>
      </c>
      <c r="W292" s="1" t="s">
        <v>6209</v>
      </c>
      <c r="X292" s="1" t="s">
        <v>6210</v>
      </c>
      <c r="Y292" s="1" t="s">
        <v>6211</v>
      </c>
      <c r="Z292" s="1" t="s">
        <v>6212</v>
      </c>
      <c r="AA292" s="1" t="s">
        <v>6213</v>
      </c>
      <c r="AB292" s="1" t="s">
        <v>6214</v>
      </c>
      <c r="AC292" s="1" t="s">
        <v>74</v>
      </c>
      <c r="AD292" s="1" t="s">
        <v>74</v>
      </c>
      <c r="AE292" s="1" t="s">
        <v>74</v>
      </c>
      <c r="AF292" s="1" t="s">
        <v>74</v>
      </c>
      <c r="AG292" s="1">
        <v>31.0</v>
      </c>
      <c r="AH292" s="1">
        <v>115.0</v>
      </c>
      <c r="AI292" s="1">
        <v>127.0</v>
      </c>
      <c r="AJ292" s="1">
        <v>10.0</v>
      </c>
      <c r="AK292" s="1">
        <v>218.0</v>
      </c>
      <c r="AL292" s="1" t="s">
        <v>2745</v>
      </c>
      <c r="AM292" s="1" t="s">
        <v>1090</v>
      </c>
      <c r="AN292" s="1" t="s">
        <v>2903</v>
      </c>
      <c r="AO292" s="1" t="s">
        <v>6215</v>
      </c>
      <c r="AP292" s="1" t="s">
        <v>6216</v>
      </c>
      <c r="AQ292" s="1" t="s">
        <v>74</v>
      </c>
      <c r="AR292" s="1" t="s">
        <v>6217</v>
      </c>
      <c r="AS292" s="1" t="s">
        <v>6218</v>
      </c>
      <c r="AT292" s="1" t="s">
        <v>328</v>
      </c>
      <c r="AU292" s="1">
        <v>2019.0</v>
      </c>
      <c r="AV292" s="1">
        <v>64.0</v>
      </c>
      <c r="AW292" s="1" t="s">
        <v>74</v>
      </c>
      <c r="AX292" s="1" t="s">
        <v>74</v>
      </c>
      <c r="AY292" s="1" t="s">
        <v>74</v>
      </c>
      <c r="AZ292" s="1" t="s">
        <v>74</v>
      </c>
      <c r="BA292" s="1" t="s">
        <v>74</v>
      </c>
      <c r="BB292" s="1">
        <v>277.0</v>
      </c>
      <c r="BC292" s="1">
        <v>282.0</v>
      </c>
      <c r="BD292" s="1" t="s">
        <v>74</v>
      </c>
      <c r="BE292" s="1" t="s">
        <v>6219</v>
      </c>
      <c r="BF292" s="2" t="str">
        <f>HYPERLINK("http://dx.doi.org/10.1016/j.jocn.2019.03.001","http://dx.doi.org/10.1016/j.jocn.2019.03.001")</f>
        <v>http://dx.doi.org/10.1016/j.jocn.2019.03.001</v>
      </c>
      <c r="BG292" s="1" t="s">
        <v>74</v>
      </c>
      <c r="BH292" s="1" t="s">
        <v>74</v>
      </c>
      <c r="BI292" s="1">
        <v>6.0</v>
      </c>
      <c r="BJ292" s="1" t="s">
        <v>6220</v>
      </c>
      <c r="BK292" s="1" t="s">
        <v>783</v>
      </c>
      <c r="BL292" s="1" t="s">
        <v>1054</v>
      </c>
      <c r="BM292" s="1" t="s">
        <v>6221</v>
      </c>
      <c r="BN292" s="1">
        <v>3.0878282E7</v>
      </c>
      <c r="BO292" s="1" t="s">
        <v>74</v>
      </c>
      <c r="BP292" s="1" t="s">
        <v>74</v>
      </c>
      <c r="BQ292" s="1" t="s">
        <v>74</v>
      </c>
      <c r="BR292" s="1" t="s">
        <v>102</v>
      </c>
      <c r="BS292" s="1" t="s">
        <v>6222</v>
      </c>
      <c r="BT292" s="1" t="str">
        <f>HYPERLINK("https%3A%2F%2Fwww.webofscience.com%2Fwos%2Fwoscc%2Ffull-record%2FWOS:000471083300062","View Full Record in Web of Science")</f>
        <v>View Full Record in Web of Science</v>
      </c>
    </row>
    <row r="293" ht="12.75" customHeight="1">
      <c r="A293" s="1" t="s">
        <v>132</v>
      </c>
      <c r="B293" s="1" t="s">
        <v>6223</v>
      </c>
      <c r="C293" s="1" t="s">
        <v>74</v>
      </c>
      <c r="D293" s="1" t="s">
        <v>74</v>
      </c>
      <c r="E293" s="1" t="s">
        <v>74</v>
      </c>
      <c r="F293" s="1" t="s">
        <v>6224</v>
      </c>
      <c r="G293" s="1" t="s">
        <v>74</v>
      </c>
      <c r="H293" s="1" t="s">
        <v>74</v>
      </c>
      <c r="I293" s="1" t="s">
        <v>6225</v>
      </c>
      <c r="J293" s="1" t="s">
        <v>6226</v>
      </c>
      <c r="K293" s="1" t="s">
        <v>74</v>
      </c>
      <c r="L293" s="1" t="s">
        <v>74</v>
      </c>
      <c r="M293" s="1" t="s">
        <v>80</v>
      </c>
      <c r="N293" s="1" t="s">
        <v>338</v>
      </c>
      <c r="O293" s="1" t="s">
        <v>74</v>
      </c>
      <c r="P293" s="1" t="s">
        <v>74</v>
      </c>
      <c r="Q293" s="1" t="s">
        <v>74</v>
      </c>
      <c r="R293" s="1" t="s">
        <v>74</v>
      </c>
      <c r="S293" s="1" t="s">
        <v>74</v>
      </c>
      <c r="T293" s="1" t="s">
        <v>6227</v>
      </c>
      <c r="U293" s="1" t="s">
        <v>6228</v>
      </c>
      <c r="V293" s="1" t="s">
        <v>6229</v>
      </c>
      <c r="W293" s="1" t="s">
        <v>6230</v>
      </c>
      <c r="X293" s="1" t="s">
        <v>6231</v>
      </c>
      <c r="Y293" s="1" t="s">
        <v>6232</v>
      </c>
      <c r="Z293" s="1" t="s">
        <v>6233</v>
      </c>
      <c r="AA293" s="1" t="s">
        <v>6234</v>
      </c>
      <c r="AB293" s="1" t="s">
        <v>6235</v>
      </c>
      <c r="AC293" s="1" t="s">
        <v>6236</v>
      </c>
      <c r="AD293" s="1" t="s">
        <v>6237</v>
      </c>
      <c r="AE293" s="1" t="s">
        <v>6238</v>
      </c>
      <c r="AF293" s="1" t="s">
        <v>74</v>
      </c>
      <c r="AG293" s="1">
        <v>67.0</v>
      </c>
      <c r="AH293" s="1">
        <v>0.0</v>
      </c>
      <c r="AI293" s="1">
        <v>0.0</v>
      </c>
      <c r="AJ293" s="1">
        <v>59.0</v>
      </c>
      <c r="AK293" s="1">
        <v>59.0</v>
      </c>
      <c r="AL293" s="1" t="s">
        <v>571</v>
      </c>
      <c r="AM293" s="1" t="s">
        <v>572</v>
      </c>
      <c r="AN293" s="1" t="s">
        <v>573</v>
      </c>
      <c r="AO293" s="1" t="s">
        <v>6239</v>
      </c>
      <c r="AP293" s="1" t="s">
        <v>6240</v>
      </c>
      <c r="AQ293" s="1" t="s">
        <v>74</v>
      </c>
      <c r="AR293" s="1" t="s">
        <v>6241</v>
      </c>
      <c r="AS293" s="1" t="s">
        <v>6242</v>
      </c>
      <c r="AT293" s="1" t="s">
        <v>6243</v>
      </c>
      <c r="AU293" s="1">
        <v>2024.0</v>
      </c>
      <c r="AV293" s="1" t="s">
        <v>74</v>
      </c>
      <c r="AW293" s="1" t="s">
        <v>74</v>
      </c>
      <c r="AX293" s="1" t="s">
        <v>74</v>
      </c>
      <c r="AY293" s="1" t="s">
        <v>74</v>
      </c>
      <c r="AZ293" s="1" t="s">
        <v>74</v>
      </c>
      <c r="BA293" s="1" t="s">
        <v>74</v>
      </c>
      <c r="BB293" s="1" t="s">
        <v>74</v>
      </c>
      <c r="BC293" s="1" t="s">
        <v>74</v>
      </c>
      <c r="BD293" s="1" t="s">
        <v>74</v>
      </c>
      <c r="BE293" s="1" t="s">
        <v>6244</v>
      </c>
      <c r="BF293" s="2" t="str">
        <f>HYPERLINK("http://dx.doi.org/10.1108/EJIM-07-2024-0809","http://dx.doi.org/10.1108/EJIM-07-2024-0809")</f>
        <v>http://dx.doi.org/10.1108/EJIM-07-2024-0809</v>
      </c>
      <c r="BG293" s="1" t="s">
        <v>74</v>
      </c>
      <c r="BH293" s="1" t="s">
        <v>499</v>
      </c>
      <c r="BI293" s="1">
        <v>20.0</v>
      </c>
      <c r="BJ293" s="1" t="s">
        <v>1509</v>
      </c>
      <c r="BK293" s="1" t="s">
        <v>203</v>
      </c>
      <c r="BL293" s="1" t="s">
        <v>204</v>
      </c>
      <c r="BM293" s="1" t="s">
        <v>6245</v>
      </c>
      <c r="BN293" s="1" t="s">
        <v>74</v>
      </c>
      <c r="BO293" s="1" t="s">
        <v>74</v>
      </c>
      <c r="BP293" s="1" t="s">
        <v>74</v>
      </c>
      <c r="BQ293" s="1" t="s">
        <v>74</v>
      </c>
      <c r="BR293" s="1" t="s">
        <v>102</v>
      </c>
      <c r="BS293" s="1" t="s">
        <v>6246</v>
      </c>
      <c r="BT293" s="1" t="str">
        <f>HYPERLINK("https%3A%2F%2Fwww.webofscience.com%2Fwos%2Fwoscc%2Ffull-record%2FWOS:001363198100001","View Full Record in Web of Science")</f>
        <v>View Full Record in Web of Science</v>
      </c>
    </row>
    <row r="294" ht="12.75" customHeight="1">
      <c r="A294" s="1" t="s">
        <v>132</v>
      </c>
      <c r="B294" s="1" t="s">
        <v>6247</v>
      </c>
      <c r="C294" s="1" t="s">
        <v>74</v>
      </c>
      <c r="D294" s="1" t="s">
        <v>74</v>
      </c>
      <c r="E294" s="1" t="s">
        <v>74</v>
      </c>
      <c r="F294" s="1" t="s">
        <v>6248</v>
      </c>
      <c r="G294" s="1" t="s">
        <v>74</v>
      </c>
      <c r="H294" s="1" t="s">
        <v>74</v>
      </c>
      <c r="I294" s="1" t="s">
        <v>6249</v>
      </c>
      <c r="J294" s="1" t="s">
        <v>6250</v>
      </c>
      <c r="K294" s="1" t="s">
        <v>74</v>
      </c>
      <c r="L294" s="1" t="s">
        <v>74</v>
      </c>
      <c r="M294" s="1" t="s">
        <v>80</v>
      </c>
      <c r="N294" s="1" t="s">
        <v>136</v>
      </c>
      <c r="O294" s="1" t="s">
        <v>74</v>
      </c>
      <c r="P294" s="1" t="s">
        <v>74</v>
      </c>
      <c r="Q294" s="1" t="s">
        <v>74</v>
      </c>
      <c r="R294" s="1" t="s">
        <v>74</v>
      </c>
      <c r="S294" s="1" t="s">
        <v>74</v>
      </c>
      <c r="T294" s="1" t="s">
        <v>6251</v>
      </c>
      <c r="U294" s="1" t="s">
        <v>6252</v>
      </c>
      <c r="V294" s="1" t="s">
        <v>6253</v>
      </c>
      <c r="W294" s="1" t="s">
        <v>6254</v>
      </c>
      <c r="X294" s="1" t="s">
        <v>6255</v>
      </c>
      <c r="Y294" s="1" t="s">
        <v>6256</v>
      </c>
      <c r="Z294" s="1" t="s">
        <v>6257</v>
      </c>
      <c r="AA294" s="1" t="s">
        <v>6258</v>
      </c>
      <c r="AB294" s="1" t="s">
        <v>74</v>
      </c>
      <c r="AC294" s="1" t="s">
        <v>74</v>
      </c>
      <c r="AD294" s="1" t="s">
        <v>74</v>
      </c>
      <c r="AE294" s="1" t="s">
        <v>74</v>
      </c>
      <c r="AF294" s="1" t="s">
        <v>74</v>
      </c>
      <c r="AG294" s="1">
        <v>86.0</v>
      </c>
      <c r="AH294" s="1">
        <v>1.0</v>
      </c>
      <c r="AI294" s="1">
        <v>1.0</v>
      </c>
      <c r="AJ294" s="1">
        <v>4.0</v>
      </c>
      <c r="AK294" s="1">
        <v>18.0</v>
      </c>
      <c r="AL294" s="1" t="s">
        <v>6259</v>
      </c>
      <c r="AM294" s="1" t="s">
        <v>6260</v>
      </c>
      <c r="AN294" s="1" t="s">
        <v>6261</v>
      </c>
      <c r="AO294" s="1" t="s">
        <v>6262</v>
      </c>
      <c r="AP294" s="1" t="s">
        <v>6263</v>
      </c>
      <c r="AQ294" s="1" t="s">
        <v>74</v>
      </c>
      <c r="AR294" s="1" t="s">
        <v>6250</v>
      </c>
      <c r="AS294" s="1" t="s">
        <v>6264</v>
      </c>
      <c r="AT294" s="1" t="s">
        <v>328</v>
      </c>
      <c r="AU294" s="1">
        <v>2023.0</v>
      </c>
      <c r="AV294" s="1">
        <v>15.0</v>
      </c>
      <c r="AW294" s="1">
        <v>1.0</v>
      </c>
      <c r="AX294" s="1" t="s">
        <v>74</v>
      </c>
      <c r="AY294" s="1" t="s">
        <v>74</v>
      </c>
      <c r="AZ294" s="1" t="s">
        <v>74</v>
      </c>
      <c r="BA294" s="1" t="s">
        <v>74</v>
      </c>
      <c r="BB294" s="1">
        <v>99.0</v>
      </c>
      <c r="BC294" s="1">
        <v>120.0</v>
      </c>
      <c r="BD294" s="1" t="s">
        <v>74</v>
      </c>
      <c r="BE294" s="1" t="s">
        <v>6265</v>
      </c>
      <c r="BF294" s="2" t="str">
        <f>HYPERLINK("http://dx.doi.org/10.18690/lexonomica.15.1.99-120.2023","http://dx.doi.org/10.18690/lexonomica.15.1.99-120.2023")</f>
        <v>http://dx.doi.org/10.18690/lexonomica.15.1.99-120.2023</v>
      </c>
      <c r="BG294" s="1" t="s">
        <v>74</v>
      </c>
      <c r="BH294" s="1" t="s">
        <v>74</v>
      </c>
      <c r="BI294" s="1">
        <v>22.0</v>
      </c>
      <c r="BJ294" s="1" t="s">
        <v>915</v>
      </c>
      <c r="BK294" s="1" t="s">
        <v>172</v>
      </c>
      <c r="BL294" s="1" t="s">
        <v>916</v>
      </c>
      <c r="BM294" s="1" t="s">
        <v>6266</v>
      </c>
      <c r="BN294" s="1" t="s">
        <v>74</v>
      </c>
      <c r="BO294" s="1" t="s">
        <v>632</v>
      </c>
      <c r="BP294" s="1" t="s">
        <v>74</v>
      </c>
      <c r="BQ294" s="1" t="s">
        <v>74</v>
      </c>
      <c r="BR294" s="1" t="s">
        <v>102</v>
      </c>
      <c r="BS294" s="1" t="s">
        <v>6267</v>
      </c>
      <c r="BT294" s="1" t="str">
        <f>HYPERLINK("https%3A%2F%2Fwww.webofscience.com%2Fwos%2Fwoscc%2Ffull-record%2FWOS:001024209500005","View Full Record in Web of Science")</f>
        <v>View Full Record in Web of Science</v>
      </c>
    </row>
    <row r="295" ht="12.75" customHeight="1">
      <c r="A295" s="1" t="s">
        <v>72</v>
      </c>
      <c r="B295" s="1" t="s">
        <v>6268</v>
      </c>
      <c r="C295" s="1" t="s">
        <v>74</v>
      </c>
      <c r="D295" s="1" t="s">
        <v>6269</v>
      </c>
      <c r="E295" s="1" t="s">
        <v>74</v>
      </c>
      <c r="F295" s="1" t="s">
        <v>6270</v>
      </c>
      <c r="G295" s="1" t="s">
        <v>74</v>
      </c>
      <c r="H295" s="1" t="s">
        <v>74</v>
      </c>
      <c r="I295" s="1" t="s">
        <v>6271</v>
      </c>
      <c r="J295" s="1" t="s">
        <v>6272</v>
      </c>
      <c r="K295" s="1" t="s">
        <v>3840</v>
      </c>
      <c r="L295" s="1" t="s">
        <v>74</v>
      </c>
      <c r="M295" s="1" t="s">
        <v>80</v>
      </c>
      <c r="N295" s="1" t="s">
        <v>81</v>
      </c>
      <c r="O295" s="1" t="s">
        <v>6273</v>
      </c>
      <c r="P295" s="1" t="s">
        <v>6274</v>
      </c>
      <c r="Q295" s="1" t="s">
        <v>5120</v>
      </c>
      <c r="R295" s="1" t="s">
        <v>74</v>
      </c>
      <c r="S295" s="1" t="s">
        <v>74</v>
      </c>
      <c r="T295" s="1" t="s">
        <v>6275</v>
      </c>
      <c r="U295" s="1" t="s">
        <v>74</v>
      </c>
      <c r="V295" s="1" t="s">
        <v>6276</v>
      </c>
      <c r="W295" s="1" t="s">
        <v>6277</v>
      </c>
      <c r="X295" s="1" t="s">
        <v>6278</v>
      </c>
      <c r="Y295" s="1" t="s">
        <v>6279</v>
      </c>
      <c r="Z295" s="1" t="s">
        <v>6280</v>
      </c>
      <c r="AA295" s="1" t="s">
        <v>6281</v>
      </c>
      <c r="AB295" s="1" t="s">
        <v>6282</v>
      </c>
      <c r="AC295" s="1" t="s">
        <v>74</v>
      </c>
      <c r="AD295" s="1" t="s">
        <v>74</v>
      </c>
      <c r="AE295" s="1" t="s">
        <v>74</v>
      </c>
      <c r="AF295" s="1" t="s">
        <v>74</v>
      </c>
      <c r="AG295" s="1">
        <v>31.0</v>
      </c>
      <c r="AH295" s="1">
        <v>0.0</v>
      </c>
      <c r="AI295" s="1">
        <v>0.0</v>
      </c>
      <c r="AJ295" s="1">
        <v>3.0</v>
      </c>
      <c r="AK295" s="1">
        <v>4.0</v>
      </c>
      <c r="AL295" s="1" t="s">
        <v>223</v>
      </c>
      <c r="AM295" s="1" t="s">
        <v>224</v>
      </c>
      <c r="AN295" s="1" t="s">
        <v>225</v>
      </c>
      <c r="AO295" s="1" t="s">
        <v>3852</v>
      </c>
      <c r="AP295" s="1" t="s">
        <v>942</v>
      </c>
      <c r="AQ295" s="1" t="s">
        <v>6283</v>
      </c>
      <c r="AR295" s="1" t="s">
        <v>3854</v>
      </c>
      <c r="AS295" s="1" t="s">
        <v>74</v>
      </c>
      <c r="AT295" s="1" t="s">
        <v>74</v>
      </c>
      <c r="AU295" s="1">
        <v>2022.0</v>
      </c>
      <c r="AV295" s="1">
        <v>13602.0</v>
      </c>
      <c r="AW295" s="1" t="s">
        <v>74</v>
      </c>
      <c r="AX295" s="1" t="s">
        <v>74</v>
      </c>
      <c r="AY295" s="1" t="s">
        <v>74</v>
      </c>
      <c r="AZ295" s="1" t="s">
        <v>74</v>
      </c>
      <c r="BA295" s="1" t="s">
        <v>74</v>
      </c>
      <c r="BB295" s="1">
        <v>45.0</v>
      </c>
      <c r="BC295" s="1">
        <v>56.0</v>
      </c>
      <c r="BD295" s="1" t="s">
        <v>74</v>
      </c>
      <c r="BE295" s="1" t="s">
        <v>6284</v>
      </c>
      <c r="BF295" s="2" t="str">
        <f>HYPERLINK("http://dx.doi.org/10.1007/978-3-031-19660-7_5","http://dx.doi.org/10.1007/978-3-031-19660-7_5")</f>
        <v>http://dx.doi.org/10.1007/978-3-031-19660-7_5</v>
      </c>
      <c r="BG295" s="1" t="s">
        <v>74</v>
      </c>
      <c r="BH295" s="1" t="s">
        <v>74</v>
      </c>
      <c r="BI295" s="1">
        <v>12.0</v>
      </c>
      <c r="BJ295" s="1" t="s">
        <v>6285</v>
      </c>
      <c r="BK295" s="1" t="s">
        <v>128</v>
      </c>
      <c r="BL295" s="1" t="s">
        <v>6286</v>
      </c>
      <c r="BM295" s="1" t="s">
        <v>6287</v>
      </c>
      <c r="BN295" s="1" t="s">
        <v>74</v>
      </c>
      <c r="BO295" s="1" t="s">
        <v>74</v>
      </c>
      <c r="BP295" s="1" t="s">
        <v>74</v>
      </c>
      <c r="BQ295" s="1" t="s">
        <v>74</v>
      </c>
      <c r="BR295" s="1" t="s">
        <v>102</v>
      </c>
      <c r="BS295" s="1" t="s">
        <v>6288</v>
      </c>
      <c r="BT295" s="1" t="str">
        <f>HYPERLINK("https%3A%2F%2Fwww.webofscience.com%2Fwos%2Fwoscc%2Ffull-record%2FWOS:000896504400005","View Full Record in Web of Science")</f>
        <v>View Full Record in Web of Science</v>
      </c>
    </row>
    <row r="296" ht="12.75" customHeight="1">
      <c r="A296" s="1" t="s">
        <v>132</v>
      </c>
      <c r="B296" s="1" t="s">
        <v>6289</v>
      </c>
      <c r="C296" s="1" t="s">
        <v>74</v>
      </c>
      <c r="D296" s="1" t="s">
        <v>74</v>
      </c>
      <c r="E296" s="1" t="s">
        <v>74</v>
      </c>
      <c r="F296" s="1" t="s">
        <v>6290</v>
      </c>
      <c r="G296" s="1" t="s">
        <v>74</v>
      </c>
      <c r="H296" s="1" t="s">
        <v>74</v>
      </c>
      <c r="I296" s="1" t="s">
        <v>6291</v>
      </c>
      <c r="J296" s="1" t="s">
        <v>5018</v>
      </c>
      <c r="K296" s="1" t="s">
        <v>74</v>
      </c>
      <c r="L296" s="1" t="s">
        <v>74</v>
      </c>
      <c r="M296" s="1" t="s">
        <v>80</v>
      </c>
      <c r="N296" s="1" t="s">
        <v>136</v>
      </c>
      <c r="O296" s="1" t="s">
        <v>74</v>
      </c>
      <c r="P296" s="1" t="s">
        <v>74</v>
      </c>
      <c r="Q296" s="1" t="s">
        <v>74</v>
      </c>
      <c r="R296" s="1" t="s">
        <v>74</v>
      </c>
      <c r="S296" s="1" t="s">
        <v>74</v>
      </c>
      <c r="T296" s="1" t="s">
        <v>6292</v>
      </c>
      <c r="U296" s="1" t="s">
        <v>2084</v>
      </c>
      <c r="V296" s="1" t="s">
        <v>6293</v>
      </c>
      <c r="W296" s="1" t="s">
        <v>6294</v>
      </c>
      <c r="X296" s="1" t="s">
        <v>6295</v>
      </c>
      <c r="Y296" s="1" t="s">
        <v>6296</v>
      </c>
      <c r="Z296" s="1" t="s">
        <v>6297</v>
      </c>
      <c r="AA296" s="1" t="s">
        <v>74</v>
      </c>
      <c r="AB296" s="1" t="s">
        <v>6298</v>
      </c>
      <c r="AC296" s="1" t="s">
        <v>6299</v>
      </c>
      <c r="AD296" s="1" t="s">
        <v>6299</v>
      </c>
      <c r="AE296" s="1" t="s">
        <v>3018</v>
      </c>
      <c r="AF296" s="1" t="s">
        <v>74</v>
      </c>
      <c r="AG296" s="1">
        <v>43.0</v>
      </c>
      <c r="AH296" s="1">
        <v>2.0</v>
      </c>
      <c r="AI296" s="1">
        <v>2.0</v>
      </c>
      <c r="AJ296" s="1">
        <v>40.0</v>
      </c>
      <c r="AK296" s="1">
        <v>82.0</v>
      </c>
      <c r="AL296" s="1" t="s">
        <v>1970</v>
      </c>
      <c r="AM296" s="1" t="s">
        <v>1658</v>
      </c>
      <c r="AN296" s="1" t="s">
        <v>1971</v>
      </c>
      <c r="AO296" s="1" t="s">
        <v>74</v>
      </c>
      <c r="AP296" s="1" t="s">
        <v>5029</v>
      </c>
      <c r="AQ296" s="1" t="s">
        <v>74</v>
      </c>
      <c r="AR296" s="1" t="s">
        <v>5030</v>
      </c>
      <c r="AS296" s="1" t="s">
        <v>5031</v>
      </c>
      <c r="AT296" s="1" t="s">
        <v>1301</v>
      </c>
      <c r="AU296" s="1">
        <v>2024.0</v>
      </c>
      <c r="AV296" s="1">
        <v>16.0</v>
      </c>
      <c r="AW296" s="1">
        <v>3.0</v>
      </c>
      <c r="AX296" s="1" t="s">
        <v>74</v>
      </c>
      <c r="AY296" s="1" t="s">
        <v>74</v>
      </c>
      <c r="AZ296" s="1" t="s">
        <v>74</v>
      </c>
      <c r="BA296" s="1" t="s">
        <v>74</v>
      </c>
      <c r="BB296" s="1" t="s">
        <v>74</v>
      </c>
      <c r="BC296" s="1" t="s">
        <v>74</v>
      </c>
      <c r="BD296" s="1">
        <v>1341.0</v>
      </c>
      <c r="BE296" s="1" t="s">
        <v>6300</v>
      </c>
      <c r="BF296" s="2" t="str">
        <f>HYPERLINK("http://dx.doi.org/10.3390/su16031341","http://dx.doi.org/10.3390/su16031341")</f>
        <v>http://dx.doi.org/10.3390/su16031341</v>
      </c>
      <c r="BG296" s="1" t="s">
        <v>74</v>
      </c>
      <c r="BH296" s="1" t="s">
        <v>74</v>
      </c>
      <c r="BI296" s="1">
        <v>17.0</v>
      </c>
      <c r="BJ296" s="1" t="s">
        <v>5033</v>
      </c>
      <c r="BK296" s="1" t="s">
        <v>783</v>
      </c>
      <c r="BL296" s="1" t="s">
        <v>3612</v>
      </c>
      <c r="BM296" s="1" t="s">
        <v>6301</v>
      </c>
      <c r="BN296" s="1" t="s">
        <v>74</v>
      </c>
      <c r="BO296" s="1" t="s">
        <v>174</v>
      </c>
      <c r="BP296" s="1" t="s">
        <v>74</v>
      </c>
      <c r="BQ296" s="1" t="s">
        <v>74</v>
      </c>
      <c r="BR296" s="1" t="s">
        <v>102</v>
      </c>
      <c r="BS296" s="1" t="s">
        <v>6302</v>
      </c>
      <c r="BT296" s="1" t="str">
        <f>HYPERLINK("https%3A%2F%2Fwww.webofscience.com%2Fwos%2Fwoscc%2Ffull-record%2FWOS:001159970800001","View Full Record in Web of Science")</f>
        <v>View Full Record in Web of Science</v>
      </c>
    </row>
    <row r="297" ht="12.75" customHeight="1">
      <c r="A297" s="1" t="s">
        <v>132</v>
      </c>
      <c r="B297" s="1" t="s">
        <v>6303</v>
      </c>
      <c r="C297" s="1" t="s">
        <v>74</v>
      </c>
      <c r="D297" s="1" t="s">
        <v>74</v>
      </c>
      <c r="E297" s="1" t="s">
        <v>74</v>
      </c>
      <c r="F297" s="1" t="s">
        <v>6304</v>
      </c>
      <c r="G297" s="1" t="s">
        <v>74</v>
      </c>
      <c r="H297" s="1" t="s">
        <v>74</v>
      </c>
      <c r="I297" s="1" t="s">
        <v>6305</v>
      </c>
      <c r="J297" s="1" t="s">
        <v>6306</v>
      </c>
      <c r="K297" s="1" t="s">
        <v>74</v>
      </c>
      <c r="L297" s="1" t="s">
        <v>74</v>
      </c>
      <c r="M297" s="1" t="s">
        <v>80</v>
      </c>
      <c r="N297" s="1" t="s">
        <v>136</v>
      </c>
      <c r="O297" s="1" t="s">
        <v>74</v>
      </c>
      <c r="P297" s="1" t="s">
        <v>74</v>
      </c>
      <c r="Q297" s="1" t="s">
        <v>74</v>
      </c>
      <c r="R297" s="1" t="s">
        <v>74</v>
      </c>
      <c r="S297" s="1" t="s">
        <v>74</v>
      </c>
      <c r="T297" s="1" t="s">
        <v>6307</v>
      </c>
      <c r="U297" s="1" t="s">
        <v>6308</v>
      </c>
      <c r="V297" s="1" t="s">
        <v>6309</v>
      </c>
      <c r="W297" s="1" t="s">
        <v>6310</v>
      </c>
      <c r="X297" s="1" t="s">
        <v>6311</v>
      </c>
      <c r="Y297" s="1" t="s">
        <v>6312</v>
      </c>
      <c r="Z297" s="1" t="s">
        <v>6313</v>
      </c>
      <c r="AA297" s="1" t="s">
        <v>6314</v>
      </c>
      <c r="AB297" s="1" t="s">
        <v>6315</v>
      </c>
      <c r="AC297" s="1" t="s">
        <v>74</v>
      </c>
      <c r="AD297" s="1" t="s">
        <v>74</v>
      </c>
      <c r="AE297" s="1" t="s">
        <v>74</v>
      </c>
      <c r="AF297" s="1" t="s">
        <v>74</v>
      </c>
      <c r="AG297" s="1">
        <v>43.0</v>
      </c>
      <c r="AH297" s="1">
        <v>5.0</v>
      </c>
      <c r="AI297" s="1">
        <v>5.0</v>
      </c>
      <c r="AJ297" s="1">
        <v>2.0</v>
      </c>
      <c r="AK297" s="1">
        <v>27.0</v>
      </c>
      <c r="AL297" s="1" t="s">
        <v>321</v>
      </c>
      <c r="AM297" s="1" t="s">
        <v>322</v>
      </c>
      <c r="AN297" s="1" t="s">
        <v>323</v>
      </c>
      <c r="AO297" s="1" t="s">
        <v>6316</v>
      </c>
      <c r="AP297" s="1" t="s">
        <v>6317</v>
      </c>
      <c r="AQ297" s="1" t="s">
        <v>74</v>
      </c>
      <c r="AR297" s="1" t="s">
        <v>6318</v>
      </c>
      <c r="AS297" s="1" t="s">
        <v>6319</v>
      </c>
      <c r="AT297" s="1" t="s">
        <v>1364</v>
      </c>
      <c r="AU297" s="1">
        <v>2021.0</v>
      </c>
      <c r="AV297" s="1">
        <v>115.0</v>
      </c>
      <c r="AW297" s="1" t="s">
        <v>74</v>
      </c>
      <c r="AX297" s="1" t="s">
        <v>74</v>
      </c>
      <c r="AY297" s="1" t="s">
        <v>74</v>
      </c>
      <c r="AZ297" s="1" t="s">
        <v>74</v>
      </c>
      <c r="BA297" s="1" t="s">
        <v>74</v>
      </c>
      <c r="BB297" s="1" t="s">
        <v>74</v>
      </c>
      <c r="BC297" s="1" t="s">
        <v>74</v>
      </c>
      <c r="BD297" s="1">
        <v>102055.0</v>
      </c>
      <c r="BE297" s="1" t="s">
        <v>6320</v>
      </c>
      <c r="BF297" s="2" t="str">
        <f>HYPERLINK("http://dx.doi.org/10.1016/j.artmed.2021.102055","http://dx.doi.org/10.1016/j.artmed.2021.102055")</f>
        <v>http://dx.doi.org/10.1016/j.artmed.2021.102055</v>
      </c>
      <c r="BG297" s="1" t="s">
        <v>74</v>
      </c>
      <c r="BH297" s="1" t="s">
        <v>6321</v>
      </c>
      <c r="BI297" s="1">
        <v>5.0</v>
      </c>
      <c r="BJ297" s="1" t="s">
        <v>6322</v>
      </c>
      <c r="BK297" s="1" t="s">
        <v>149</v>
      </c>
      <c r="BL297" s="1" t="s">
        <v>6323</v>
      </c>
      <c r="BM297" s="1" t="s">
        <v>6324</v>
      </c>
      <c r="BN297" s="1">
        <v>3.4001315E7</v>
      </c>
      <c r="BO297" s="1" t="s">
        <v>74</v>
      </c>
      <c r="BP297" s="1" t="s">
        <v>74</v>
      </c>
      <c r="BQ297" s="1" t="s">
        <v>74</v>
      </c>
      <c r="BR297" s="1" t="s">
        <v>102</v>
      </c>
      <c r="BS297" s="1" t="s">
        <v>6325</v>
      </c>
      <c r="BT297" s="1" t="str">
        <f>HYPERLINK("https%3A%2F%2Fwww.webofscience.com%2Fwos%2Fwoscc%2Ffull-record%2FWOS:000663305100003","View Full Record in Web of Science")</f>
        <v>View Full Record in Web of Science</v>
      </c>
    </row>
    <row r="298" ht="12.75" customHeight="1">
      <c r="A298" s="1" t="s">
        <v>132</v>
      </c>
      <c r="B298" s="1" t="s">
        <v>6326</v>
      </c>
      <c r="C298" s="1" t="s">
        <v>74</v>
      </c>
      <c r="D298" s="1" t="s">
        <v>74</v>
      </c>
      <c r="E298" s="1" t="s">
        <v>74</v>
      </c>
      <c r="F298" s="1" t="s">
        <v>6327</v>
      </c>
      <c r="G298" s="1" t="s">
        <v>74</v>
      </c>
      <c r="H298" s="1" t="s">
        <v>74</v>
      </c>
      <c r="I298" s="1" t="s">
        <v>6328</v>
      </c>
      <c r="J298" s="1" t="s">
        <v>6329</v>
      </c>
      <c r="K298" s="1" t="s">
        <v>74</v>
      </c>
      <c r="L298" s="1" t="s">
        <v>74</v>
      </c>
      <c r="M298" s="1" t="s">
        <v>80</v>
      </c>
      <c r="N298" s="1" t="s">
        <v>136</v>
      </c>
      <c r="O298" s="1" t="s">
        <v>74</v>
      </c>
      <c r="P298" s="1" t="s">
        <v>74</v>
      </c>
      <c r="Q298" s="1" t="s">
        <v>74</v>
      </c>
      <c r="R298" s="1" t="s">
        <v>74</v>
      </c>
      <c r="S298" s="1" t="s">
        <v>74</v>
      </c>
      <c r="T298" s="1" t="s">
        <v>6330</v>
      </c>
      <c r="U298" s="1" t="s">
        <v>6331</v>
      </c>
      <c r="V298" s="1" t="s">
        <v>6332</v>
      </c>
      <c r="W298" s="1" t="s">
        <v>6333</v>
      </c>
      <c r="X298" s="1" t="s">
        <v>6334</v>
      </c>
      <c r="Y298" s="1" t="s">
        <v>6335</v>
      </c>
      <c r="Z298" s="1" t="s">
        <v>6336</v>
      </c>
      <c r="AA298" s="1" t="s">
        <v>6337</v>
      </c>
      <c r="AB298" s="1" t="s">
        <v>6338</v>
      </c>
      <c r="AC298" s="1" t="s">
        <v>6339</v>
      </c>
      <c r="AD298" s="1" t="s">
        <v>6340</v>
      </c>
      <c r="AE298" s="1" t="s">
        <v>6341</v>
      </c>
      <c r="AF298" s="1" t="s">
        <v>74</v>
      </c>
      <c r="AG298" s="1">
        <v>72.0</v>
      </c>
      <c r="AH298" s="1">
        <v>30.0</v>
      </c>
      <c r="AI298" s="1">
        <v>31.0</v>
      </c>
      <c r="AJ298" s="1">
        <v>50.0</v>
      </c>
      <c r="AK298" s="1">
        <v>311.0</v>
      </c>
      <c r="AL298" s="1" t="s">
        <v>1970</v>
      </c>
      <c r="AM298" s="1" t="s">
        <v>1658</v>
      </c>
      <c r="AN298" s="1" t="s">
        <v>1971</v>
      </c>
      <c r="AO298" s="1" t="s">
        <v>74</v>
      </c>
      <c r="AP298" s="1" t="s">
        <v>6342</v>
      </c>
      <c r="AQ298" s="1" t="s">
        <v>74</v>
      </c>
      <c r="AR298" s="1" t="s">
        <v>6343</v>
      </c>
      <c r="AS298" s="1" t="s">
        <v>6344</v>
      </c>
      <c r="AT298" s="1" t="s">
        <v>1301</v>
      </c>
      <c r="AU298" s="1">
        <v>2022.0</v>
      </c>
      <c r="AV298" s="1">
        <v>19.0</v>
      </c>
      <c r="AW298" s="1">
        <v>4.0</v>
      </c>
      <c r="AX298" s="1" t="s">
        <v>74</v>
      </c>
      <c r="AY298" s="1" t="s">
        <v>74</v>
      </c>
      <c r="AZ298" s="1" t="s">
        <v>74</v>
      </c>
      <c r="BA298" s="1" t="s">
        <v>74</v>
      </c>
      <c r="BB298" s="1" t="s">
        <v>74</v>
      </c>
      <c r="BC298" s="1" t="s">
        <v>74</v>
      </c>
      <c r="BD298" s="1">
        <v>2091.0</v>
      </c>
      <c r="BE298" s="1" t="s">
        <v>6345</v>
      </c>
      <c r="BF298" s="2" t="str">
        <f>HYPERLINK("http://dx.doi.org/10.3390/ijerph19042091","http://dx.doi.org/10.3390/ijerph19042091")</f>
        <v>http://dx.doi.org/10.3390/ijerph19042091</v>
      </c>
      <c r="BG298" s="1" t="s">
        <v>74</v>
      </c>
      <c r="BH298" s="1" t="s">
        <v>74</v>
      </c>
      <c r="BI298" s="1">
        <v>18.0</v>
      </c>
      <c r="BJ298" s="1" t="s">
        <v>6346</v>
      </c>
      <c r="BK298" s="1" t="s">
        <v>783</v>
      </c>
      <c r="BL298" s="1" t="s">
        <v>6347</v>
      </c>
      <c r="BM298" s="1" t="s">
        <v>6348</v>
      </c>
      <c r="BN298" s="1">
        <v>3.520628E7</v>
      </c>
      <c r="BO298" s="1" t="s">
        <v>284</v>
      </c>
      <c r="BP298" s="1" t="s">
        <v>74</v>
      </c>
      <c r="BQ298" s="1" t="s">
        <v>74</v>
      </c>
      <c r="BR298" s="1" t="s">
        <v>102</v>
      </c>
      <c r="BS298" s="1" t="s">
        <v>6349</v>
      </c>
      <c r="BT298" s="1" t="str">
        <f>HYPERLINK("https%3A%2F%2Fwww.webofscience.com%2Fwos%2Fwoscc%2Ffull-record%2FWOS:000769116900001","View Full Record in Web of Science")</f>
        <v>View Full Record in Web of Science</v>
      </c>
    </row>
    <row r="299" ht="12.75" customHeight="1">
      <c r="A299" s="1" t="s">
        <v>72</v>
      </c>
      <c r="B299" s="1" t="s">
        <v>6350</v>
      </c>
      <c r="C299" s="1" t="s">
        <v>74</v>
      </c>
      <c r="D299" s="1" t="s">
        <v>6351</v>
      </c>
      <c r="E299" s="1" t="s">
        <v>74</v>
      </c>
      <c r="F299" s="1" t="s">
        <v>6352</v>
      </c>
      <c r="G299" s="1" t="s">
        <v>74</v>
      </c>
      <c r="H299" s="1" t="s">
        <v>74</v>
      </c>
      <c r="I299" s="1" t="s">
        <v>6353</v>
      </c>
      <c r="J299" s="1" t="s">
        <v>6354</v>
      </c>
      <c r="K299" s="1" t="s">
        <v>74</v>
      </c>
      <c r="L299" s="1" t="s">
        <v>74</v>
      </c>
      <c r="M299" s="1" t="s">
        <v>80</v>
      </c>
      <c r="N299" s="1" t="s">
        <v>81</v>
      </c>
      <c r="O299" s="1" t="s">
        <v>6355</v>
      </c>
      <c r="P299" s="1" t="s">
        <v>6356</v>
      </c>
      <c r="Q299" s="1" t="s">
        <v>745</v>
      </c>
      <c r="R299" s="1" t="s">
        <v>6357</v>
      </c>
      <c r="S299" s="1" t="s">
        <v>74</v>
      </c>
      <c r="T299" s="1" t="s">
        <v>6358</v>
      </c>
      <c r="U299" s="1" t="s">
        <v>74</v>
      </c>
      <c r="V299" s="1" t="s">
        <v>6359</v>
      </c>
      <c r="W299" s="1" t="s">
        <v>6360</v>
      </c>
      <c r="X299" s="1" t="s">
        <v>6361</v>
      </c>
      <c r="Y299" s="1" t="s">
        <v>6362</v>
      </c>
      <c r="Z299" s="1" t="s">
        <v>6363</v>
      </c>
      <c r="AA299" s="1" t="s">
        <v>74</v>
      </c>
      <c r="AB299" s="1" t="s">
        <v>74</v>
      </c>
      <c r="AC299" s="1" t="s">
        <v>74</v>
      </c>
      <c r="AD299" s="1" t="s">
        <v>74</v>
      </c>
      <c r="AE299" s="1" t="s">
        <v>74</v>
      </c>
      <c r="AF299" s="1" t="s">
        <v>74</v>
      </c>
      <c r="AG299" s="1">
        <v>13.0</v>
      </c>
      <c r="AH299" s="1">
        <v>0.0</v>
      </c>
      <c r="AI299" s="1">
        <v>0.0</v>
      </c>
      <c r="AJ299" s="1">
        <v>1.0</v>
      </c>
      <c r="AK299" s="1">
        <v>8.0</v>
      </c>
      <c r="AL299" s="1" t="s">
        <v>6364</v>
      </c>
      <c r="AM299" s="1" t="s">
        <v>6365</v>
      </c>
      <c r="AN299" s="1" t="s">
        <v>6366</v>
      </c>
      <c r="AO299" s="1" t="s">
        <v>74</v>
      </c>
      <c r="AP299" s="1" t="s">
        <v>74</v>
      </c>
      <c r="AQ299" s="1" t="s">
        <v>6367</v>
      </c>
      <c r="AR299" s="1" t="s">
        <v>74</v>
      </c>
      <c r="AS299" s="1" t="s">
        <v>74</v>
      </c>
      <c r="AT299" s="1" t="s">
        <v>74</v>
      </c>
      <c r="AU299" s="1">
        <v>2020.0</v>
      </c>
      <c r="AV299" s="1" t="s">
        <v>74</v>
      </c>
      <c r="AW299" s="1" t="s">
        <v>74</v>
      </c>
      <c r="AX299" s="1" t="s">
        <v>74</v>
      </c>
      <c r="AY299" s="1" t="s">
        <v>74</v>
      </c>
      <c r="AZ299" s="1" t="s">
        <v>74</v>
      </c>
      <c r="BA299" s="1" t="s">
        <v>74</v>
      </c>
      <c r="BB299" s="1">
        <v>15468.0</v>
      </c>
      <c r="BC299" s="1">
        <v>15477.0</v>
      </c>
      <c r="BD299" s="1" t="s">
        <v>74</v>
      </c>
      <c r="BE299" s="1" t="s">
        <v>74</v>
      </c>
      <c r="BF299" s="1" t="s">
        <v>74</v>
      </c>
      <c r="BG299" s="1" t="s">
        <v>74</v>
      </c>
      <c r="BH299" s="1" t="s">
        <v>74</v>
      </c>
      <c r="BI299" s="1">
        <v>10.0</v>
      </c>
      <c r="BJ299" s="1" t="s">
        <v>6368</v>
      </c>
      <c r="BK299" s="1" t="s">
        <v>99</v>
      </c>
      <c r="BL299" s="1" t="s">
        <v>1690</v>
      </c>
      <c r="BM299" s="1" t="s">
        <v>6369</v>
      </c>
      <c r="BN299" s="1" t="s">
        <v>74</v>
      </c>
      <c r="BO299" s="1" t="s">
        <v>74</v>
      </c>
      <c r="BP299" s="1" t="s">
        <v>74</v>
      </c>
      <c r="BQ299" s="1" t="s">
        <v>74</v>
      </c>
      <c r="BR299" s="1" t="s">
        <v>102</v>
      </c>
      <c r="BS299" s="1" t="s">
        <v>6370</v>
      </c>
      <c r="BT299" s="1" t="str">
        <f>HYPERLINK("https%3A%2F%2Fwww.webofscience.com%2Fwos%2Fwoscc%2Ffull-record%2FWOS:000661489806041","View Full Record in Web of Science")</f>
        <v>View Full Record in Web of Science</v>
      </c>
    </row>
    <row r="300" ht="12.75" customHeight="1">
      <c r="A300" s="1" t="s">
        <v>72</v>
      </c>
      <c r="B300" s="1" t="s">
        <v>6371</v>
      </c>
      <c r="C300" s="1" t="s">
        <v>74</v>
      </c>
      <c r="D300" s="1" t="s">
        <v>6372</v>
      </c>
      <c r="E300" s="1" t="s">
        <v>74</v>
      </c>
      <c r="F300" s="1" t="s">
        <v>6373</v>
      </c>
      <c r="G300" s="1" t="s">
        <v>74</v>
      </c>
      <c r="H300" s="1" t="s">
        <v>74</v>
      </c>
      <c r="I300" s="1" t="s">
        <v>6374</v>
      </c>
      <c r="J300" s="1" t="s">
        <v>6375</v>
      </c>
      <c r="K300" s="1" t="s">
        <v>2386</v>
      </c>
      <c r="L300" s="1" t="s">
        <v>74</v>
      </c>
      <c r="M300" s="1" t="s">
        <v>80</v>
      </c>
      <c r="N300" s="1" t="s">
        <v>81</v>
      </c>
      <c r="O300" s="1" t="s">
        <v>6376</v>
      </c>
      <c r="P300" s="1" t="s">
        <v>6377</v>
      </c>
      <c r="Q300" s="1" t="s">
        <v>6378</v>
      </c>
      <c r="R300" s="1" t="s">
        <v>6379</v>
      </c>
      <c r="S300" s="1" t="s">
        <v>74</v>
      </c>
      <c r="T300" s="1" t="s">
        <v>6380</v>
      </c>
      <c r="U300" s="1" t="s">
        <v>74</v>
      </c>
      <c r="V300" s="1" t="s">
        <v>6381</v>
      </c>
      <c r="W300" s="1" t="s">
        <v>6382</v>
      </c>
      <c r="X300" s="1" t="s">
        <v>6383</v>
      </c>
      <c r="Y300" s="1" t="s">
        <v>6384</v>
      </c>
      <c r="Z300" s="1" t="s">
        <v>6385</v>
      </c>
      <c r="AA300" s="1" t="s">
        <v>6386</v>
      </c>
      <c r="AB300" s="1" t="s">
        <v>74</v>
      </c>
      <c r="AC300" s="1" t="s">
        <v>6387</v>
      </c>
      <c r="AD300" s="1" t="s">
        <v>6388</v>
      </c>
      <c r="AE300" s="1" t="s">
        <v>6389</v>
      </c>
      <c r="AF300" s="1" t="s">
        <v>74</v>
      </c>
      <c r="AG300" s="1">
        <v>29.0</v>
      </c>
      <c r="AH300" s="1">
        <v>0.0</v>
      </c>
      <c r="AI300" s="1">
        <v>0.0</v>
      </c>
      <c r="AJ300" s="1">
        <v>0.0</v>
      </c>
      <c r="AK300" s="1">
        <v>0.0</v>
      </c>
      <c r="AL300" s="1" t="s">
        <v>1119</v>
      </c>
      <c r="AM300" s="1" t="s">
        <v>1120</v>
      </c>
      <c r="AN300" s="1" t="s">
        <v>1121</v>
      </c>
      <c r="AO300" s="1" t="s">
        <v>2398</v>
      </c>
      <c r="AP300" s="1" t="s">
        <v>2399</v>
      </c>
      <c r="AQ300" s="1" t="s">
        <v>6390</v>
      </c>
      <c r="AR300" s="1" t="s">
        <v>2401</v>
      </c>
      <c r="AS300" s="1" t="s">
        <v>74</v>
      </c>
      <c r="AT300" s="1" t="s">
        <v>74</v>
      </c>
      <c r="AU300" s="1">
        <v>2024.0</v>
      </c>
      <c r="AV300" s="1">
        <v>1014.0</v>
      </c>
      <c r="AW300" s="1" t="s">
        <v>74</v>
      </c>
      <c r="AX300" s="1" t="s">
        <v>74</v>
      </c>
      <c r="AY300" s="1" t="s">
        <v>74</v>
      </c>
      <c r="AZ300" s="1" t="s">
        <v>74</v>
      </c>
      <c r="BA300" s="1" t="s">
        <v>74</v>
      </c>
      <c r="BB300" s="1">
        <v>215.0</v>
      </c>
      <c r="BC300" s="1">
        <v>224.0</v>
      </c>
      <c r="BD300" s="1" t="s">
        <v>74</v>
      </c>
      <c r="BE300" s="1" t="s">
        <v>6391</v>
      </c>
      <c r="BF300" s="2" t="str">
        <f>HYPERLINK("http://dx.doi.org/10.1007/978-981-97-3562-4_18","http://dx.doi.org/10.1007/978-981-97-3562-4_18")</f>
        <v>http://dx.doi.org/10.1007/978-981-97-3562-4_18</v>
      </c>
      <c r="BG300" s="1" t="s">
        <v>74</v>
      </c>
      <c r="BH300" s="1" t="s">
        <v>74</v>
      </c>
      <c r="BI300" s="1">
        <v>10.0</v>
      </c>
      <c r="BJ300" s="1" t="s">
        <v>6392</v>
      </c>
      <c r="BK300" s="1" t="s">
        <v>128</v>
      </c>
      <c r="BL300" s="1" t="s">
        <v>846</v>
      </c>
      <c r="BM300" s="1" t="s">
        <v>6393</v>
      </c>
      <c r="BN300" s="1" t="s">
        <v>74</v>
      </c>
      <c r="BO300" s="1" t="s">
        <v>74</v>
      </c>
      <c r="BP300" s="1" t="s">
        <v>74</v>
      </c>
      <c r="BQ300" s="1" t="s">
        <v>74</v>
      </c>
      <c r="BR300" s="1" t="s">
        <v>102</v>
      </c>
      <c r="BS300" s="1" t="s">
        <v>6394</v>
      </c>
      <c r="BT300" s="1" t="str">
        <f>HYPERLINK("https%3A%2F%2Fwww.webofscience.com%2Fwos%2Fwoscc%2Ffull-record%2FWOS:001326998600017","View Full Record in Web of Science")</f>
        <v>View Full Record in Web of Science</v>
      </c>
    </row>
    <row r="301" ht="12.75" customHeight="1">
      <c r="A301" s="1" t="s">
        <v>132</v>
      </c>
      <c r="B301" s="1" t="s">
        <v>6395</v>
      </c>
      <c r="C301" s="1" t="s">
        <v>74</v>
      </c>
      <c r="D301" s="1" t="s">
        <v>74</v>
      </c>
      <c r="E301" s="1" t="s">
        <v>74</v>
      </c>
      <c r="F301" s="1" t="s">
        <v>6396</v>
      </c>
      <c r="G301" s="1" t="s">
        <v>74</v>
      </c>
      <c r="H301" s="1" t="s">
        <v>74</v>
      </c>
      <c r="I301" s="1" t="s">
        <v>6397</v>
      </c>
      <c r="J301" s="1" t="s">
        <v>6398</v>
      </c>
      <c r="K301" s="1" t="s">
        <v>74</v>
      </c>
      <c r="L301" s="1" t="s">
        <v>74</v>
      </c>
      <c r="M301" s="1" t="s">
        <v>80</v>
      </c>
      <c r="N301" s="1" t="s">
        <v>136</v>
      </c>
      <c r="O301" s="1" t="s">
        <v>74</v>
      </c>
      <c r="P301" s="1" t="s">
        <v>74</v>
      </c>
      <c r="Q301" s="1" t="s">
        <v>74</v>
      </c>
      <c r="R301" s="1" t="s">
        <v>74</v>
      </c>
      <c r="S301" s="1" t="s">
        <v>74</v>
      </c>
      <c r="T301" s="1" t="s">
        <v>6399</v>
      </c>
      <c r="U301" s="1" t="s">
        <v>74</v>
      </c>
      <c r="V301" s="1" t="s">
        <v>6400</v>
      </c>
      <c r="W301" s="1" t="s">
        <v>6401</v>
      </c>
      <c r="X301" s="1" t="s">
        <v>6402</v>
      </c>
      <c r="Y301" s="1" t="s">
        <v>6403</v>
      </c>
      <c r="Z301" s="1" t="s">
        <v>6404</v>
      </c>
      <c r="AA301" s="1" t="s">
        <v>6405</v>
      </c>
      <c r="AB301" s="1" t="s">
        <v>6406</v>
      </c>
      <c r="AC301" s="1" t="s">
        <v>74</v>
      </c>
      <c r="AD301" s="1" t="s">
        <v>74</v>
      </c>
      <c r="AE301" s="1" t="s">
        <v>74</v>
      </c>
      <c r="AF301" s="1" t="s">
        <v>74</v>
      </c>
      <c r="AG301" s="1">
        <v>47.0</v>
      </c>
      <c r="AH301" s="1">
        <v>4.0</v>
      </c>
      <c r="AI301" s="1">
        <v>4.0</v>
      </c>
      <c r="AJ301" s="1">
        <v>7.0</v>
      </c>
      <c r="AK301" s="1">
        <v>19.0</v>
      </c>
      <c r="AL301" s="1" t="s">
        <v>595</v>
      </c>
      <c r="AM301" s="1" t="s">
        <v>467</v>
      </c>
      <c r="AN301" s="1" t="s">
        <v>596</v>
      </c>
      <c r="AO301" s="1" t="s">
        <v>6407</v>
      </c>
      <c r="AP301" s="1" t="s">
        <v>6408</v>
      </c>
      <c r="AQ301" s="1" t="s">
        <v>74</v>
      </c>
      <c r="AR301" s="1" t="s">
        <v>6409</v>
      </c>
      <c r="AS301" s="1" t="s">
        <v>6410</v>
      </c>
      <c r="AT301" s="1" t="s">
        <v>6411</v>
      </c>
      <c r="AU301" s="1">
        <v>2024.0</v>
      </c>
      <c r="AV301" s="1">
        <v>24.0</v>
      </c>
      <c r="AW301" s="1">
        <v>1.0</v>
      </c>
      <c r="AX301" s="1" t="s">
        <v>74</v>
      </c>
      <c r="AY301" s="1" t="s">
        <v>74</v>
      </c>
      <c r="AZ301" s="1" t="s">
        <v>474</v>
      </c>
      <c r="BA301" s="1" t="s">
        <v>74</v>
      </c>
      <c r="BB301" s="1">
        <v>123.0</v>
      </c>
      <c r="BC301" s="1">
        <v>140.0</v>
      </c>
      <c r="BD301" s="1" t="s">
        <v>74</v>
      </c>
      <c r="BE301" s="1" t="s">
        <v>6412</v>
      </c>
      <c r="BF301" s="2" t="str">
        <f>HYPERLINK("http://dx.doi.org/10.1080/14729679.2023.2248302","http://dx.doi.org/10.1080/14729679.2023.2248302")</f>
        <v>http://dx.doi.org/10.1080/14729679.2023.2248302</v>
      </c>
      <c r="BG301" s="1" t="s">
        <v>74</v>
      </c>
      <c r="BH301" s="1" t="s">
        <v>5321</v>
      </c>
      <c r="BI301" s="1">
        <v>18.0</v>
      </c>
      <c r="BJ301" s="1" t="s">
        <v>171</v>
      </c>
      <c r="BK301" s="1" t="s">
        <v>172</v>
      </c>
      <c r="BL301" s="1" t="s">
        <v>171</v>
      </c>
      <c r="BM301" s="1" t="s">
        <v>6413</v>
      </c>
      <c r="BN301" s="1" t="s">
        <v>74</v>
      </c>
      <c r="BO301" s="1" t="s">
        <v>1511</v>
      </c>
      <c r="BP301" s="1" t="s">
        <v>74</v>
      </c>
      <c r="BQ301" s="1" t="s">
        <v>74</v>
      </c>
      <c r="BR301" s="1" t="s">
        <v>102</v>
      </c>
      <c r="BS301" s="1" t="s">
        <v>6414</v>
      </c>
      <c r="BT301" s="1" t="str">
        <f>HYPERLINK("https%3A%2F%2Fwww.webofscience.com%2Fwos%2Fwoscc%2Ffull-record%2FWOS:001050475800001","View Full Record in Web of Science")</f>
        <v>View Full Record in Web of Science</v>
      </c>
    </row>
    <row r="302" ht="12.75" customHeight="1">
      <c r="A302" s="1" t="s">
        <v>132</v>
      </c>
      <c r="B302" s="1" t="s">
        <v>6415</v>
      </c>
      <c r="C302" s="1" t="s">
        <v>74</v>
      </c>
      <c r="D302" s="1" t="s">
        <v>74</v>
      </c>
      <c r="E302" s="1" t="s">
        <v>74</v>
      </c>
      <c r="F302" s="1" t="s">
        <v>6416</v>
      </c>
      <c r="G302" s="1" t="s">
        <v>74</v>
      </c>
      <c r="H302" s="1" t="s">
        <v>74</v>
      </c>
      <c r="I302" s="1" t="s">
        <v>6417</v>
      </c>
      <c r="J302" s="1" t="s">
        <v>6418</v>
      </c>
      <c r="K302" s="1" t="s">
        <v>74</v>
      </c>
      <c r="L302" s="1" t="s">
        <v>74</v>
      </c>
      <c r="M302" s="1" t="s">
        <v>6419</v>
      </c>
      <c r="N302" s="1" t="s">
        <v>136</v>
      </c>
      <c r="O302" s="1" t="s">
        <v>74</v>
      </c>
      <c r="P302" s="1" t="s">
        <v>74</v>
      </c>
      <c r="Q302" s="1" t="s">
        <v>74</v>
      </c>
      <c r="R302" s="1" t="s">
        <v>74</v>
      </c>
      <c r="S302" s="1" t="s">
        <v>74</v>
      </c>
      <c r="T302" s="1" t="s">
        <v>6420</v>
      </c>
      <c r="U302" s="1" t="s">
        <v>74</v>
      </c>
      <c r="V302" s="1" t="s">
        <v>6421</v>
      </c>
      <c r="W302" s="1" t="s">
        <v>6422</v>
      </c>
      <c r="X302" s="1" t="s">
        <v>6423</v>
      </c>
      <c r="Y302" s="1" t="s">
        <v>6424</v>
      </c>
      <c r="Z302" s="1" t="s">
        <v>6425</v>
      </c>
      <c r="AA302" s="1" t="s">
        <v>74</v>
      </c>
      <c r="AB302" s="1" t="s">
        <v>74</v>
      </c>
      <c r="AC302" s="1" t="s">
        <v>74</v>
      </c>
      <c r="AD302" s="1" t="s">
        <v>74</v>
      </c>
      <c r="AE302" s="1" t="s">
        <v>74</v>
      </c>
      <c r="AF302" s="1" t="s">
        <v>74</v>
      </c>
      <c r="AG302" s="1">
        <v>28.0</v>
      </c>
      <c r="AH302" s="1">
        <v>0.0</v>
      </c>
      <c r="AI302" s="1">
        <v>0.0</v>
      </c>
      <c r="AJ302" s="1">
        <v>9.0</v>
      </c>
      <c r="AK302" s="1">
        <v>13.0</v>
      </c>
      <c r="AL302" s="1" t="s">
        <v>6426</v>
      </c>
      <c r="AM302" s="1" t="s">
        <v>6427</v>
      </c>
      <c r="AN302" s="1" t="s">
        <v>6428</v>
      </c>
      <c r="AO302" s="1" t="s">
        <v>74</v>
      </c>
      <c r="AP302" s="1" t="s">
        <v>6429</v>
      </c>
      <c r="AQ302" s="1" t="s">
        <v>74</v>
      </c>
      <c r="AR302" s="1" t="s">
        <v>6430</v>
      </c>
      <c r="AS302" s="1" t="s">
        <v>6431</v>
      </c>
      <c r="AT302" s="1" t="s">
        <v>328</v>
      </c>
      <c r="AU302" s="1">
        <v>2024.0</v>
      </c>
      <c r="AV302" s="1">
        <v>7.0</v>
      </c>
      <c r="AW302" s="1">
        <v>1.0</v>
      </c>
      <c r="AX302" s="1" t="s">
        <v>74</v>
      </c>
      <c r="AY302" s="1" t="s">
        <v>74</v>
      </c>
      <c r="AZ302" s="1" t="s">
        <v>74</v>
      </c>
      <c r="BA302" s="1" t="s">
        <v>74</v>
      </c>
      <c r="BB302" s="1">
        <v>37.0</v>
      </c>
      <c r="BC302" s="1">
        <v>59.0</v>
      </c>
      <c r="BD302" s="1" t="s">
        <v>74</v>
      </c>
      <c r="BE302" s="1" t="s">
        <v>6432</v>
      </c>
      <c r="BF302" s="2" t="str">
        <f>HYPERLINK("http://dx.doi.org/10.52637/kiid.1426977","http://dx.doi.org/10.52637/kiid.1426977")</f>
        <v>http://dx.doi.org/10.52637/kiid.1426977</v>
      </c>
      <c r="BG302" s="1" t="s">
        <v>74</v>
      </c>
      <c r="BH302" s="1" t="s">
        <v>74</v>
      </c>
      <c r="BI302" s="1">
        <v>23.0</v>
      </c>
      <c r="BJ302" s="1" t="s">
        <v>2646</v>
      </c>
      <c r="BK302" s="1" t="s">
        <v>172</v>
      </c>
      <c r="BL302" s="1" t="s">
        <v>2646</v>
      </c>
      <c r="BM302" s="1" t="s">
        <v>6433</v>
      </c>
      <c r="BN302" s="1" t="s">
        <v>74</v>
      </c>
      <c r="BO302" s="1" t="s">
        <v>174</v>
      </c>
      <c r="BP302" s="1" t="s">
        <v>74</v>
      </c>
      <c r="BQ302" s="1" t="s">
        <v>74</v>
      </c>
      <c r="BR302" s="1" t="s">
        <v>102</v>
      </c>
      <c r="BS302" s="1" t="s">
        <v>6434</v>
      </c>
      <c r="BT302" s="1" t="str">
        <f>HYPERLINK("https%3A%2F%2Fwww.webofscience.com%2Fwos%2Fwoscc%2Ffull-record%2FWOS:001250589600004","View Full Record in Web of Science")</f>
        <v>View Full Record in Web of Science</v>
      </c>
    </row>
    <row r="303" ht="12.75" customHeight="1">
      <c r="A303" s="1" t="s">
        <v>132</v>
      </c>
      <c r="B303" s="1" t="s">
        <v>6435</v>
      </c>
      <c r="C303" s="1" t="s">
        <v>74</v>
      </c>
      <c r="D303" s="1" t="s">
        <v>74</v>
      </c>
      <c r="E303" s="1" t="s">
        <v>74</v>
      </c>
      <c r="F303" s="1" t="s">
        <v>6436</v>
      </c>
      <c r="G303" s="1" t="s">
        <v>74</v>
      </c>
      <c r="H303" s="1" t="s">
        <v>74</v>
      </c>
      <c r="I303" s="1" t="s">
        <v>6437</v>
      </c>
      <c r="J303" s="1" t="s">
        <v>6438</v>
      </c>
      <c r="K303" s="1" t="s">
        <v>74</v>
      </c>
      <c r="L303" s="1" t="s">
        <v>74</v>
      </c>
      <c r="M303" s="1" t="s">
        <v>80</v>
      </c>
      <c r="N303" s="1" t="s">
        <v>136</v>
      </c>
      <c r="O303" s="1" t="s">
        <v>74</v>
      </c>
      <c r="P303" s="1" t="s">
        <v>74</v>
      </c>
      <c r="Q303" s="1" t="s">
        <v>74</v>
      </c>
      <c r="R303" s="1" t="s">
        <v>74</v>
      </c>
      <c r="S303" s="1" t="s">
        <v>74</v>
      </c>
      <c r="T303" s="1" t="s">
        <v>6439</v>
      </c>
      <c r="U303" s="1" t="s">
        <v>6440</v>
      </c>
      <c r="V303" s="1" t="s">
        <v>6441</v>
      </c>
      <c r="W303" s="1" t="s">
        <v>6442</v>
      </c>
      <c r="X303" s="1" t="s">
        <v>2719</v>
      </c>
      <c r="Y303" s="1" t="s">
        <v>6443</v>
      </c>
      <c r="Z303" s="1" t="s">
        <v>6444</v>
      </c>
      <c r="AA303" s="1" t="s">
        <v>6445</v>
      </c>
      <c r="AB303" s="1" t="s">
        <v>6446</v>
      </c>
      <c r="AC303" s="1" t="s">
        <v>6447</v>
      </c>
      <c r="AD303" s="1" t="s">
        <v>6447</v>
      </c>
      <c r="AE303" s="1" t="s">
        <v>6448</v>
      </c>
      <c r="AF303" s="1" t="s">
        <v>74</v>
      </c>
      <c r="AG303" s="1">
        <v>78.0</v>
      </c>
      <c r="AH303" s="1">
        <v>40.0</v>
      </c>
      <c r="AI303" s="1">
        <v>41.0</v>
      </c>
      <c r="AJ303" s="1">
        <v>21.0</v>
      </c>
      <c r="AK303" s="1">
        <v>194.0</v>
      </c>
      <c r="AL303" s="1" t="s">
        <v>1528</v>
      </c>
      <c r="AM303" s="1" t="s">
        <v>1529</v>
      </c>
      <c r="AN303" s="1" t="s">
        <v>1530</v>
      </c>
      <c r="AO303" s="1" t="s">
        <v>6449</v>
      </c>
      <c r="AP303" s="1" t="s">
        <v>6450</v>
      </c>
      <c r="AQ303" s="1" t="s">
        <v>74</v>
      </c>
      <c r="AR303" s="1" t="s">
        <v>6451</v>
      </c>
      <c r="AS303" s="1" t="s">
        <v>6452</v>
      </c>
      <c r="AT303" s="1" t="s">
        <v>1709</v>
      </c>
      <c r="AU303" s="1">
        <v>2021.0</v>
      </c>
      <c r="AV303" s="1">
        <v>31.0</v>
      </c>
      <c r="AW303" s="1">
        <v>3.0</v>
      </c>
      <c r="AX303" s="1" t="s">
        <v>74</v>
      </c>
      <c r="AY303" s="1" t="s">
        <v>74</v>
      </c>
      <c r="AZ303" s="1" t="s">
        <v>74</v>
      </c>
      <c r="BA303" s="1" t="s">
        <v>74</v>
      </c>
      <c r="BB303" s="1">
        <v>601.0</v>
      </c>
      <c r="BC303" s="1">
        <v>617.0</v>
      </c>
      <c r="BD303" s="1" t="s">
        <v>74</v>
      </c>
      <c r="BE303" s="1" t="s">
        <v>6453</v>
      </c>
      <c r="BF303" s="2" t="str">
        <f>HYPERLINK("http://dx.doi.org/10.1007/s12525-020-00433-4","http://dx.doi.org/10.1007/s12525-020-00433-4")</f>
        <v>http://dx.doi.org/10.1007/s12525-020-00433-4</v>
      </c>
      <c r="BG303" s="1" t="s">
        <v>74</v>
      </c>
      <c r="BH303" s="1" t="s">
        <v>6454</v>
      </c>
      <c r="BI303" s="1">
        <v>17.0</v>
      </c>
      <c r="BJ303" s="1" t="s">
        <v>1509</v>
      </c>
      <c r="BK303" s="1" t="s">
        <v>203</v>
      </c>
      <c r="BL303" s="1" t="s">
        <v>204</v>
      </c>
      <c r="BM303" s="1" t="s">
        <v>6455</v>
      </c>
      <c r="BN303" s="1">
        <v>3.8624486E7</v>
      </c>
      <c r="BO303" s="1" t="s">
        <v>1004</v>
      </c>
      <c r="BP303" s="1" t="s">
        <v>74</v>
      </c>
      <c r="BQ303" s="1" t="s">
        <v>74</v>
      </c>
      <c r="BR303" s="1" t="s">
        <v>102</v>
      </c>
      <c r="BS303" s="1" t="s">
        <v>6456</v>
      </c>
      <c r="BT303" s="1" t="str">
        <f>HYPERLINK("https%3A%2F%2Fwww.webofscience.com%2Fwos%2Fwoscc%2Ffull-record%2FWOS:000566881600001","View Full Record in Web of Science")</f>
        <v>View Full Record in Web of Science</v>
      </c>
    </row>
    <row r="304" ht="12.75" customHeight="1">
      <c r="A304" s="1" t="s">
        <v>132</v>
      </c>
      <c r="B304" s="1" t="s">
        <v>6457</v>
      </c>
      <c r="C304" s="1" t="s">
        <v>74</v>
      </c>
      <c r="D304" s="1" t="s">
        <v>74</v>
      </c>
      <c r="E304" s="1" t="s">
        <v>74</v>
      </c>
      <c r="F304" s="1" t="s">
        <v>6458</v>
      </c>
      <c r="G304" s="1" t="s">
        <v>74</v>
      </c>
      <c r="H304" s="1" t="s">
        <v>74</v>
      </c>
      <c r="I304" s="1" t="s">
        <v>6459</v>
      </c>
      <c r="J304" s="1" t="s">
        <v>6460</v>
      </c>
      <c r="K304" s="1" t="s">
        <v>74</v>
      </c>
      <c r="L304" s="1" t="s">
        <v>74</v>
      </c>
      <c r="M304" s="1" t="s">
        <v>80</v>
      </c>
      <c r="N304" s="1" t="s">
        <v>1010</v>
      </c>
      <c r="O304" s="1" t="s">
        <v>74</v>
      </c>
      <c r="P304" s="1" t="s">
        <v>74</v>
      </c>
      <c r="Q304" s="1" t="s">
        <v>74</v>
      </c>
      <c r="R304" s="1" t="s">
        <v>74</v>
      </c>
      <c r="S304" s="1" t="s">
        <v>74</v>
      </c>
      <c r="T304" s="1" t="s">
        <v>6461</v>
      </c>
      <c r="U304" s="1" t="s">
        <v>6462</v>
      </c>
      <c r="V304" s="1" t="s">
        <v>6463</v>
      </c>
      <c r="W304" s="1" t="s">
        <v>6464</v>
      </c>
      <c r="X304" s="1" t="s">
        <v>6465</v>
      </c>
      <c r="Y304" s="1" t="s">
        <v>6466</v>
      </c>
      <c r="Z304" s="1" t="s">
        <v>6467</v>
      </c>
      <c r="AA304" s="1" t="s">
        <v>6468</v>
      </c>
      <c r="AB304" s="1" t="s">
        <v>6469</v>
      </c>
      <c r="AC304" s="1" t="s">
        <v>6470</v>
      </c>
      <c r="AD304" s="1" t="s">
        <v>6471</v>
      </c>
      <c r="AE304" s="1" t="s">
        <v>6472</v>
      </c>
      <c r="AF304" s="1" t="s">
        <v>74</v>
      </c>
      <c r="AG304" s="1">
        <v>18.0</v>
      </c>
      <c r="AH304" s="1">
        <v>111.0</v>
      </c>
      <c r="AI304" s="1">
        <v>114.0</v>
      </c>
      <c r="AJ304" s="1">
        <v>10.0</v>
      </c>
      <c r="AK304" s="1">
        <v>60.0</v>
      </c>
      <c r="AL304" s="1" t="s">
        <v>2616</v>
      </c>
      <c r="AM304" s="1" t="s">
        <v>2617</v>
      </c>
      <c r="AN304" s="1" t="s">
        <v>6473</v>
      </c>
      <c r="AO304" s="1" t="s">
        <v>6474</v>
      </c>
      <c r="AP304" s="1" t="s">
        <v>74</v>
      </c>
      <c r="AQ304" s="1" t="s">
        <v>74</v>
      </c>
      <c r="AR304" s="1" t="s">
        <v>6475</v>
      </c>
      <c r="AS304" s="1" t="s">
        <v>6476</v>
      </c>
      <c r="AT304" s="1" t="s">
        <v>6477</v>
      </c>
      <c r="AU304" s="1">
        <v>2020.0</v>
      </c>
      <c r="AV304" s="1">
        <v>22.0</v>
      </c>
      <c r="AW304" s="1">
        <v>2.0</v>
      </c>
      <c r="AX304" s="1" t="s">
        <v>74</v>
      </c>
      <c r="AY304" s="1" t="s">
        <v>74</v>
      </c>
      <c r="AZ304" s="1" t="s">
        <v>74</v>
      </c>
      <c r="BA304" s="1" t="s">
        <v>74</v>
      </c>
      <c r="BB304" s="1" t="s">
        <v>74</v>
      </c>
      <c r="BC304" s="1" t="s">
        <v>74</v>
      </c>
      <c r="BD304" s="1" t="s">
        <v>6478</v>
      </c>
      <c r="BE304" s="1" t="s">
        <v>6479</v>
      </c>
      <c r="BF304" s="2" t="str">
        <f>HYPERLINK("http://dx.doi.org/10.2196/16866","http://dx.doi.org/10.2196/16866")</f>
        <v>http://dx.doi.org/10.2196/16866</v>
      </c>
      <c r="BG304" s="1" t="s">
        <v>74</v>
      </c>
      <c r="BH304" s="1" t="s">
        <v>74</v>
      </c>
      <c r="BI304" s="1">
        <v>8.0</v>
      </c>
      <c r="BJ304" s="1" t="s">
        <v>3025</v>
      </c>
      <c r="BK304" s="1" t="s">
        <v>149</v>
      </c>
      <c r="BL304" s="1" t="s">
        <v>3025</v>
      </c>
      <c r="BM304" s="1" t="s">
        <v>6480</v>
      </c>
      <c r="BN304" s="1">
        <v>3.2130134E7</v>
      </c>
      <c r="BO304" s="1" t="s">
        <v>1667</v>
      </c>
      <c r="BP304" s="1" t="s">
        <v>74</v>
      </c>
      <c r="BQ304" s="1" t="s">
        <v>74</v>
      </c>
      <c r="BR304" s="1" t="s">
        <v>102</v>
      </c>
      <c r="BS304" s="1" t="s">
        <v>6481</v>
      </c>
      <c r="BT304" s="1" t="str">
        <f>HYPERLINK("https%3A%2F%2Fwww.webofscience.com%2Fwos%2Fwoscc%2Ffull-record%2FWOS:000514672000001","View Full Record in Web of Science")</f>
        <v>View Full Record in Web of Science</v>
      </c>
    </row>
    <row r="305" ht="12.75" customHeight="1">
      <c r="A305" s="1" t="s">
        <v>132</v>
      </c>
      <c r="B305" s="1" t="s">
        <v>6482</v>
      </c>
      <c r="C305" s="1" t="s">
        <v>74</v>
      </c>
      <c r="D305" s="1" t="s">
        <v>74</v>
      </c>
      <c r="E305" s="1" t="s">
        <v>74</v>
      </c>
      <c r="F305" s="1" t="s">
        <v>6483</v>
      </c>
      <c r="G305" s="1" t="s">
        <v>74</v>
      </c>
      <c r="H305" s="1" t="s">
        <v>74</v>
      </c>
      <c r="I305" s="1" t="s">
        <v>6484</v>
      </c>
      <c r="J305" s="1" t="s">
        <v>6485</v>
      </c>
      <c r="K305" s="1" t="s">
        <v>74</v>
      </c>
      <c r="L305" s="1" t="s">
        <v>74</v>
      </c>
      <c r="M305" s="1" t="s">
        <v>80</v>
      </c>
      <c r="N305" s="1" t="s">
        <v>136</v>
      </c>
      <c r="O305" s="1" t="s">
        <v>74</v>
      </c>
      <c r="P305" s="1" t="s">
        <v>74</v>
      </c>
      <c r="Q305" s="1" t="s">
        <v>74</v>
      </c>
      <c r="R305" s="1" t="s">
        <v>74</v>
      </c>
      <c r="S305" s="1" t="s">
        <v>74</v>
      </c>
      <c r="T305" s="1" t="s">
        <v>6486</v>
      </c>
      <c r="U305" s="1" t="s">
        <v>6487</v>
      </c>
      <c r="V305" s="1" t="s">
        <v>6488</v>
      </c>
      <c r="W305" s="1" t="s">
        <v>6489</v>
      </c>
      <c r="X305" s="1" t="s">
        <v>6490</v>
      </c>
      <c r="Y305" s="1" t="s">
        <v>6491</v>
      </c>
      <c r="Z305" s="1" t="s">
        <v>6492</v>
      </c>
      <c r="AA305" s="1" t="s">
        <v>74</v>
      </c>
      <c r="AB305" s="1" t="s">
        <v>6493</v>
      </c>
      <c r="AC305" s="1" t="s">
        <v>74</v>
      </c>
      <c r="AD305" s="1" t="s">
        <v>74</v>
      </c>
      <c r="AE305" s="1" t="s">
        <v>74</v>
      </c>
      <c r="AF305" s="1" t="s">
        <v>74</v>
      </c>
      <c r="AG305" s="1">
        <v>51.0</v>
      </c>
      <c r="AH305" s="1">
        <v>325.0</v>
      </c>
      <c r="AI305" s="1">
        <v>351.0</v>
      </c>
      <c r="AJ305" s="1">
        <v>23.0</v>
      </c>
      <c r="AK305" s="1">
        <v>105.0</v>
      </c>
      <c r="AL305" s="1" t="s">
        <v>6494</v>
      </c>
      <c r="AM305" s="1" t="s">
        <v>349</v>
      </c>
      <c r="AN305" s="1" t="s">
        <v>6495</v>
      </c>
      <c r="AO305" s="1" t="s">
        <v>6496</v>
      </c>
      <c r="AP305" s="1" t="s">
        <v>74</v>
      </c>
      <c r="AQ305" s="1" t="s">
        <v>74</v>
      </c>
      <c r="AR305" s="1" t="s">
        <v>6485</v>
      </c>
      <c r="AS305" s="1" t="s">
        <v>6497</v>
      </c>
      <c r="AT305" s="1" t="s">
        <v>6498</v>
      </c>
      <c r="AU305" s="1">
        <v>2019.0</v>
      </c>
      <c r="AV305" s="1">
        <v>7.0</v>
      </c>
      <c r="AW305" s="1" t="s">
        <v>74</v>
      </c>
      <c r="AX305" s="1" t="s">
        <v>74</v>
      </c>
      <c r="AY305" s="1" t="s">
        <v>74</v>
      </c>
      <c r="AZ305" s="1" t="s">
        <v>74</v>
      </c>
      <c r="BA305" s="1" t="s">
        <v>74</v>
      </c>
      <c r="BB305" s="1" t="s">
        <v>74</v>
      </c>
      <c r="BC305" s="1" t="s">
        <v>74</v>
      </c>
      <c r="BD305" s="1" t="s">
        <v>6499</v>
      </c>
      <c r="BE305" s="1" t="s">
        <v>6500</v>
      </c>
      <c r="BF305" s="2" t="str">
        <f>HYPERLINK("http://dx.doi.org/10.7717/peerj.7702","http://dx.doi.org/10.7717/peerj.7702")</f>
        <v>http://dx.doi.org/10.7717/peerj.7702</v>
      </c>
      <c r="BG305" s="1" t="s">
        <v>74</v>
      </c>
      <c r="BH305" s="1" t="s">
        <v>74</v>
      </c>
      <c r="BI305" s="1">
        <v>19.0</v>
      </c>
      <c r="BJ305" s="1" t="s">
        <v>4714</v>
      </c>
      <c r="BK305" s="1" t="s">
        <v>149</v>
      </c>
      <c r="BL305" s="1" t="s">
        <v>4715</v>
      </c>
      <c r="BM305" s="1" t="s">
        <v>6501</v>
      </c>
      <c r="BN305" s="1">
        <v>3.1592346E7</v>
      </c>
      <c r="BO305" s="1" t="s">
        <v>284</v>
      </c>
      <c r="BP305" s="1" t="s">
        <v>74</v>
      </c>
      <c r="BQ305" s="1" t="s">
        <v>74</v>
      </c>
      <c r="BR305" s="1" t="s">
        <v>102</v>
      </c>
      <c r="BS305" s="1" t="s">
        <v>6502</v>
      </c>
      <c r="BT305" s="1" t="str">
        <f>HYPERLINK("https%3A%2F%2Fwww.webofscience.com%2Fwos%2Fwoscc%2Ffull-record%2FWOS:000489022700002","View Full Record in Web of Science")</f>
        <v>View Full Record in Web of Science</v>
      </c>
    </row>
    <row r="306" ht="12.75" customHeight="1">
      <c r="A306" s="1" t="s">
        <v>132</v>
      </c>
      <c r="B306" s="1" t="s">
        <v>6503</v>
      </c>
      <c r="C306" s="1" t="s">
        <v>74</v>
      </c>
      <c r="D306" s="1" t="s">
        <v>74</v>
      </c>
      <c r="E306" s="1" t="s">
        <v>74</v>
      </c>
      <c r="F306" s="1" t="s">
        <v>6504</v>
      </c>
      <c r="G306" s="1" t="s">
        <v>74</v>
      </c>
      <c r="H306" s="1" t="s">
        <v>74</v>
      </c>
      <c r="I306" s="1" t="s">
        <v>6505</v>
      </c>
      <c r="J306" s="1" t="s">
        <v>1602</v>
      </c>
      <c r="K306" s="1" t="s">
        <v>74</v>
      </c>
      <c r="L306" s="1" t="s">
        <v>74</v>
      </c>
      <c r="M306" s="1" t="s">
        <v>80</v>
      </c>
      <c r="N306" s="1" t="s">
        <v>136</v>
      </c>
      <c r="O306" s="1" t="s">
        <v>74</v>
      </c>
      <c r="P306" s="1" t="s">
        <v>74</v>
      </c>
      <c r="Q306" s="1" t="s">
        <v>74</v>
      </c>
      <c r="R306" s="1" t="s">
        <v>74</v>
      </c>
      <c r="S306" s="1" t="s">
        <v>74</v>
      </c>
      <c r="T306" s="1" t="s">
        <v>6506</v>
      </c>
      <c r="U306" s="1" t="s">
        <v>6507</v>
      </c>
      <c r="V306" s="1" t="s">
        <v>6508</v>
      </c>
      <c r="W306" s="1" t="s">
        <v>6509</v>
      </c>
      <c r="X306" s="1" t="s">
        <v>6510</v>
      </c>
      <c r="Y306" s="1" t="s">
        <v>6511</v>
      </c>
      <c r="Z306" s="1" t="s">
        <v>6512</v>
      </c>
      <c r="AA306" s="1" t="s">
        <v>6513</v>
      </c>
      <c r="AB306" s="1" t="s">
        <v>6514</v>
      </c>
      <c r="AC306" s="1" t="s">
        <v>74</v>
      </c>
      <c r="AD306" s="1" t="s">
        <v>74</v>
      </c>
      <c r="AE306" s="1" t="s">
        <v>74</v>
      </c>
      <c r="AF306" s="1" t="s">
        <v>74</v>
      </c>
      <c r="AG306" s="1">
        <v>35.0</v>
      </c>
      <c r="AH306" s="1">
        <v>104.0</v>
      </c>
      <c r="AI306" s="1">
        <v>110.0</v>
      </c>
      <c r="AJ306" s="1">
        <v>10.0</v>
      </c>
      <c r="AK306" s="1">
        <v>62.0</v>
      </c>
      <c r="AL306" s="1" t="s">
        <v>1612</v>
      </c>
      <c r="AM306" s="1" t="s">
        <v>1613</v>
      </c>
      <c r="AN306" s="1" t="s">
        <v>1614</v>
      </c>
      <c r="AO306" s="1" t="s">
        <v>1615</v>
      </c>
      <c r="AP306" s="1" t="s">
        <v>74</v>
      </c>
      <c r="AQ306" s="1" t="s">
        <v>74</v>
      </c>
      <c r="AR306" s="1" t="s">
        <v>1602</v>
      </c>
      <c r="AS306" s="1" t="s">
        <v>1616</v>
      </c>
      <c r="AT306" s="1" t="s">
        <v>74</v>
      </c>
      <c r="AU306" s="1">
        <v>2018.0</v>
      </c>
      <c r="AV306" s="1">
        <v>6.0</v>
      </c>
      <c r="AW306" s="1" t="s">
        <v>74</v>
      </c>
      <c r="AX306" s="1" t="s">
        <v>74</v>
      </c>
      <c r="AY306" s="1" t="s">
        <v>74</v>
      </c>
      <c r="AZ306" s="1" t="s">
        <v>74</v>
      </c>
      <c r="BA306" s="1" t="s">
        <v>74</v>
      </c>
      <c r="BB306" s="1">
        <v>34403.0</v>
      </c>
      <c r="BC306" s="1">
        <v>34421.0</v>
      </c>
      <c r="BD306" s="1" t="s">
        <v>74</v>
      </c>
      <c r="BE306" s="1" t="s">
        <v>6515</v>
      </c>
      <c r="BF306" s="2" t="str">
        <f>HYPERLINK("http://dx.doi.org/10.1109/ACCESS.2018.2819688","http://dx.doi.org/10.1109/ACCESS.2018.2819688")</f>
        <v>http://dx.doi.org/10.1109/ACCESS.2018.2819688</v>
      </c>
      <c r="BG306" s="1" t="s">
        <v>74</v>
      </c>
      <c r="BH306" s="1" t="s">
        <v>74</v>
      </c>
      <c r="BI306" s="1">
        <v>19.0</v>
      </c>
      <c r="BJ306" s="1" t="s">
        <v>1618</v>
      </c>
      <c r="BK306" s="1" t="s">
        <v>783</v>
      </c>
      <c r="BL306" s="1" t="s">
        <v>1619</v>
      </c>
      <c r="BM306" s="1" t="s">
        <v>6516</v>
      </c>
      <c r="BN306" s="1" t="s">
        <v>74</v>
      </c>
      <c r="BO306" s="1" t="s">
        <v>174</v>
      </c>
      <c r="BP306" s="1" t="s">
        <v>74</v>
      </c>
      <c r="BQ306" s="1" t="s">
        <v>74</v>
      </c>
      <c r="BR306" s="1" t="s">
        <v>102</v>
      </c>
      <c r="BS306" s="1" t="s">
        <v>6517</v>
      </c>
      <c r="BT306" s="1" t="str">
        <f>HYPERLINK("https%3A%2F%2Fwww.webofscience.com%2Fwos%2Fwoscc%2Ffull-record%2FWOS:000439222700017","View Full Record in Web of Science")</f>
        <v>View Full Record in Web of Science</v>
      </c>
    </row>
    <row r="307" ht="12.75" customHeight="1">
      <c r="A307" s="1" t="s">
        <v>132</v>
      </c>
      <c r="B307" s="1" t="s">
        <v>6518</v>
      </c>
      <c r="C307" s="1" t="s">
        <v>74</v>
      </c>
      <c r="D307" s="1" t="s">
        <v>74</v>
      </c>
      <c r="E307" s="1" t="s">
        <v>74</v>
      </c>
      <c r="F307" s="1" t="s">
        <v>6519</v>
      </c>
      <c r="G307" s="1" t="s">
        <v>74</v>
      </c>
      <c r="H307" s="1" t="s">
        <v>74</v>
      </c>
      <c r="I307" s="1" t="s">
        <v>6520</v>
      </c>
      <c r="J307" s="1" t="s">
        <v>6521</v>
      </c>
      <c r="K307" s="1" t="s">
        <v>74</v>
      </c>
      <c r="L307" s="1" t="s">
        <v>74</v>
      </c>
      <c r="M307" s="1" t="s">
        <v>80</v>
      </c>
      <c r="N307" s="1" t="s">
        <v>136</v>
      </c>
      <c r="O307" s="1" t="s">
        <v>74</v>
      </c>
      <c r="P307" s="1" t="s">
        <v>74</v>
      </c>
      <c r="Q307" s="1" t="s">
        <v>74</v>
      </c>
      <c r="R307" s="1" t="s">
        <v>74</v>
      </c>
      <c r="S307" s="1" t="s">
        <v>74</v>
      </c>
      <c r="T307" s="1" t="s">
        <v>6522</v>
      </c>
      <c r="U307" s="1" t="s">
        <v>6523</v>
      </c>
      <c r="V307" s="1" t="s">
        <v>6524</v>
      </c>
      <c r="W307" s="1" t="s">
        <v>6525</v>
      </c>
      <c r="X307" s="1" t="s">
        <v>6526</v>
      </c>
      <c r="Y307" s="1" t="s">
        <v>6527</v>
      </c>
      <c r="Z307" s="1" t="s">
        <v>6528</v>
      </c>
      <c r="AA307" s="1" t="s">
        <v>6529</v>
      </c>
      <c r="AB307" s="1" t="s">
        <v>6530</v>
      </c>
      <c r="AC307" s="1" t="s">
        <v>6531</v>
      </c>
      <c r="AD307" s="1" t="s">
        <v>6532</v>
      </c>
      <c r="AE307" s="1" t="s">
        <v>6533</v>
      </c>
      <c r="AF307" s="1" t="s">
        <v>74</v>
      </c>
      <c r="AG307" s="1">
        <v>55.0</v>
      </c>
      <c r="AH307" s="1">
        <v>6.0</v>
      </c>
      <c r="AI307" s="1">
        <v>6.0</v>
      </c>
      <c r="AJ307" s="1">
        <v>11.0</v>
      </c>
      <c r="AK307" s="1">
        <v>37.0</v>
      </c>
      <c r="AL307" s="1" t="s">
        <v>1571</v>
      </c>
      <c r="AM307" s="1" t="s">
        <v>1572</v>
      </c>
      <c r="AN307" s="1" t="s">
        <v>1573</v>
      </c>
      <c r="AO307" s="1" t="s">
        <v>6534</v>
      </c>
      <c r="AP307" s="1" t="s">
        <v>74</v>
      </c>
      <c r="AQ307" s="1" t="s">
        <v>74</v>
      </c>
      <c r="AR307" s="1" t="s">
        <v>6535</v>
      </c>
      <c r="AS307" s="1" t="s">
        <v>6536</v>
      </c>
      <c r="AT307" s="1" t="s">
        <v>1279</v>
      </c>
      <c r="AU307" s="1">
        <v>2023.0</v>
      </c>
      <c r="AV307" s="1">
        <v>10.0</v>
      </c>
      <c r="AW307" s="1">
        <v>2.0</v>
      </c>
      <c r="AX307" s="1" t="s">
        <v>74</v>
      </c>
      <c r="AY307" s="1" t="s">
        <v>74</v>
      </c>
      <c r="AZ307" s="1" t="s">
        <v>74</v>
      </c>
      <c r="BA307" s="1" t="s">
        <v>74</v>
      </c>
      <c r="BB307" s="1" t="s">
        <v>74</v>
      </c>
      <c r="BC307" s="1" t="s">
        <v>74</v>
      </c>
      <c r="BD307" s="1">
        <v>2.0539517231180576E16</v>
      </c>
      <c r="BE307" s="1" t="s">
        <v>6537</v>
      </c>
      <c r="BF307" s="2" t="str">
        <f>HYPERLINK("http://dx.doi.org/10.1177/20539517231180577","http://dx.doi.org/10.1177/20539517231180577")</f>
        <v>http://dx.doi.org/10.1177/20539517231180577</v>
      </c>
      <c r="BG307" s="1" t="s">
        <v>74</v>
      </c>
      <c r="BH307" s="1" t="s">
        <v>74</v>
      </c>
      <c r="BI307" s="1">
        <v>17.0</v>
      </c>
      <c r="BJ307" s="1" t="s">
        <v>98</v>
      </c>
      <c r="BK307" s="1" t="s">
        <v>203</v>
      </c>
      <c r="BL307" s="1" t="s">
        <v>100</v>
      </c>
      <c r="BM307" s="1" t="s">
        <v>6538</v>
      </c>
      <c r="BN307" s="1" t="s">
        <v>74</v>
      </c>
      <c r="BO307" s="1" t="s">
        <v>174</v>
      </c>
      <c r="BP307" s="1" t="s">
        <v>74</v>
      </c>
      <c r="BQ307" s="1" t="s">
        <v>74</v>
      </c>
      <c r="BR307" s="1" t="s">
        <v>102</v>
      </c>
      <c r="BS307" s="1" t="s">
        <v>6539</v>
      </c>
      <c r="BT307" s="1" t="str">
        <f>HYPERLINK("https%3A%2F%2Fwww.webofscience.com%2Fwos%2Fwoscc%2Ffull-record%2FWOS:001023699400001","View Full Record in Web of Science")</f>
        <v>View Full Record in Web of Science</v>
      </c>
    </row>
    <row r="308" ht="12.75" customHeight="1">
      <c r="A308" s="1" t="s">
        <v>132</v>
      </c>
      <c r="B308" s="1" t="s">
        <v>6540</v>
      </c>
      <c r="C308" s="1" t="s">
        <v>74</v>
      </c>
      <c r="D308" s="1" t="s">
        <v>74</v>
      </c>
      <c r="E308" s="1" t="s">
        <v>74</v>
      </c>
      <c r="F308" s="1" t="s">
        <v>6541</v>
      </c>
      <c r="G308" s="1" t="s">
        <v>74</v>
      </c>
      <c r="H308" s="1" t="s">
        <v>74</v>
      </c>
      <c r="I308" s="1" t="s">
        <v>6542</v>
      </c>
      <c r="J308" s="1" t="s">
        <v>6543</v>
      </c>
      <c r="K308" s="1" t="s">
        <v>74</v>
      </c>
      <c r="L308" s="1" t="s">
        <v>74</v>
      </c>
      <c r="M308" s="1" t="s">
        <v>80</v>
      </c>
      <c r="N308" s="1" t="s">
        <v>136</v>
      </c>
      <c r="O308" s="1" t="s">
        <v>74</v>
      </c>
      <c r="P308" s="1" t="s">
        <v>74</v>
      </c>
      <c r="Q308" s="1" t="s">
        <v>74</v>
      </c>
      <c r="R308" s="1" t="s">
        <v>74</v>
      </c>
      <c r="S308" s="1" t="s">
        <v>74</v>
      </c>
      <c r="T308" s="1" t="s">
        <v>6544</v>
      </c>
      <c r="U308" s="1" t="s">
        <v>74</v>
      </c>
      <c r="V308" s="1" t="s">
        <v>6545</v>
      </c>
      <c r="W308" s="1" t="s">
        <v>6546</v>
      </c>
      <c r="X308" s="1" t="s">
        <v>6547</v>
      </c>
      <c r="Y308" s="1" t="s">
        <v>6548</v>
      </c>
      <c r="Z308" s="1" t="s">
        <v>6549</v>
      </c>
      <c r="AA308" s="1" t="s">
        <v>6550</v>
      </c>
      <c r="AB308" s="1" t="s">
        <v>74</v>
      </c>
      <c r="AC308" s="1" t="s">
        <v>74</v>
      </c>
      <c r="AD308" s="1" t="s">
        <v>74</v>
      </c>
      <c r="AE308" s="1" t="s">
        <v>74</v>
      </c>
      <c r="AF308" s="1" t="s">
        <v>74</v>
      </c>
      <c r="AG308" s="1">
        <v>46.0</v>
      </c>
      <c r="AH308" s="1">
        <v>15.0</v>
      </c>
      <c r="AI308" s="1">
        <v>21.0</v>
      </c>
      <c r="AJ308" s="1">
        <v>6.0</v>
      </c>
      <c r="AK308" s="1">
        <v>24.0</v>
      </c>
      <c r="AL308" s="1" t="s">
        <v>1357</v>
      </c>
      <c r="AM308" s="1" t="s">
        <v>1358</v>
      </c>
      <c r="AN308" s="1" t="s">
        <v>1359</v>
      </c>
      <c r="AO308" s="1" t="s">
        <v>74</v>
      </c>
      <c r="AP308" s="1" t="s">
        <v>6551</v>
      </c>
      <c r="AQ308" s="1" t="s">
        <v>74</v>
      </c>
      <c r="AR308" s="1" t="s">
        <v>6552</v>
      </c>
      <c r="AS308" s="1" t="s">
        <v>6553</v>
      </c>
      <c r="AT308" s="1" t="s">
        <v>654</v>
      </c>
      <c r="AU308" s="1">
        <v>2021.0</v>
      </c>
      <c r="AV308" s="1">
        <v>3.0</v>
      </c>
      <c r="AW308" s="1">
        <v>6.0</v>
      </c>
      <c r="AX308" s="1" t="s">
        <v>74</v>
      </c>
      <c r="AY308" s="1" t="s">
        <v>74</v>
      </c>
      <c r="AZ308" s="1" t="s">
        <v>74</v>
      </c>
      <c r="BA308" s="1" t="s">
        <v>74</v>
      </c>
      <c r="BB308" s="1" t="s">
        <v>74</v>
      </c>
      <c r="BC308" s="1" t="s">
        <v>74</v>
      </c>
      <c r="BD308" s="1" t="s">
        <v>6554</v>
      </c>
      <c r="BE308" s="1" t="s">
        <v>6555</v>
      </c>
      <c r="BF308" s="2" t="str">
        <f>HYPERLINK("http://dx.doi.org/10.1002/wfs2.1418","http://dx.doi.org/10.1002/wfs2.1418")</f>
        <v>http://dx.doi.org/10.1002/wfs2.1418</v>
      </c>
      <c r="BG308" s="1" t="s">
        <v>74</v>
      </c>
      <c r="BH308" s="1" t="s">
        <v>74</v>
      </c>
      <c r="BI308" s="1">
        <v>17.0</v>
      </c>
      <c r="BJ308" s="1" t="s">
        <v>6556</v>
      </c>
      <c r="BK308" s="1" t="s">
        <v>172</v>
      </c>
      <c r="BL308" s="1" t="s">
        <v>6557</v>
      </c>
      <c r="BM308" s="1" t="s">
        <v>6558</v>
      </c>
      <c r="BN308" s="1" t="s">
        <v>74</v>
      </c>
      <c r="BO308" s="1" t="s">
        <v>74</v>
      </c>
      <c r="BP308" s="1" t="s">
        <v>74</v>
      </c>
      <c r="BQ308" s="1" t="s">
        <v>74</v>
      </c>
      <c r="BR308" s="1" t="s">
        <v>102</v>
      </c>
      <c r="BS308" s="1" t="s">
        <v>6559</v>
      </c>
      <c r="BT308" s="1" t="str">
        <f>HYPERLINK("https%3A%2F%2Fwww.webofscience.com%2Fwos%2Fwoscc%2Ffull-record%2FWOS:000904725800006","View Full Record in Web of Science")</f>
        <v>View Full Record in Web of Science</v>
      </c>
    </row>
    <row r="309" ht="12.75" customHeight="1">
      <c r="A309" s="1" t="s">
        <v>72</v>
      </c>
      <c r="B309" s="1" t="s">
        <v>6560</v>
      </c>
      <c r="C309" s="1" t="s">
        <v>74</v>
      </c>
      <c r="D309" s="1" t="s">
        <v>6561</v>
      </c>
      <c r="E309" s="1" t="s">
        <v>74</v>
      </c>
      <c r="F309" s="1" t="s">
        <v>6562</v>
      </c>
      <c r="G309" s="1" t="s">
        <v>74</v>
      </c>
      <c r="H309" s="1" t="s">
        <v>74</v>
      </c>
      <c r="I309" s="1" t="s">
        <v>6563</v>
      </c>
      <c r="J309" s="1" t="s">
        <v>6564</v>
      </c>
      <c r="K309" s="1" t="s">
        <v>6565</v>
      </c>
      <c r="L309" s="1" t="s">
        <v>74</v>
      </c>
      <c r="M309" s="1" t="s">
        <v>80</v>
      </c>
      <c r="N309" s="1" t="s">
        <v>81</v>
      </c>
      <c r="O309" s="1" t="s">
        <v>6566</v>
      </c>
      <c r="P309" s="1" t="s">
        <v>6567</v>
      </c>
      <c r="Q309" s="1" t="s">
        <v>2552</v>
      </c>
      <c r="R309" s="1" t="s">
        <v>6568</v>
      </c>
      <c r="S309" s="1" t="s">
        <v>74</v>
      </c>
      <c r="T309" s="1" t="s">
        <v>6569</v>
      </c>
      <c r="U309" s="1" t="s">
        <v>74</v>
      </c>
      <c r="V309" s="1" t="s">
        <v>6570</v>
      </c>
      <c r="W309" s="1" t="s">
        <v>6571</v>
      </c>
      <c r="X309" s="1" t="s">
        <v>6572</v>
      </c>
      <c r="Y309" s="1" t="s">
        <v>6573</v>
      </c>
      <c r="Z309" s="1" t="s">
        <v>74</v>
      </c>
      <c r="AA309" s="1" t="s">
        <v>6574</v>
      </c>
      <c r="AB309" s="1" t="s">
        <v>74</v>
      </c>
      <c r="AC309" s="1" t="s">
        <v>6575</v>
      </c>
      <c r="AD309" s="1" t="s">
        <v>6576</v>
      </c>
      <c r="AE309" s="1" t="s">
        <v>6577</v>
      </c>
      <c r="AF309" s="1" t="s">
        <v>74</v>
      </c>
      <c r="AG309" s="1">
        <v>4.0</v>
      </c>
      <c r="AH309" s="1">
        <v>0.0</v>
      </c>
      <c r="AI309" s="1">
        <v>0.0</v>
      </c>
      <c r="AJ309" s="1">
        <v>0.0</v>
      </c>
      <c r="AK309" s="1">
        <v>23.0</v>
      </c>
      <c r="AL309" s="1" t="s">
        <v>92</v>
      </c>
      <c r="AM309" s="1" t="s">
        <v>93</v>
      </c>
      <c r="AN309" s="1" t="s">
        <v>94</v>
      </c>
      <c r="AO309" s="1" t="s">
        <v>6578</v>
      </c>
      <c r="AP309" s="1" t="s">
        <v>74</v>
      </c>
      <c r="AQ309" s="1" t="s">
        <v>6579</v>
      </c>
      <c r="AR309" s="1" t="s">
        <v>6580</v>
      </c>
      <c r="AS309" s="1" t="s">
        <v>74</v>
      </c>
      <c r="AT309" s="1" t="s">
        <v>74</v>
      </c>
      <c r="AU309" s="1">
        <v>2017.0</v>
      </c>
      <c r="AV309" s="1">
        <v>150.0</v>
      </c>
      <c r="AW309" s="1" t="s">
        <v>74</v>
      </c>
      <c r="AX309" s="1" t="s">
        <v>74</v>
      </c>
      <c r="AY309" s="1" t="s">
        <v>74</v>
      </c>
      <c r="AZ309" s="1" t="s">
        <v>74</v>
      </c>
      <c r="BA309" s="1" t="s">
        <v>74</v>
      </c>
      <c r="BB309" s="1">
        <v>125.0</v>
      </c>
      <c r="BC309" s="1">
        <v>128.0</v>
      </c>
      <c r="BD309" s="1" t="s">
        <v>74</v>
      </c>
      <c r="BE309" s="1" t="s">
        <v>74</v>
      </c>
      <c r="BF309" s="1" t="s">
        <v>74</v>
      </c>
      <c r="BG309" s="1" t="s">
        <v>74</v>
      </c>
      <c r="BH309" s="1" t="s">
        <v>74</v>
      </c>
      <c r="BI309" s="1">
        <v>4.0</v>
      </c>
      <c r="BJ309" s="1" t="s">
        <v>6581</v>
      </c>
      <c r="BK309" s="1" t="s">
        <v>128</v>
      </c>
      <c r="BL309" s="1" t="s">
        <v>1325</v>
      </c>
      <c r="BM309" s="1" t="s">
        <v>6582</v>
      </c>
      <c r="BN309" s="1" t="s">
        <v>74</v>
      </c>
      <c r="BO309" s="1" t="s">
        <v>74</v>
      </c>
      <c r="BP309" s="1" t="s">
        <v>74</v>
      </c>
      <c r="BQ309" s="1" t="s">
        <v>74</v>
      </c>
      <c r="BR309" s="1" t="s">
        <v>102</v>
      </c>
      <c r="BS309" s="1" t="s">
        <v>6583</v>
      </c>
      <c r="BT309" s="1" t="str">
        <f>HYPERLINK("https%3A%2F%2Fwww.webofscience.com%2Fwos%2Fwoscc%2Ffull-record%2FWOS:000426645100028","View Full Record in Web of Science")</f>
        <v>View Full Record in Web of Science</v>
      </c>
    </row>
    <row r="310" ht="12.75" customHeight="1">
      <c r="A310" s="1" t="s">
        <v>72</v>
      </c>
      <c r="B310" s="1" t="s">
        <v>6584</v>
      </c>
      <c r="C310" s="1" t="s">
        <v>74</v>
      </c>
      <c r="D310" s="1" t="s">
        <v>6585</v>
      </c>
      <c r="E310" s="1" t="s">
        <v>74</v>
      </c>
      <c r="F310" s="1" t="s">
        <v>6586</v>
      </c>
      <c r="G310" s="1" t="s">
        <v>74</v>
      </c>
      <c r="H310" s="1" t="s">
        <v>74</v>
      </c>
      <c r="I310" s="1" t="s">
        <v>6587</v>
      </c>
      <c r="J310" s="1" t="s">
        <v>6588</v>
      </c>
      <c r="K310" s="1" t="s">
        <v>6589</v>
      </c>
      <c r="L310" s="1" t="s">
        <v>74</v>
      </c>
      <c r="M310" s="1" t="s">
        <v>80</v>
      </c>
      <c r="N310" s="1" t="s">
        <v>81</v>
      </c>
      <c r="O310" s="1" t="s">
        <v>6590</v>
      </c>
      <c r="P310" s="1" t="s">
        <v>6591</v>
      </c>
      <c r="Q310" s="1" t="s">
        <v>6592</v>
      </c>
      <c r="R310" s="1" t="s">
        <v>6593</v>
      </c>
      <c r="S310" s="1" t="s">
        <v>74</v>
      </c>
      <c r="T310" s="1" t="s">
        <v>6594</v>
      </c>
      <c r="U310" s="1" t="s">
        <v>74</v>
      </c>
      <c r="V310" s="1" t="s">
        <v>6595</v>
      </c>
      <c r="W310" s="1" t="s">
        <v>6596</v>
      </c>
      <c r="X310" s="1" t="s">
        <v>6597</v>
      </c>
      <c r="Y310" s="1" t="s">
        <v>6598</v>
      </c>
      <c r="Z310" s="1" t="s">
        <v>6599</v>
      </c>
      <c r="AA310" s="1" t="s">
        <v>74</v>
      </c>
      <c r="AB310" s="1" t="s">
        <v>74</v>
      </c>
      <c r="AC310" s="1" t="s">
        <v>74</v>
      </c>
      <c r="AD310" s="1" t="s">
        <v>74</v>
      </c>
      <c r="AE310" s="1" t="s">
        <v>74</v>
      </c>
      <c r="AF310" s="1" t="s">
        <v>74</v>
      </c>
      <c r="AG310" s="1">
        <v>35.0</v>
      </c>
      <c r="AH310" s="1">
        <v>0.0</v>
      </c>
      <c r="AI310" s="1">
        <v>0.0</v>
      </c>
      <c r="AJ310" s="1">
        <v>2.0</v>
      </c>
      <c r="AK310" s="1">
        <v>2.0</v>
      </c>
      <c r="AL310" s="1" t="s">
        <v>236</v>
      </c>
      <c r="AM310" s="1" t="s">
        <v>193</v>
      </c>
      <c r="AN310" s="1" t="s">
        <v>252</v>
      </c>
      <c r="AO310" s="1" t="s">
        <v>6600</v>
      </c>
      <c r="AP310" s="1" t="s">
        <v>74</v>
      </c>
      <c r="AQ310" s="1" t="s">
        <v>6601</v>
      </c>
      <c r="AR310" s="1" t="s">
        <v>6602</v>
      </c>
      <c r="AS310" s="1" t="s">
        <v>74</v>
      </c>
      <c r="AT310" s="1" t="s">
        <v>74</v>
      </c>
      <c r="AU310" s="1">
        <v>2024.0</v>
      </c>
      <c r="AV310" s="1" t="s">
        <v>74</v>
      </c>
      <c r="AW310" s="1" t="s">
        <v>74</v>
      </c>
      <c r="AX310" s="1" t="s">
        <v>74</v>
      </c>
      <c r="AY310" s="1" t="s">
        <v>74</v>
      </c>
      <c r="AZ310" s="1" t="s">
        <v>74</v>
      </c>
      <c r="BA310" s="1" t="s">
        <v>74</v>
      </c>
      <c r="BB310" s="1">
        <v>65.0</v>
      </c>
      <c r="BC310" s="1">
        <v>70.0</v>
      </c>
      <c r="BD310" s="1" t="s">
        <v>74</v>
      </c>
      <c r="BE310" s="1" t="s">
        <v>6603</v>
      </c>
      <c r="BF310" s="2" t="str">
        <f>HYPERLINK("http://dx.doi.org/10.1109/SACI60582.2024.10619820","http://dx.doi.org/10.1109/SACI60582.2024.10619820")</f>
        <v>http://dx.doi.org/10.1109/SACI60582.2024.10619820</v>
      </c>
      <c r="BG310" s="1" t="s">
        <v>74</v>
      </c>
      <c r="BH310" s="1" t="s">
        <v>74</v>
      </c>
      <c r="BI310" s="1">
        <v>6.0</v>
      </c>
      <c r="BJ310" s="1" t="s">
        <v>527</v>
      </c>
      <c r="BK310" s="1" t="s">
        <v>128</v>
      </c>
      <c r="BL310" s="1" t="s">
        <v>232</v>
      </c>
      <c r="BM310" s="1" t="s">
        <v>6604</v>
      </c>
      <c r="BN310" s="1" t="s">
        <v>74</v>
      </c>
      <c r="BO310" s="1" t="s">
        <v>74</v>
      </c>
      <c r="BP310" s="1" t="s">
        <v>74</v>
      </c>
      <c r="BQ310" s="1" t="s">
        <v>74</v>
      </c>
      <c r="BR310" s="1" t="s">
        <v>102</v>
      </c>
      <c r="BS310" s="1" t="s">
        <v>6605</v>
      </c>
      <c r="BT310" s="1" t="str">
        <f>HYPERLINK("https%3A%2F%2Fwww.webofscience.com%2Fwos%2Fwoscc%2Ffull-record%2FWOS:001301886500012","View Full Record in Web of Science")</f>
        <v>View Full Record in Web of Science</v>
      </c>
    </row>
    <row r="311" ht="12.75" customHeight="1">
      <c r="A311" s="1" t="s">
        <v>132</v>
      </c>
      <c r="B311" s="1" t="s">
        <v>6606</v>
      </c>
      <c r="C311" s="1" t="s">
        <v>74</v>
      </c>
      <c r="D311" s="1" t="s">
        <v>74</v>
      </c>
      <c r="E311" s="1" t="s">
        <v>74</v>
      </c>
      <c r="F311" s="1" t="s">
        <v>6607</v>
      </c>
      <c r="G311" s="1" t="s">
        <v>74</v>
      </c>
      <c r="H311" s="1" t="s">
        <v>74</v>
      </c>
      <c r="I311" s="1" t="s">
        <v>6608</v>
      </c>
      <c r="J311" s="1" t="s">
        <v>6609</v>
      </c>
      <c r="K311" s="1" t="s">
        <v>74</v>
      </c>
      <c r="L311" s="1" t="s">
        <v>74</v>
      </c>
      <c r="M311" s="1" t="s">
        <v>80</v>
      </c>
      <c r="N311" s="1" t="s">
        <v>1563</v>
      </c>
      <c r="O311" s="1" t="s">
        <v>74</v>
      </c>
      <c r="P311" s="1" t="s">
        <v>74</v>
      </c>
      <c r="Q311" s="1" t="s">
        <v>74</v>
      </c>
      <c r="R311" s="1" t="s">
        <v>74</v>
      </c>
      <c r="S311" s="1" t="s">
        <v>74</v>
      </c>
      <c r="T311" s="1" t="s">
        <v>6610</v>
      </c>
      <c r="U311" s="1" t="s">
        <v>6611</v>
      </c>
      <c r="V311" s="1" t="s">
        <v>6612</v>
      </c>
      <c r="W311" s="1" t="s">
        <v>6613</v>
      </c>
      <c r="X311" s="1" t="s">
        <v>6614</v>
      </c>
      <c r="Y311" s="1" t="s">
        <v>6615</v>
      </c>
      <c r="Z311" s="1" t="s">
        <v>6616</v>
      </c>
      <c r="AA311" s="1" t="s">
        <v>6617</v>
      </c>
      <c r="AB311" s="1" t="s">
        <v>6618</v>
      </c>
      <c r="AC311" s="1" t="s">
        <v>74</v>
      </c>
      <c r="AD311" s="1" t="s">
        <v>74</v>
      </c>
      <c r="AE311" s="1" t="s">
        <v>74</v>
      </c>
      <c r="AF311" s="1" t="s">
        <v>74</v>
      </c>
      <c r="AG311" s="1">
        <v>48.0</v>
      </c>
      <c r="AH311" s="1">
        <v>15.0</v>
      </c>
      <c r="AI311" s="1">
        <v>17.0</v>
      </c>
      <c r="AJ311" s="1">
        <v>5.0</v>
      </c>
      <c r="AK311" s="1">
        <v>54.0</v>
      </c>
      <c r="AL311" s="1" t="s">
        <v>1149</v>
      </c>
      <c r="AM311" s="1" t="s">
        <v>1150</v>
      </c>
      <c r="AN311" s="1" t="s">
        <v>1151</v>
      </c>
      <c r="AO311" s="1" t="s">
        <v>6619</v>
      </c>
      <c r="AP311" s="1" t="s">
        <v>6620</v>
      </c>
      <c r="AQ311" s="1" t="s">
        <v>74</v>
      </c>
      <c r="AR311" s="1" t="s">
        <v>6621</v>
      </c>
      <c r="AS311" s="1" t="s">
        <v>6622</v>
      </c>
      <c r="AT311" s="1" t="s">
        <v>6623</v>
      </c>
      <c r="AU311" s="1">
        <v>2018.0</v>
      </c>
      <c r="AV311" s="1">
        <v>66.0</v>
      </c>
      <c r="AW311" s="1">
        <v>4.0</v>
      </c>
      <c r="AX311" s="1" t="s">
        <v>74</v>
      </c>
      <c r="AY311" s="1" t="s">
        <v>74</v>
      </c>
      <c r="AZ311" s="1" t="s">
        <v>74</v>
      </c>
      <c r="BA311" s="1" t="s">
        <v>74</v>
      </c>
      <c r="BB311" s="1">
        <v>934.0</v>
      </c>
      <c r="BC311" s="1">
        <v>939.0</v>
      </c>
      <c r="BD311" s="1" t="s">
        <v>74</v>
      </c>
      <c r="BE311" s="1" t="s">
        <v>6624</v>
      </c>
      <c r="BF311" s="2" t="str">
        <f>HYPERLINK("http://dx.doi.org/10.4103/0028-3886.236971","http://dx.doi.org/10.4103/0028-3886.236971")</f>
        <v>http://dx.doi.org/10.4103/0028-3886.236971</v>
      </c>
      <c r="BG311" s="1" t="s">
        <v>74</v>
      </c>
      <c r="BH311" s="1" t="s">
        <v>74</v>
      </c>
      <c r="BI311" s="1">
        <v>6.0</v>
      </c>
      <c r="BJ311" s="1" t="s">
        <v>1053</v>
      </c>
      <c r="BK311" s="1" t="s">
        <v>149</v>
      </c>
      <c r="BL311" s="1" t="s">
        <v>1054</v>
      </c>
      <c r="BM311" s="1" t="s">
        <v>6625</v>
      </c>
      <c r="BN311" s="1">
        <v>3.0038071E7</v>
      </c>
      <c r="BO311" s="1" t="s">
        <v>74</v>
      </c>
      <c r="BP311" s="1" t="s">
        <v>74</v>
      </c>
      <c r="BQ311" s="1" t="s">
        <v>74</v>
      </c>
      <c r="BR311" s="1" t="s">
        <v>102</v>
      </c>
      <c r="BS311" s="1" t="s">
        <v>6626</v>
      </c>
      <c r="BT311" s="1" t="str">
        <f>HYPERLINK("https%3A%2F%2Fwww.webofscience.com%2Fwos%2Fwoscc%2Ffull-record%2FWOS:000447540700007","View Full Record in Web of Science")</f>
        <v>View Full Record in Web of Science</v>
      </c>
    </row>
    <row r="312" ht="12.75" customHeight="1">
      <c r="A312" s="1" t="s">
        <v>132</v>
      </c>
      <c r="B312" s="1" t="s">
        <v>6627</v>
      </c>
      <c r="C312" s="1" t="s">
        <v>74</v>
      </c>
      <c r="D312" s="1" t="s">
        <v>74</v>
      </c>
      <c r="E312" s="1" t="s">
        <v>74</v>
      </c>
      <c r="F312" s="1" t="s">
        <v>6628</v>
      </c>
      <c r="G312" s="1" t="s">
        <v>74</v>
      </c>
      <c r="H312" s="1" t="s">
        <v>74</v>
      </c>
      <c r="I312" s="1" t="s">
        <v>6629</v>
      </c>
      <c r="J312" s="1" t="s">
        <v>6630</v>
      </c>
      <c r="K312" s="1" t="s">
        <v>74</v>
      </c>
      <c r="L312" s="1" t="s">
        <v>74</v>
      </c>
      <c r="M312" s="1" t="s">
        <v>80</v>
      </c>
      <c r="N312" s="1" t="s">
        <v>136</v>
      </c>
      <c r="O312" s="1" t="s">
        <v>74</v>
      </c>
      <c r="P312" s="1" t="s">
        <v>74</v>
      </c>
      <c r="Q312" s="1" t="s">
        <v>74</v>
      </c>
      <c r="R312" s="1" t="s">
        <v>74</v>
      </c>
      <c r="S312" s="1" t="s">
        <v>74</v>
      </c>
      <c r="T312" s="1" t="s">
        <v>6631</v>
      </c>
      <c r="U312" s="1" t="s">
        <v>6632</v>
      </c>
      <c r="V312" s="1" t="s">
        <v>6633</v>
      </c>
      <c r="W312" s="1" t="s">
        <v>6634</v>
      </c>
      <c r="X312" s="1" t="s">
        <v>6635</v>
      </c>
      <c r="Y312" s="1" t="s">
        <v>6636</v>
      </c>
      <c r="Z312" s="1" t="s">
        <v>6637</v>
      </c>
      <c r="AA312" s="1" t="s">
        <v>6638</v>
      </c>
      <c r="AB312" s="1" t="s">
        <v>6639</v>
      </c>
      <c r="AC312" s="1" t="s">
        <v>74</v>
      </c>
      <c r="AD312" s="1" t="s">
        <v>74</v>
      </c>
      <c r="AE312" s="1" t="s">
        <v>74</v>
      </c>
      <c r="AF312" s="1" t="s">
        <v>74</v>
      </c>
      <c r="AG312" s="1">
        <v>147.0</v>
      </c>
      <c r="AH312" s="1">
        <v>19.0</v>
      </c>
      <c r="AI312" s="1">
        <v>19.0</v>
      </c>
      <c r="AJ312" s="1">
        <v>27.0</v>
      </c>
      <c r="AK312" s="1">
        <v>125.0</v>
      </c>
      <c r="AL312" s="1" t="s">
        <v>348</v>
      </c>
      <c r="AM312" s="1" t="s">
        <v>349</v>
      </c>
      <c r="AN312" s="1" t="s">
        <v>350</v>
      </c>
      <c r="AO312" s="1" t="s">
        <v>6640</v>
      </c>
      <c r="AP312" s="1" t="s">
        <v>74</v>
      </c>
      <c r="AQ312" s="1" t="s">
        <v>74</v>
      </c>
      <c r="AR312" s="1" t="s">
        <v>6641</v>
      </c>
      <c r="AS312" s="1" t="s">
        <v>6642</v>
      </c>
      <c r="AT312" s="1" t="s">
        <v>1279</v>
      </c>
      <c r="AU312" s="1">
        <v>2023.0</v>
      </c>
      <c r="AV312" s="1">
        <v>9.0</v>
      </c>
      <c r="AW312" s="1">
        <v>3.0</v>
      </c>
      <c r="AX312" s="1" t="s">
        <v>74</v>
      </c>
      <c r="AY312" s="1" t="s">
        <v>74</v>
      </c>
      <c r="AZ312" s="1" t="s">
        <v>74</v>
      </c>
      <c r="BA312" s="1" t="s">
        <v>74</v>
      </c>
      <c r="BB312" s="1" t="s">
        <v>74</v>
      </c>
      <c r="BC312" s="1" t="s">
        <v>74</v>
      </c>
      <c r="BD312" s="1">
        <v>2.056305123118635E16</v>
      </c>
      <c r="BE312" s="1" t="s">
        <v>6643</v>
      </c>
      <c r="BF312" s="2" t="str">
        <f>HYPERLINK("http://dx.doi.org/10.1177/20563051231186353","http://dx.doi.org/10.1177/20563051231186353")</f>
        <v>http://dx.doi.org/10.1177/20563051231186353</v>
      </c>
      <c r="BG312" s="1" t="s">
        <v>74</v>
      </c>
      <c r="BH312" s="1" t="s">
        <v>74</v>
      </c>
      <c r="BI312" s="1">
        <v>14.0</v>
      </c>
      <c r="BJ312" s="1" t="s">
        <v>2183</v>
      </c>
      <c r="BK312" s="1" t="s">
        <v>203</v>
      </c>
      <c r="BL312" s="1" t="s">
        <v>2183</v>
      </c>
      <c r="BM312" s="1" t="s">
        <v>6644</v>
      </c>
      <c r="BN312" s="1" t="s">
        <v>74</v>
      </c>
      <c r="BO312" s="1" t="s">
        <v>174</v>
      </c>
      <c r="BP312" s="1" t="s">
        <v>74</v>
      </c>
      <c r="BQ312" s="1" t="s">
        <v>74</v>
      </c>
      <c r="BR312" s="1" t="s">
        <v>102</v>
      </c>
      <c r="BS312" s="1" t="s">
        <v>6645</v>
      </c>
      <c r="BT312" s="1" t="str">
        <f>HYPERLINK("https%3A%2F%2Fwww.webofscience.com%2Fwos%2Fwoscc%2Ffull-record%2FWOS:001029117600001","View Full Record in Web of Science")</f>
        <v>View Full Record in Web of Science</v>
      </c>
    </row>
    <row r="313" ht="12.75" customHeight="1">
      <c r="A313" s="1" t="s">
        <v>132</v>
      </c>
      <c r="B313" s="1" t="s">
        <v>6646</v>
      </c>
      <c r="C313" s="1" t="s">
        <v>74</v>
      </c>
      <c r="D313" s="1" t="s">
        <v>74</v>
      </c>
      <c r="E313" s="1" t="s">
        <v>74</v>
      </c>
      <c r="F313" s="1" t="s">
        <v>6647</v>
      </c>
      <c r="G313" s="1" t="s">
        <v>74</v>
      </c>
      <c r="H313" s="1" t="s">
        <v>74</v>
      </c>
      <c r="I313" s="1" t="s">
        <v>6648</v>
      </c>
      <c r="J313" s="1" t="s">
        <v>6649</v>
      </c>
      <c r="K313" s="1" t="s">
        <v>74</v>
      </c>
      <c r="L313" s="1" t="s">
        <v>74</v>
      </c>
      <c r="M313" s="1" t="s">
        <v>80</v>
      </c>
      <c r="N313" s="1" t="s">
        <v>136</v>
      </c>
      <c r="O313" s="1" t="s">
        <v>74</v>
      </c>
      <c r="P313" s="1" t="s">
        <v>74</v>
      </c>
      <c r="Q313" s="1" t="s">
        <v>74</v>
      </c>
      <c r="R313" s="1" t="s">
        <v>74</v>
      </c>
      <c r="S313" s="1" t="s">
        <v>74</v>
      </c>
      <c r="T313" s="1" t="s">
        <v>6650</v>
      </c>
      <c r="U313" s="1" t="s">
        <v>6651</v>
      </c>
      <c r="V313" s="1" t="s">
        <v>6652</v>
      </c>
      <c r="W313" s="1" t="s">
        <v>6653</v>
      </c>
      <c r="X313" s="1" t="s">
        <v>6654</v>
      </c>
      <c r="Y313" s="1" t="s">
        <v>6655</v>
      </c>
      <c r="Z313" s="1" t="s">
        <v>6656</v>
      </c>
      <c r="AA313" s="1" t="s">
        <v>6657</v>
      </c>
      <c r="AB313" s="1" t="s">
        <v>6658</v>
      </c>
      <c r="AC313" s="1" t="s">
        <v>6659</v>
      </c>
      <c r="AD313" s="1" t="s">
        <v>6660</v>
      </c>
      <c r="AE313" s="1" t="s">
        <v>6661</v>
      </c>
      <c r="AF313" s="1" t="s">
        <v>74</v>
      </c>
      <c r="AG313" s="1">
        <v>46.0</v>
      </c>
      <c r="AH313" s="1">
        <v>12.0</v>
      </c>
      <c r="AI313" s="1">
        <v>12.0</v>
      </c>
      <c r="AJ313" s="1">
        <v>60.0</v>
      </c>
      <c r="AK313" s="1">
        <v>95.0</v>
      </c>
      <c r="AL313" s="1" t="s">
        <v>321</v>
      </c>
      <c r="AM313" s="1" t="s">
        <v>322</v>
      </c>
      <c r="AN313" s="1" t="s">
        <v>323</v>
      </c>
      <c r="AO313" s="1" t="s">
        <v>6662</v>
      </c>
      <c r="AP313" s="1" t="s">
        <v>6663</v>
      </c>
      <c r="AQ313" s="1" t="s">
        <v>74</v>
      </c>
      <c r="AR313" s="1" t="s">
        <v>6664</v>
      </c>
      <c r="AS313" s="1" t="s">
        <v>6665</v>
      </c>
      <c r="AT313" s="1" t="s">
        <v>1279</v>
      </c>
      <c r="AU313" s="1">
        <v>2024.0</v>
      </c>
      <c r="AV313" s="1">
        <v>131.0</v>
      </c>
      <c r="AW313" s="1" t="s">
        <v>74</v>
      </c>
      <c r="AX313" s="1" t="s">
        <v>74</v>
      </c>
      <c r="AY313" s="1" t="s">
        <v>74</v>
      </c>
      <c r="AZ313" s="1" t="s">
        <v>74</v>
      </c>
      <c r="BA313" s="1" t="s">
        <v>74</v>
      </c>
      <c r="BB313" s="1">
        <v>181.0</v>
      </c>
      <c r="BC313" s="1">
        <v>195.0</v>
      </c>
      <c r="BD313" s="1" t="s">
        <v>74</v>
      </c>
      <c r="BE313" s="1" t="s">
        <v>6666</v>
      </c>
      <c r="BF313" s="2" t="str">
        <f>HYPERLINK("http://dx.doi.org/10.1016/j.gr.2024.02.012","http://dx.doi.org/10.1016/j.gr.2024.02.012")</f>
        <v>http://dx.doi.org/10.1016/j.gr.2024.02.012</v>
      </c>
      <c r="BG313" s="1" t="s">
        <v>74</v>
      </c>
      <c r="BH313" s="1" t="s">
        <v>2958</v>
      </c>
      <c r="BI313" s="1">
        <v>15.0</v>
      </c>
      <c r="BJ313" s="1" t="s">
        <v>6667</v>
      </c>
      <c r="BK313" s="1" t="s">
        <v>149</v>
      </c>
      <c r="BL313" s="1" t="s">
        <v>6668</v>
      </c>
      <c r="BM313" s="1" t="s">
        <v>6669</v>
      </c>
      <c r="BN313" s="1" t="s">
        <v>74</v>
      </c>
      <c r="BO313" s="1" t="s">
        <v>74</v>
      </c>
      <c r="BP313" s="1" t="s">
        <v>74</v>
      </c>
      <c r="BQ313" s="1" t="s">
        <v>74</v>
      </c>
      <c r="BR313" s="1" t="s">
        <v>102</v>
      </c>
      <c r="BS313" s="1" t="s">
        <v>6670</v>
      </c>
      <c r="BT313" s="1" t="str">
        <f>HYPERLINK("https%3A%2F%2Fwww.webofscience.com%2Fwos%2Fwoscc%2Ffull-record%2FWOS:001215444000001","View Full Record in Web of Science")</f>
        <v>View Full Record in Web of Science</v>
      </c>
    </row>
    <row r="314" ht="12.75" customHeight="1">
      <c r="A314" s="1" t="s">
        <v>132</v>
      </c>
      <c r="B314" s="1" t="s">
        <v>6671</v>
      </c>
      <c r="C314" s="1" t="s">
        <v>74</v>
      </c>
      <c r="D314" s="1" t="s">
        <v>74</v>
      </c>
      <c r="E314" s="1" t="s">
        <v>74</v>
      </c>
      <c r="F314" s="1" t="s">
        <v>6672</v>
      </c>
      <c r="G314" s="1" t="s">
        <v>74</v>
      </c>
      <c r="H314" s="1" t="s">
        <v>74</v>
      </c>
      <c r="I314" s="1" t="s">
        <v>6673</v>
      </c>
      <c r="J314" s="1" t="s">
        <v>6674</v>
      </c>
      <c r="K314" s="1" t="s">
        <v>74</v>
      </c>
      <c r="L314" s="1" t="s">
        <v>74</v>
      </c>
      <c r="M314" s="1" t="s">
        <v>80</v>
      </c>
      <c r="N314" s="1" t="s">
        <v>136</v>
      </c>
      <c r="O314" s="1" t="s">
        <v>74</v>
      </c>
      <c r="P314" s="1" t="s">
        <v>74</v>
      </c>
      <c r="Q314" s="1" t="s">
        <v>74</v>
      </c>
      <c r="R314" s="1" t="s">
        <v>74</v>
      </c>
      <c r="S314" s="1" t="s">
        <v>74</v>
      </c>
      <c r="T314" s="1" t="s">
        <v>6675</v>
      </c>
      <c r="U314" s="1" t="s">
        <v>6676</v>
      </c>
      <c r="V314" s="1" t="s">
        <v>6677</v>
      </c>
      <c r="W314" s="1" t="s">
        <v>6678</v>
      </c>
      <c r="X314" s="1" t="s">
        <v>6679</v>
      </c>
      <c r="Y314" s="1" t="s">
        <v>6680</v>
      </c>
      <c r="Z314" s="1" t="s">
        <v>6681</v>
      </c>
      <c r="AA314" s="1" t="s">
        <v>6682</v>
      </c>
      <c r="AB314" s="1" t="s">
        <v>74</v>
      </c>
      <c r="AC314" s="1" t="s">
        <v>74</v>
      </c>
      <c r="AD314" s="1" t="s">
        <v>74</v>
      </c>
      <c r="AE314" s="1" t="s">
        <v>74</v>
      </c>
      <c r="AF314" s="1" t="s">
        <v>74</v>
      </c>
      <c r="AG314" s="1">
        <v>65.0</v>
      </c>
      <c r="AH314" s="1">
        <v>0.0</v>
      </c>
      <c r="AI314" s="1">
        <v>0.0</v>
      </c>
      <c r="AJ314" s="1">
        <v>2.0</v>
      </c>
      <c r="AK314" s="1">
        <v>26.0</v>
      </c>
      <c r="AL314" s="1" t="s">
        <v>6683</v>
      </c>
      <c r="AM314" s="1" t="s">
        <v>6684</v>
      </c>
      <c r="AN314" s="1" t="s">
        <v>6685</v>
      </c>
      <c r="AO314" s="1" t="s">
        <v>6686</v>
      </c>
      <c r="AP314" s="1" t="s">
        <v>74</v>
      </c>
      <c r="AQ314" s="1" t="s">
        <v>74</v>
      </c>
      <c r="AR314" s="1" t="s">
        <v>6687</v>
      </c>
      <c r="AS314" s="1" t="s">
        <v>6688</v>
      </c>
      <c r="AT314" s="1" t="s">
        <v>74</v>
      </c>
      <c r="AU314" s="1">
        <v>2022.0</v>
      </c>
      <c r="AV314" s="1">
        <v>12.0</v>
      </c>
      <c r="AW314" s="1">
        <v>2.0</v>
      </c>
      <c r="AX314" s="1" t="s">
        <v>74</v>
      </c>
      <c r="AY314" s="1" t="s">
        <v>74</v>
      </c>
      <c r="AZ314" s="1">
        <v>29.0</v>
      </c>
      <c r="BA314" s="1" t="s">
        <v>74</v>
      </c>
      <c r="BB314" s="1">
        <v>36.0</v>
      </c>
      <c r="BC314" s="1">
        <v>42.0</v>
      </c>
      <c r="BD314" s="1" t="s">
        <v>74</v>
      </c>
      <c r="BE314" s="1" t="s">
        <v>74</v>
      </c>
      <c r="BF314" s="1" t="s">
        <v>74</v>
      </c>
      <c r="BG314" s="1" t="s">
        <v>74</v>
      </c>
      <c r="BH314" s="1" t="s">
        <v>74</v>
      </c>
      <c r="BI314" s="1">
        <v>7.0</v>
      </c>
      <c r="BJ314" s="1" t="s">
        <v>4714</v>
      </c>
      <c r="BK314" s="1" t="s">
        <v>172</v>
      </c>
      <c r="BL314" s="1" t="s">
        <v>4715</v>
      </c>
      <c r="BM314" s="1" t="s">
        <v>6689</v>
      </c>
      <c r="BN314" s="1" t="s">
        <v>74</v>
      </c>
      <c r="BO314" s="1" t="s">
        <v>74</v>
      </c>
      <c r="BP314" s="1" t="s">
        <v>74</v>
      </c>
      <c r="BQ314" s="1" t="s">
        <v>74</v>
      </c>
      <c r="BR314" s="1" t="s">
        <v>102</v>
      </c>
      <c r="BS314" s="1" t="s">
        <v>6690</v>
      </c>
      <c r="BT314" s="1" t="str">
        <f>HYPERLINK("https%3A%2F%2Fwww.webofscience.com%2Fwos%2Fwoscc%2Ffull-record%2FWOS:000886177900007","View Full Record in Web of Science")</f>
        <v>View Full Record in Web of Science</v>
      </c>
    </row>
    <row r="315" ht="12.75" customHeight="1">
      <c r="A315" s="1" t="s">
        <v>72</v>
      </c>
      <c r="B315" s="1" t="s">
        <v>6691</v>
      </c>
      <c r="C315" s="1" t="s">
        <v>74</v>
      </c>
      <c r="D315" s="1" t="s">
        <v>74</v>
      </c>
      <c r="E315" s="1" t="s">
        <v>2207</v>
      </c>
      <c r="F315" s="1" t="s">
        <v>6692</v>
      </c>
      <c r="G315" s="1" t="s">
        <v>74</v>
      </c>
      <c r="H315" s="1" t="s">
        <v>74</v>
      </c>
      <c r="I315" s="1" t="s">
        <v>6693</v>
      </c>
      <c r="J315" s="1" t="s">
        <v>6694</v>
      </c>
      <c r="K315" s="1" t="s">
        <v>74</v>
      </c>
      <c r="L315" s="1" t="s">
        <v>74</v>
      </c>
      <c r="M315" s="1" t="s">
        <v>80</v>
      </c>
      <c r="N315" s="1" t="s">
        <v>81</v>
      </c>
      <c r="O315" s="1" t="s">
        <v>6695</v>
      </c>
      <c r="P315" s="1" t="s">
        <v>6696</v>
      </c>
      <c r="Q315" s="1" t="s">
        <v>6697</v>
      </c>
      <c r="R315" s="1" t="s">
        <v>2207</v>
      </c>
      <c r="S315" s="1" t="s">
        <v>74</v>
      </c>
      <c r="T315" s="1" t="s">
        <v>6698</v>
      </c>
      <c r="U315" s="1" t="s">
        <v>74</v>
      </c>
      <c r="V315" s="1" t="s">
        <v>6699</v>
      </c>
      <c r="W315" s="1" t="s">
        <v>6700</v>
      </c>
      <c r="X315" s="1" t="s">
        <v>6701</v>
      </c>
      <c r="Y315" s="1" t="s">
        <v>6702</v>
      </c>
      <c r="Z315" s="1" t="s">
        <v>6703</v>
      </c>
      <c r="AA315" s="1" t="s">
        <v>6704</v>
      </c>
      <c r="AB315" s="1" t="s">
        <v>6705</v>
      </c>
      <c r="AC315" s="1" t="s">
        <v>74</v>
      </c>
      <c r="AD315" s="1" t="s">
        <v>74</v>
      </c>
      <c r="AE315" s="1" t="s">
        <v>74</v>
      </c>
      <c r="AF315" s="1" t="s">
        <v>74</v>
      </c>
      <c r="AG315" s="1">
        <v>18.0</v>
      </c>
      <c r="AH315" s="1">
        <v>18.0</v>
      </c>
      <c r="AI315" s="1">
        <v>18.0</v>
      </c>
      <c r="AJ315" s="1">
        <v>1.0</v>
      </c>
      <c r="AK315" s="1">
        <v>1.0</v>
      </c>
      <c r="AL315" s="1" t="s">
        <v>1725</v>
      </c>
      <c r="AM315" s="1" t="s">
        <v>1726</v>
      </c>
      <c r="AN315" s="1" t="s">
        <v>2219</v>
      </c>
      <c r="AO315" s="1" t="s">
        <v>74</v>
      </c>
      <c r="AP315" s="1" t="s">
        <v>74</v>
      </c>
      <c r="AQ315" s="1" t="s">
        <v>6706</v>
      </c>
      <c r="AR315" s="1" t="s">
        <v>74</v>
      </c>
      <c r="AS315" s="1" t="s">
        <v>74</v>
      </c>
      <c r="AT315" s="1" t="s">
        <v>74</v>
      </c>
      <c r="AU315" s="1">
        <v>2019.0</v>
      </c>
      <c r="AV315" s="1" t="s">
        <v>74</v>
      </c>
      <c r="AW315" s="1" t="s">
        <v>74</v>
      </c>
      <c r="AX315" s="1" t="s">
        <v>74</v>
      </c>
      <c r="AY315" s="1" t="s">
        <v>74</v>
      </c>
      <c r="AZ315" s="1" t="s">
        <v>74</v>
      </c>
      <c r="BA315" s="1" t="s">
        <v>74</v>
      </c>
      <c r="BB315" s="1" t="s">
        <v>74</v>
      </c>
      <c r="BC315" s="1" t="s">
        <v>74</v>
      </c>
      <c r="BD315" s="1" t="s">
        <v>74</v>
      </c>
      <c r="BE315" s="1" t="s">
        <v>74</v>
      </c>
      <c r="BF315" s="1" t="s">
        <v>74</v>
      </c>
      <c r="BG315" s="1" t="s">
        <v>74</v>
      </c>
      <c r="BH315" s="1" t="s">
        <v>74</v>
      </c>
      <c r="BI315" s="1">
        <v>10.0</v>
      </c>
      <c r="BJ315" s="1" t="s">
        <v>6707</v>
      </c>
      <c r="BK315" s="1" t="s">
        <v>128</v>
      </c>
      <c r="BL315" s="1" t="s">
        <v>232</v>
      </c>
      <c r="BM315" s="1" t="s">
        <v>6708</v>
      </c>
      <c r="BN315" s="1" t="s">
        <v>74</v>
      </c>
      <c r="BO315" s="1" t="s">
        <v>74</v>
      </c>
      <c r="BP315" s="1" t="s">
        <v>74</v>
      </c>
      <c r="BQ315" s="1" t="s">
        <v>74</v>
      </c>
      <c r="BR315" s="1" t="s">
        <v>102</v>
      </c>
      <c r="BS315" s="1" t="s">
        <v>6709</v>
      </c>
      <c r="BT315" s="1" t="str">
        <f>HYPERLINK("https%3A%2F%2Fwww.webofscience.com%2Fwos%2Fwoscc%2Ffull-record%2FWOS:000712432700079","View Full Record in Web of Science")</f>
        <v>View Full Record in Web of Science</v>
      </c>
    </row>
    <row r="316" ht="12.75" customHeight="1">
      <c r="A316" s="1" t="s">
        <v>132</v>
      </c>
      <c r="B316" s="1" t="s">
        <v>6710</v>
      </c>
      <c r="C316" s="1" t="s">
        <v>74</v>
      </c>
      <c r="D316" s="1" t="s">
        <v>74</v>
      </c>
      <c r="E316" s="1" t="s">
        <v>74</v>
      </c>
      <c r="F316" s="1" t="s">
        <v>6711</v>
      </c>
      <c r="G316" s="1" t="s">
        <v>74</v>
      </c>
      <c r="H316" s="1" t="s">
        <v>74</v>
      </c>
      <c r="I316" s="1" t="s">
        <v>6712</v>
      </c>
      <c r="J316" s="1" t="s">
        <v>6713</v>
      </c>
      <c r="K316" s="1" t="s">
        <v>74</v>
      </c>
      <c r="L316" s="1" t="s">
        <v>74</v>
      </c>
      <c r="M316" s="1" t="s">
        <v>80</v>
      </c>
      <c r="N316" s="1" t="s">
        <v>136</v>
      </c>
      <c r="O316" s="1" t="s">
        <v>74</v>
      </c>
      <c r="P316" s="1" t="s">
        <v>74</v>
      </c>
      <c r="Q316" s="1" t="s">
        <v>74</v>
      </c>
      <c r="R316" s="1" t="s">
        <v>74</v>
      </c>
      <c r="S316" s="1" t="s">
        <v>74</v>
      </c>
      <c r="T316" s="1" t="s">
        <v>6714</v>
      </c>
      <c r="U316" s="1" t="s">
        <v>6715</v>
      </c>
      <c r="V316" s="1" t="s">
        <v>6716</v>
      </c>
      <c r="W316" s="1" t="s">
        <v>6717</v>
      </c>
      <c r="X316" s="1" t="s">
        <v>6718</v>
      </c>
      <c r="Y316" s="1" t="s">
        <v>6719</v>
      </c>
      <c r="Z316" s="1" t="s">
        <v>6720</v>
      </c>
      <c r="AA316" s="1" t="s">
        <v>74</v>
      </c>
      <c r="AB316" s="1" t="s">
        <v>74</v>
      </c>
      <c r="AC316" s="1" t="s">
        <v>74</v>
      </c>
      <c r="AD316" s="1" t="s">
        <v>74</v>
      </c>
      <c r="AE316" s="1" t="s">
        <v>74</v>
      </c>
      <c r="AF316" s="1" t="s">
        <v>74</v>
      </c>
      <c r="AG316" s="1">
        <v>69.0</v>
      </c>
      <c r="AH316" s="1">
        <v>0.0</v>
      </c>
      <c r="AI316" s="1">
        <v>0.0</v>
      </c>
      <c r="AJ316" s="1">
        <v>34.0</v>
      </c>
      <c r="AK316" s="1">
        <v>44.0</v>
      </c>
      <c r="AL316" s="1" t="s">
        <v>571</v>
      </c>
      <c r="AM316" s="1" t="s">
        <v>572</v>
      </c>
      <c r="AN316" s="1" t="s">
        <v>573</v>
      </c>
      <c r="AO316" s="1" t="s">
        <v>6721</v>
      </c>
      <c r="AP316" s="1" t="s">
        <v>6722</v>
      </c>
      <c r="AQ316" s="1" t="s">
        <v>74</v>
      </c>
      <c r="AR316" s="1" t="s">
        <v>6723</v>
      </c>
      <c r="AS316" s="1" t="s">
        <v>6724</v>
      </c>
      <c r="AT316" s="1" t="s">
        <v>6725</v>
      </c>
      <c r="AU316" s="1">
        <v>2025.0</v>
      </c>
      <c r="AV316" s="1">
        <v>25.0</v>
      </c>
      <c r="AW316" s="1">
        <v>2.0</v>
      </c>
      <c r="AX316" s="1" t="s">
        <v>74</v>
      </c>
      <c r="AY316" s="1" t="s">
        <v>74</v>
      </c>
      <c r="AZ316" s="1" t="s">
        <v>74</v>
      </c>
      <c r="BA316" s="1" t="s">
        <v>74</v>
      </c>
      <c r="BB316" s="1">
        <v>272.0</v>
      </c>
      <c r="BC316" s="1">
        <v>287.0</v>
      </c>
      <c r="BD316" s="1" t="s">
        <v>74</v>
      </c>
      <c r="BE316" s="1" t="s">
        <v>6726</v>
      </c>
      <c r="BF316" s="2" t="str">
        <f>HYPERLINK("http://dx.doi.org/10.1108/CG-06-2023-0259","http://dx.doi.org/10.1108/CG-06-2023-0259")</f>
        <v>http://dx.doi.org/10.1108/CG-06-2023-0259</v>
      </c>
      <c r="BG316" s="1" t="s">
        <v>74</v>
      </c>
      <c r="BH316" s="1" t="s">
        <v>5364</v>
      </c>
      <c r="BI316" s="1">
        <v>16.0</v>
      </c>
      <c r="BJ316" s="1" t="s">
        <v>2040</v>
      </c>
      <c r="BK316" s="1" t="s">
        <v>172</v>
      </c>
      <c r="BL316" s="1" t="s">
        <v>204</v>
      </c>
      <c r="BM316" s="1" t="s">
        <v>6727</v>
      </c>
      <c r="BN316" s="1" t="s">
        <v>74</v>
      </c>
      <c r="BO316" s="1" t="s">
        <v>74</v>
      </c>
      <c r="BP316" s="1" t="s">
        <v>74</v>
      </c>
      <c r="BQ316" s="1" t="s">
        <v>74</v>
      </c>
      <c r="BR316" s="1" t="s">
        <v>102</v>
      </c>
      <c r="BS316" s="1" t="s">
        <v>6728</v>
      </c>
      <c r="BT316" s="1" t="str">
        <f>HYPERLINK("https%3A%2F%2Fwww.webofscience.com%2Fwos%2Fwoscc%2Ffull-record%2FWOS:001241891200001","View Full Record in Web of Science")</f>
        <v>View Full Record in Web of Science</v>
      </c>
    </row>
    <row r="317" ht="12.75" customHeight="1">
      <c r="A317" s="1" t="s">
        <v>72</v>
      </c>
      <c r="B317" s="1" t="s">
        <v>6729</v>
      </c>
      <c r="C317" s="1" t="s">
        <v>74</v>
      </c>
      <c r="D317" s="1" t="s">
        <v>6730</v>
      </c>
      <c r="E317" s="1" t="s">
        <v>74</v>
      </c>
      <c r="F317" s="1" t="s">
        <v>6731</v>
      </c>
      <c r="G317" s="1" t="s">
        <v>74</v>
      </c>
      <c r="H317" s="1" t="s">
        <v>74</v>
      </c>
      <c r="I317" s="1" t="s">
        <v>6732</v>
      </c>
      <c r="J317" s="1" t="s">
        <v>6733</v>
      </c>
      <c r="K317" s="1" t="s">
        <v>6734</v>
      </c>
      <c r="L317" s="1" t="s">
        <v>74</v>
      </c>
      <c r="M317" s="1" t="s">
        <v>80</v>
      </c>
      <c r="N317" s="1" t="s">
        <v>81</v>
      </c>
      <c r="O317" s="1" t="s">
        <v>6735</v>
      </c>
      <c r="P317" s="1" t="s">
        <v>6736</v>
      </c>
      <c r="Q317" s="1" t="s">
        <v>6737</v>
      </c>
      <c r="R317" s="1" t="s">
        <v>74</v>
      </c>
      <c r="S317" s="1" t="s">
        <v>74</v>
      </c>
      <c r="T317" s="1" t="s">
        <v>6738</v>
      </c>
      <c r="U317" s="1" t="s">
        <v>74</v>
      </c>
      <c r="V317" s="1" t="s">
        <v>6739</v>
      </c>
      <c r="W317" s="1" t="s">
        <v>6740</v>
      </c>
      <c r="X317" s="1" t="s">
        <v>6741</v>
      </c>
      <c r="Y317" s="1" t="s">
        <v>6742</v>
      </c>
      <c r="Z317" s="1" t="s">
        <v>6743</v>
      </c>
      <c r="AA317" s="1" t="s">
        <v>74</v>
      </c>
      <c r="AB317" s="1" t="s">
        <v>74</v>
      </c>
      <c r="AC317" s="1" t="s">
        <v>6744</v>
      </c>
      <c r="AD317" s="1" t="s">
        <v>6745</v>
      </c>
      <c r="AE317" s="1" t="s">
        <v>6746</v>
      </c>
      <c r="AF317" s="1" t="s">
        <v>74</v>
      </c>
      <c r="AG317" s="1">
        <v>68.0</v>
      </c>
      <c r="AH317" s="1">
        <v>5.0</v>
      </c>
      <c r="AI317" s="1">
        <v>5.0</v>
      </c>
      <c r="AJ317" s="1">
        <v>13.0</v>
      </c>
      <c r="AK317" s="1">
        <v>21.0</v>
      </c>
      <c r="AL317" s="1" t="s">
        <v>6747</v>
      </c>
      <c r="AM317" s="1" t="s">
        <v>6748</v>
      </c>
      <c r="AN317" s="1" t="s">
        <v>6749</v>
      </c>
      <c r="AO317" s="1" t="s">
        <v>6750</v>
      </c>
      <c r="AP317" s="1" t="s">
        <v>6751</v>
      </c>
      <c r="AQ317" s="1" t="s">
        <v>74</v>
      </c>
      <c r="AR317" s="1" t="s">
        <v>6752</v>
      </c>
      <c r="AS317" s="1" t="s">
        <v>74</v>
      </c>
      <c r="AT317" s="1" t="s">
        <v>74</v>
      </c>
      <c r="AU317" s="1">
        <v>2023.0</v>
      </c>
      <c r="AV317" s="1" t="s">
        <v>74</v>
      </c>
      <c r="AW317" s="1" t="s">
        <v>74</v>
      </c>
      <c r="AX317" s="1" t="s">
        <v>74</v>
      </c>
      <c r="AY317" s="1" t="s">
        <v>74</v>
      </c>
      <c r="AZ317" s="1" t="s">
        <v>74</v>
      </c>
      <c r="BA317" s="1" t="s">
        <v>74</v>
      </c>
      <c r="BB317" s="1">
        <v>387.0</v>
      </c>
      <c r="BC317" s="1">
        <v>394.0</v>
      </c>
      <c r="BD317" s="1" t="s">
        <v>74</v>
      </c>
      <c r="BE317" s="1" t="s">
        <v>6753</v>
      </c>
      <c r="BF317" s="2" t="str">
        <f>HYPERLINK("http://dx.doi.org/10.5194/isprs-archives-XLVIII-M-1-2023-387-2023","http://dx.doi.org/10.5194/isprs-archives-XLVIII-M-1-2023-387-2023")</f>
        <v>http://dx.doi.org/10.5194/isprs-archives-XLVIII-M-1-2023-387-2023</v>
      </c>
      <c r="BG317" s="1" t="s">
        <v>74</v>
      </c>
      <c r="BH317" s="1" t="s">
        <v>74</v>
      </c>
      <c r="BI317" s="1">
        <v>8.0</v>
      </c>
      <c r="BJ317" s="1" t="s">
        <v>6754</v>
      </c>
      <c r="BK317" s="1" t="s">
        <v>128</v>
      </c>
      <c r="BL317" s="1" t="s">
        <v>6755</v>
      </c>
      <c r="BM317" s="1" t="s">
        <v>6756</v>
      </c>
      <c r="BN317" s="1" t="s">
        <v>74</v>
      </c>
      <c r="BO317" s="1" t="s">
        <v>174</v>
      </c>
      <c r="BP317" s="1" t="s">
        <v>74</v>
      </c>
      <c r="BQ317" s="1" t="s">
        <v>74</v>
      </c>
      <c r="BR317" s="1" t="s">
        <v>102</v>
      </c>
      <c r="BS317" s="1" t="s">
        <v>6757</v>
      </c>
      <c r="BT317" s="1" t="str">
        <f>HYPERLINK("https%3A%2F%2Fwww.webofscience.com%2Fwos%2Fwoscc%2Ffull-record%2FWOS:001190737300053","View Full Record in Web of Science")</f>
        <v>View Full Record in Web of Science</v>
      </c>
    </row>
    <row r="318" ht="12.75" customHeight="1">
      <c r="A318" s="1" t="s">
        <v>132</v>
      </c>
      <c r="B318" s="1" t="s">
        <v>6758</v>
      </c>
      <c r="C318" s="1" t="s">
        <v>74</v>
      </c>
      <c r="D318" s="1" t="s">
        <v>74</v>
      </c>
      <c r="E318" s="1" t="s">
        <v>74</v>
      </c>
      <c r="F318" s="1" t="s">
        <v>6759</v>
      </c>
      <c r="G318" s="1" t="s">
        <v>74</v>
      </c>
      <c r="H318" s="1" t="s">
        <v>74</v>
      </c>
      <c r="I318" s="1" t="s">
        <v>6760</v>
      </c>
      <c r="J318" s="1" t="s">
        <v>721</v>
      </c>
      <c r="K318" s="1" t="s">
        <v>74</v>
      </c>
      <c r="L318" s="1" t="s">
        <v>74</v>
      </c>
      <c r="M318" s="1" t="s">
        <v>638</v>
      </c>
      <c r="N318" s="1" t="s">
        <v>1010</v>
      </c>
      <c r="O318" s="1" t="s">
        <v>74</v>
      </c>
      <c r="P318" s="1" t="s">
        <v>74</v>
      </c>
      <c r="Q318" s="1" t="s">
        <v>74</v>
      </c>
      <c r="R318" s="1" t="s">
        <v>74</v>
      </c>
      <c r="S318" s="1" t="s">
        <v>74</v>
      </c>
      <c r="T318" s="1" t="s">
        <v>6761</v>
      </c>
      <c r="U318" s="1" t="s">
        <v>6762</v>
      </c>
      <c r="V318" s="1" t="s">
        <v>6763</v>
      </c>
      <c r="W318" s="1" t="s">
        <v>6764</v>
      </c>
      <c r="X318" s="1" t="s">
        <v>6765</v>
      </c>
      <c r="Y318" s="1" t="s">
        <v>6766</v>
      </c>
      <c r="Z318" s="1" t="s">
        <v>6767</v>
      </c>
      <c r="AA318" s="1" t="s">
        <v>6768</v>
      </c>
      <c r="AB318" s="1" t="s">
        <v>74</v>
      </c>
      <c r="AC318" s="1" t="s">
        <v>74</v>
      </c>
      <c r="AD318" s="1" t="s">
        <v>74</v>
      </c>
      <c r="AE318" s="1" t="s">
        <v>74</v>
      </c>
      <c r="AF318" s="1" t="s">
        <v>74</v>
      </c>
      <c r="AG318" s="1">
        <v>62.0</v>
      </c>
      <c r="AH318" s="1">
        <v>0.0</v>
      </c>
      <c r="AI318" s="1">
        <v>0.0</v>
      </c>
      <c r="AJ318" s="1">
        <v>10.0</v>
      </c>
      <c r="AK318" s="1">
        <v>10.0</v>
      </c>
      <c r="AL318" s="1" t="s">
        <v>727</v>
      </c>
      <c r="AM318" s="1" t="s">
        <v>728</v>
      </c>
      <c r="AN318" s="1" t="s">
        <v>729</v>
      </c>
      <c r="AO318" s="1" t="s">
        <v>730</v>
      </c>
      <c r="AP318" s="1" t="s">
        <v>731</v>
      </c>
      <c r="AQ318" s="1" t="s">
        <v>74</v>
      </c>
      <c r="AR318" s="1" t="s">
        <v>732</v>
      </c>
      <c r="AS318" s="1" t="s">
        <v>721</v>
      </c>
      <c r="AT318" s="1" t="s">
        <v>733</v>
      </c>
      <c r="AU318" s="1">
        <v>2024.0</v>
      </c>
      <c r="AV318" s="1">
        <v>42.0</v>
      </c>
      <c r="AW318" s="1">
        <v>3.0</v>
      </c>
      <c r="AX318" s="1" t="s">
        <v>74</v>
      </c>
      <c r="AY318" s="1" t="s">
        <v>74</v>
      </c>
      <c r="AZ318" s="1" t="s">
        <v>74</v>
      </c>
      <c r="BA318" s="1" t="s">
        <v>74</v>
      </c>
      <c r="BB318" s="1">
        <v>53.0</v>
      </c>
      <c r="BC318" s="1">
        <v>74.0</v>
      </c>
      <c r="BD318" s="1" t="s">
        <v>74</v>
      </c>
      <c r="BE318" s="1" t="s">
        <v>6769</v>
      </c>
      <c r="BF318" s="2" t="str">
        <f>HYPERLINK("http://dx.doi.org/10.6018/educatio.609591","http://dx.doi.org/10.6018/educatio.609591")</f>
        <v>http://dx.doi.org/10.6018/educatio.609591</v>
      </c>
      <c r="BG318" s="1" t="s">
        <v>74</v>
      </c>
      <c r="BH318" s="1" t="s">
        <v>74</v>
      </c>
      <c r="BI318" s="1">
        <v>22.0</v>
      </c>
      <c r="BJ318" s="1" t="s">
        <v>171</v>
      </c>
      <c r="BK318" s="1" t="s">
        <v>172</v>
      </c>
      <c r="BL318" s="1" t="s">
        <v>171</v>
      </c>
      <c r="BM318" s="1" t="s">
        <v>6770</v>
      </c>
      <c r="BN318" s="1" t="s">
        <v>74</v>
      </c>
      <c r="BO318" s="1" t="s">
        <v>174</v>
      </c>
      <c r="BP318" s="1" t="s">
        <v>74</v>
      </c>
      <c r="BQ318" s="1" t="s">
        <v>74</v>
      </c>
      <c r="BR318" s="1" t="s">
        <v>102</v>
      </c>
      <c r="BS318" s="1" t="s">
        <v>6771</v>
      </c>
      <c r="BT318" s="1" t="str">
        <f>HYPERLINK("https%3A%2F%2Fwww.webofscience.com%2Fwos%2Fwoscc%2Ffull-record%2FWOS:001352922700003","View Full Record in Web of Science")</f>
        <v>View Full Record in Web of Science</v>
      </c>
    </row>
    <row r="319" ht="12.75" customHeight="1">
      <c r="A319" s="1" t="s">
        <v>132</v>
      </c>
      <c r="B319" s="1" t="s">
        <v>6772</v>
      </c>
      <c r="C319" s="1" t="s">
        <v>74</v>
      </c>
      <c r="D319" s="1" t="s">
        <v>74</v>
      </c>
      <c r="E319" s="1" t="s">
        <v>74</v>
      </c>
      <c r="F319" s="1" t="s">
        <v>6773</v>
      </c>
      <c r="G319" s="1" t="s">
        <v>74</v>
      </c>
      <c r="H319" s="1" t="s">
        <v>74</v>
      </c>
      <c r="I319" s="1" t="s">
        <v>6774</v>
      </c>
      <c r="J319" s="1" t="s">
        <v>5135</v>
      </c>
      <c r="K319" s="1" t="s">
        <v>74</v>
      </c>
      <c r="L319" s="1" t="s">
        <v>74</v>
      </c>
      <c r="M319" s="1" t="s">
        <v>80</v>
      </c>
      <c r="N319" s="1" t="s">
        <v>136</v>
      </c>
      <c r="O319" s="1" t="s">
        <v>74</v>
      </c>
      <c r="P319" s="1" t="s">
        <v>74</v>
      </c>
      <c r="Q319" s="1" t="s">
        <v>74</v>
      </c>
      <c r="R319" s="1" t="s">
        <v>74</v>
      </c>
      <c r="S319" s="1" t="s">
        <v>74</v>
      </c>
      <c r="T319" s="1" t="s">
        <v>6775</v>
      </c>
      <c r="U319" s="1" t="s">
        <v>6776</v>
      </c>
      <c r="V319" s="1" t="s">
        <v>6777</v>
      </c>
      <c r="W319" s="1" t="s">
        <v>6778</v>
      </c>
      <c r="X319" s="1" t="s">
        <v>6779</v>
      </c>
      <c r="Y319" s="1" t="s">
        <v>6780</v>
      </c>
      <c r="Z319" s="1" t="s">
        <v>74</v>
      </c>
      <c r="AA319" s="1" t="s">
        <v>6781</v>
      </c>
      <c r="AB319" s="1" t="s">
        <v>6782</v>
      </c>
      <c r="AC319" s="1" t="s">
        <v>74</v>
      </c>
      <c r="AD319" s="1" t="s">
        <v>74</v>
      </c>
      <c r="AE319" s="1" t="s">
        <v>74</v>
      </c>
      <c r="AF319" s="1" t="s">
        <v>74</v>
      </c>
      <c r="AG319" s="1">
        <v>28.0</v>
      </c>
      <c r="AH319" s="1">
        <v>6.0</v>
      </c>
      <c r="AI319" s="1">
        <v>6.0</v>
      </c>
      <c r="AJ319" s="1">
        <v>1.0</v>
      </c>
      <c r="AK319" s="1">
        <v>8.0</v>
      </c>
      <c r="AL319" s="1" t="s">
        <v>5141</v>
      </c>
      <c r="AM319" s="1" t="s">
        <v>5142</v>
      </c>
      <c r="AN319" s="1" t="s">
        <v>5143</v>
      </c>
      <c r="AO319" s="1" t="s">
        <v>5144</v>
      </c>
      <c r="AP319" s="1" t="s">
        <v>5145</v>
      </c>
      <c r="AQ319" s="1" t="s">
        <v>74</v>
      </c>
      <c r="AR319" s="1" t="s">
        <v>5146</v>
      </c>
      <c r="AS319" s="1" t="s">
        <v>5147</v>
      </c>
      <c r="AT319" s="1" t="s">
        <v>870</v>
      </c>
      <c r="AU319" s="1">
        <v>2021.0</v>
      </c>
      <c r="AV319" s="1">
        <v>12.0</v>
      </c>
      <c r="AW319" s="1">
        <v>1.0</v>
      </c>
      <c r="AX319" s="1" t="s">
        <v>74</v>
      </c>
      <c r="AY319" s="1" t="s">
        <v>74</v>
      </c>
      <c r="AZ319" s="1" t="s">
        <v>74</v>
      </c>
      <c r="BA319" s="1" t="s">
        <v>74</v>
      </c>
      <c r="BB319" s="1">
        <v>66.0</v>
      </c>
      <c r="BC319" s="1">
        <v>73.0</v>
      </c>
      <c r="BD319" s="1" t="s">
        <v>74</v>
      </c>
      <c r="BE319" s="1" t="s">
        <v>74</v>
      </c>
      <c r="BF319" s="1" t="s">
        <v>74</v>
      </c>
      <c r="BG319" s="1" t="s">
        <v>74</v>
      </c>
      <c r="BH319" s="1" t="s">
        <v>74</v>
      </c>
      <c r="BI319" s="1">
        <v>8.0</v>
      </c>
      <c r="BJ319" s="1" t="s">
        <v>2221</v>
      </c>
      <c r="BK319" s="1" t="s">
        <v>172</v>
      </c>
      <c r="BL319" s="1" t="s">
        <v>232</v>
      </c>
      <c r="BM319" s="1" t="s">
        <v>6783</v>
      </c>
      <c r="BN319" s="1" t="s">
        <v>74</v>
      </c>
      <c r="BO319" s="1" t="s">
        <v>74</v>
      </c>
      <c r="BP319" s="1" t="s">
        <v>74</v>
      </c>
      <c r="BQ319" s="1" t="s">
        <v>74</v>
      </c>
      <c r="BR319" s="1" t="s">
        <v>102</v>
      </c>
      <c r="BS319" s="1" t="s">
        <v>6784</v>
      </c>
      <c r="BT319" s="1" t="str">
        <f>HYPERLINK("https%3A%2F%2Fwww.webofscience.com%2Fwos%2Fwoscc%2Ffull-record%2FWOS:000621697400009","View Full Record in Web of Science")</f>
        <v>View Full Record in Web of Science</v>
      </c>
    </row>
    <row r="320" ht="12.75" customHeight="1">
      <c r="A320" s="1" t="s">
        <v>132</v>
      </c>
      <c r="B320" s="1" t="s">
        <v>6785</v>
      </c>
      <c r="C320" s="1" t="s">
        <v>74</v>
      </c>
      <c r="D320" s="1" t="s">
        <v>74</v>
      </c>
      <c r="E320" s="1" t="s">
        <v>74</v>
      </c>
      <c r="F320" s="1" t="s">
        <v>6786</v>
      </c>
      <c r="G320" s="1" t="s">
        <v>74</v>
      </c>
      <c r="H320" s="1" t="s">
        <v>74</v>
      </c>
      <c r="I320" s="1" t="s">
        <v>6787</v>
      </c>
      <c r="J320" s="1" t="s">
        <v>6788</v>
      </c>
      <c r="K320" s="1" t="s">
        <v>74</v>
      </c>
      <c r="L320" s="1" t="s">
        <v>74</v>
      </c>
      <c r="M320" s="1" t="s">
        <v>80</v>
      </c>
      <c r="N320" s="1" t="s">
        <v>136</v>
      </c>
      <c r="O320" s="1" t="s">
        <v>74</v>
      </c>
      <c r="P320" s="1" t="s">
        <v>74</v>
      </c>
      <c r="Q320" s="1" t="s">
        <v>74</v>
      </c>
      <c r="R320" s="1" t="s">
        <v>74</v>
      </c>
      <c r="S320" s="1" t="s">
        <v>74</v>
      </c>
      <c r="T320" s="1" t="s">
        <v>6789</v>
      </c>
      <c r="U320" s="1" t="s">
        <v>6790</v>
      </c>
      <c r="V320" s="1" t="s">
        <v>6791</v>
      </c>
      <c r="W320" s="1" t="s">
        <v>6792</v>
      </c>
      <c r="X320" s="1" t="s">
        <v>6793</v>
      </c>
      <c r="Y320" s="1" t="s">
        <v>6794</v>
      </c>
      <c r="Z320" s="1" t="s">
        <v>6795</v>
      </c>
      <c r="AA320" s="1" t="s">
        <v>6796</v>
      </c>
      <c r="AB320" s="1" t="s">
        <v>6797</v>
      </c>
      <c r="AC320" s="1" t="s">
        <v>6798</v>
      </c>
      <c r="AD320" s="1" t="s">
        <v>6799</v>
      </c>
      <c r="AE320" s="1" t="s">
        <v>6800</v>
      </c>
      <c r="AF320" s="1" t="s">
        <v>74</v>
      </c>
      <c r="AG320" s="1">
        <v>44.0</v>
      </c>
      <c r="AH320" s="1">
        <v>7.0</v>
      </c>
      <c r="AI320" s="1">
        <v>7.0</v>
      </c>
      <c r="AJ320" s="1">
        <v>63.0</v>
      </c>
      <c r="AK320" s="1">
        <v>214.0</v>
      </c>
      <c r="AL320" s="1" t="s">
        <v>275</v>
      </c>
      <c r="AM320" s="1" t="s">
        <v>276</v>
      </c>
      <c r="AN320" s="1" t="s">
        <v>277</v>
      </c>
      <c r="AO320" s="1" t="s">
        <v>74</v>
      </c>
      <c r="AP320" s="1" t="s">
        <v>6801</v>
      </c>
      <c r="AQ320" s="1" t="s">
        <v>74</v>
      </c>
      <c r="AR320" s="1" t="s">
        <v>6802</v>
      </c>
      <c r="AS320" s="1" t="s">
        <v>6803</v>
      </c>
      <c r="AT320" s="1" t="s">
        <v>6804</v>
      </c>
      <c r="AU320" s="1">
        <v>2022.0</v>
      </c>
      <c r="AV320" s="1">
        <v>10.0</v>
      </c>
      <c r="AW320" s="1" t="s">
        <v>74</v>
      </c>
      <c r="AX320" s="1" t="s">
        <v>74</v>
      </c>
      <c r="AY320" s="1" t="s">
        <v>74</v>
      </c>
      <c r="AZ320" s="1" t="s">
        <v>74</v>
      </c>
      <c r="BA320" s="1" t="s">
        <v>74</v>
      </c>
      <c r="BB320" s="1" t="s">
        <v>74</v>
      </c>
      <c r="BC320" s="1" t="s">
        <v>74</v>
      </c>
      <c r="BD320" s="1">
        <v>944467.0</v>
      </c>
      <c r="BE320" s="1" t="s">
        <v>6805</v>
      </c>
      <c r="BF320" s="2" t="str">
        <f>HYPERLINK("http://dx.doi.org/10.3389/fenvs.2022.944467","http://dx.doi.org/10.3389/fenvs.2022.944467")</f>
        <v>http://dx.doi.org/10.3389/fenvs.2022.944467</v>
      </c>
      <c r="BG320" s="1" t="s">
        <v>74</v>
      </c>
      <c r="BH320" s="1" t="s">
        <v>74</v>
      </c>
      <c r="BI320" s="1">
        <v>11.0</v>
      </c>
      <c r="BJ320" s="1" t="s">
        <v>893</v>
      </c>
      <c r="BK320" s="1" t="s">
        <v>149</v>
      </c>
      <c r="BL320" s="1" t="s">
        <v>894</v>
      </c>
      <c r="BM320" s="1" t="s">
        <v>6806</v>
      </c>
      <c r="BN320" s="1" t="s">
        <v>74</v>
      </c>
      <c r="BO320" s="1" t="s">
        <v>174</v>
      </c>
      <c r="BP320" s="1" t="s">
        <v>74</v>
      </c>
      <c r="BQ320" s="1" t="s">
        <v>74</v>
      </c>
      <c r="BR320" s="1" t="s">
        <v>102</v>
      </c>
      <c r="BS320" s="1" t="s">
        <v>6807</v>
      </c>
      <c r="BT320" s="1" t="str">
        <f>HYPERLINK("https%3A%2F%2Fwww.webofscience.com%2Fwos%2Fwoscc%2Ffull-record%2FWOS:000829228100001","View Full Record in Web of Science")</f>
        <v>View Full Record in Web of Science</v>
      </c>
    </row>
    <row r="321" ht="12.75" customHeight="1">
      <c r="A321" s="1" t="s">
        <v>132</v>
      </c>
      <c r="B321" s="1" t="s">
        <v>6808</v>
      </c>
      <c r="C321" s="1" t="s">
        <v>74</v>
      </c>
      <c r="D321" s="1" t="s">
        <v>74</v>
      </c>
      <c r="E321" s="1" t="s">
        <v>74</v>
      </c>
      <c r="F321" s="1" t="s">
        <v>6809</v>
      </c>
      <c r="G321" s="1" t="s">
        <v>74</v>
      </c>
      <c r="H321" s="1" t="s">
        <v>74</v>
      </c>
      <c r="I321" s="1" t="s">
        <v>6810</v>
      </c>
      <c r="J321" s="1" t="s">
        <v>6811</v>
      </c>
      <c r="K321" s="1" t="s">
        <v>74</v>
      </c>
      <c r="L321" s="1" t="s">
        <v>74</v>
      </c>
      <c r="M321" s="1" t="s">
        <v>80</v>
      </c>
      <c r="N321" s="1" t="s">
        <v>1010</v>
      </c>
      <c r="O321" s="1" t="s">
        <v>74</v>
      </c>
      <c r="P321" s="1" t="s">
        <v>74</v>
      </c>
      <c r="Q321" s="1" t="s">
        <v>74</v>
      </c>
      <c r="R321" s="1" t="s">
        <v>74</v>
      </c>
      <c r="S321" s="1" t="s">
        <v>74</v>
      </c>
      <c r="T321" s="1" t="s">
        <v>6812</v>
      </c>
      <c r="U321" s="1" t="s">
        <v>6813</v>
      </c>
      <c r="V321" s="1" t="s">
        <v>6814</v>
      </c>
      <c r="W321" s="1" t="s">
        <v>6815</v>
      </c>
      <c r="X321" s="1" t="s">
        <v>6816</v>
      </c>
      <c r="Y321" s="1" t="s">
        <v>6817</v>
      </c>
      <c r="Z321" s="1" t="s">
        <v>74</v>
      </c>
      <c r="AA321" s="1" t="s">
        <v>6818</v>
      </c>
      <c r="AB321" s="1" t="s">
        <v>6819</v>
      </c>
      <c r="AC321" s="1" t="s">
        <v>6820</v>
      </c>
      <c r="AD321" s="1" t="s">
        <v>6821</v>
      </c>
      <c r="AE321" s="1" t="s">
        <v>6822</v>
      </c>
      <c r="AF321" s="1" t="s">
        <v>74</v>
      </c>
      <c r="AG321" s="1">
        <v>257.0</v>
      </c>
      <c r="AH321" s="1">
        <v>9.0</v>
      </c>
      <c r="AI321" s="1">
        <v>9.0</v>
      </c>
      <c r="AJ321" s="1">
        <v>11.0</v>
      </c>
      <c r="AK321" s="1">
        <v>43.0</v>
      </c>
      <c r="AL321" s="1" t="s">
        <v>6823</v>
      </c>
      <c r="AM321" s="1" t="s">
        <v>6824</v>
      </c>
      <c r="AN321" s="1" t="s">
        <v>6825</v>
      </c>
      <c r="AO321" s="1" t="s">
        <v>6826</v>
      </c>
      <c r="AP321" s="1" t="s">
        <v>6827</v>
      </c>
      <c r="AQ321" s="1" t="s">
        <v>74</v>
      </c>
      <c r="AR321" s="1" t="s">
        <v>6828</v>
      </c>
      <c r="AS321" s="1" t="s">
        <v>6829</v>
      </c>
      <c r="AT321" s="1" t="s">
        <v>6830</v>
      </c>
      <c r="AU321" s="1">
        <v>2023.0</v>
      </c>
      <c r="AV321" s="1">
        <v>103.0</v>
      </c>
      <c r="AW321" s="1">
        <v>4.0</v>
      </c>
      <c r="AX321" s="1" t="s">
        <v>74</v>
      </c>
      <c r="AY321" s="1" t="s">
        <v>74</v>
      </c>
      <c r="AZ321" s="1" t="s">
        <v>74</v>
      </c>
      <c r="BA321" s="1" t="s">
        <v>74</v>
      </c>
      <c r="BB321" s="1">
        <v>2423.0</v>
      </c>
      <c r="BC321" s="1">
        <v>2450.0</v>
      </c>
      <c r="BD321" s="1" t="s">
        <v>74</v>
      </c>
      <c r="BE321" s="1" t="s">
        <v>6831</v>
      </c>
      <c r="BF321" s="2" t="str">
        <f>HYPERLINK("http://dx.doi.org/10.1152/physrev.00033.2022","http://dx.doi.org/10.1152/physrev.00033.2022")</f>
        <v>http://dx.doi.org/10.1152/physrev.00033.2022</v>
      </c>
      <c r="BG321" s="1" t="s">
        <v>74</v>
      </c>
      <c r="BH321" s="1" t="s">
        <v>74</v>
      </c>
      <c r="BI321" s="1">
        <v>29.0</v>
      </c>
      <c r="BJ321" s="1" t="s">
        <v>6832</v>
      </c>
      <c r="BK321" s="1" t="s">
        <v>149</v>
      </c>
      <c r="BL321" s="1" t="s">
        <v>6832</v>
      </c>
      <c r="BM321" s="1" t="s">
        <v>6833</v>
      </c>
      <c r="BN321" s="1">
        <v>3.7104717E7</v>
      </c>
      <c r="BO321" s="1" t="s">
        <v>1997</v>
      </c>
      <c r="BP321" s="1" t="s">
        <v>74</v>
      </c>
      <c r="BQ321" s="1" t="s">
        <v>74</v>
      </c>
      <c r="BR321" s="1" t="s">
        <v>102</v>
      </c>
      <c r="BS321" s="1" t="s">
        <v>6834</v>
      </c>
      <c r="BT321" s="1" t="str">
        <f>HYPERLINK("https%3A%2F%2Fwww.webofscience.com%2Fwos%2Fwoscc%2Ffull-record%2FWOS:001034269500002","View Full Record in Web of Science")</f>
        <v>View Full Record in Web of Science</v>
      </c>
    </row>
    <row r="322" ht="12.75" customHeight="1">
      <c r="A322" s="1" t="s">
        <v>132</v>
      </c>
      <c r="B322" s="1" t="s">
        <v>6835</v>
      </c>
      <c r="C322" s="1" t="s">
        <v>74</v>
      </c>
      <c r="D322" s="1" t="s">
        <v>74</v>
      </c>
      <c r="E322" s="1" t="s">
        <v>74</v>
      </c>
      <c r="F322" s="1" t="s">
        <v>6836</v>
      </c>
      <c r="G322" s="1" t="s">
        <v>74</v>
      </c>
      <c r="H322" s="1" t="s">
        <v>74</v>
      </c>
      <c r="I322" s="1" t="s">
        <v>6837</v>
      </c>
      <c r="J322" s="1" t="s">
        <v>6838</v>
      </c>
      <c r="K322" s="1" t="s">
        <v>74</v>
      </c>
      <c r="L322" s="1" t="s">
        <v>74</v>
      </c>
      <c r="M322" s="1" t="s">
        <v>3379</v>
      </c>
      <c r="N322" s="1" t="s">
        <v>136</v>
      </c>
      <c r="O322" s="1" t="s">
        <v>74</v>
      </c>
      <c r="P322" s="1" t="s">
        <v>74</v>
      </c>
      <c r="Q322" s="1" t="s">
        <v>74</v>
      </c>
      <c r="R322" s="1" t="s">
        <v>74</v>
      </c>
      <c r="S322" s="1" t="s">
        <v>74</v>
      </c>
      <c r="T322" s="1" t="s">
        <v>6839</v>
      </c>
      <c r="U322" s="1" t="s">
        <v>6840</v>
      </c>
      <c r="V322" s="1" t="s">
        <v>6841</v>
      </c>
      <c r="W322" s="1" t="s">
        <v>6842</v>
      </c>
      <c r="X322" s="1" t="s">
        <v>6843</v>
      </c>
      <c r="Y322" s="1" t="s">
        <v>6844</v>
      </c>
      <c r="Z322" s="1" t="s">
        <v>6845</v>
      </c>
      <c r="AA322" s="1" t="s">
        <v>6846</v>
      </c>
      <c r="AB322" s="1" t="s">
        <v>6847</v>
      </c>
      <c r="AC322" s="1" t="s">
        <v>74</v>
      </c>
      <c r="AD322" s="1" t="s">
        <v>74</v>
      </c>
      <c r="AE322" s="1" t="s">
        <v>74</v>
      </c>
      <c r="AF322" s="1" t="s">
        <v>74</v>
      </c>
      <c r="AG322" s="1">
        <v>71.0</v>
      </c>
      <c r="AH322" s="1">
        <v>16.0</v>
      </c>
      <c r="AI322" s="1">
        <v>16.0</v>
      </c>
      <c r="AJ322" s="1">
        <v>6.0</v>
      </c>
      <c r="AK322" s="1">
        <v>14.0</v>
      </c>
      <c r="AL322" s="1" t="s">
        <v>4885</v>
      </c>
      <c r="AM322" s="1" t="s">
        <v>4886</v>
      </c>
      <c r="AN322" s="1" t="s">
        <v>4887</v>
      </c>
      <c r="AO322" s="1" t="s">
        <v>6848</v>
      </c>
      <c r="AP322" s="1" t="s">
        <v>6849</v>
      </c>
      <c r="AQ322" s="1" t="s">
        <v>74</v>
      </c>
      <c r="AR322" s="1" t="s">
        <v>6850</v>
      </c>
      <c r="AS322" s="1" t="s">
        <v>6851</v>
      </c>
      <c r="AT322" s="1" t="s">
        <v>870</v>
      </c>
      <c r="AU322" s="1">
        <v>2023.0</v>
      </c>
      <c r="AV322" s="1">
        <v>83.0</v>
      </c>
      <c r="AW322" s="1">
        <v>1.0</v>
      </c>
      <c r="AX322" s="1" t="s">
        <v>74</v>
      </c>
      <c r="AY322" s="1" t="s">
        <v>74</v>
      </c>
      <c r="AZ322" s="1" t="s">
        <v>74</v>
      </c>
      <c r="BA322" s="1" t="s">
        <v>74</v>
      </c>
      <c r="BB322" s="1">
        <v>106.0</v>
      </c>
      <c r="BC322" s="1" t="s">
        <v>1280</v>
      </c>
      <c r="BD322" s="1" t="s">
        <v>74</v>
      </c>
      <c r="BE322" s="1" t="s">
        <v>6852</v>
      </c>
      <c r="BF322" s="2" t="str">
        <f>HYPERLINK("http://dx.doi.org/10.1055/a-1866-2792","http://dx.doi.org/10.1055/a-1866-2792")</f>
        <v>http://dx.doi.org/10.1055/a-1866-2792</v>
      </c>
      <c r="BG322" s="1" t="s">
        <v>74</v>
      </c>
      <c r="BH322" s="1" t="s">
        <v>74</v>
      </c>
      <c r="BI322" s="1">
        <v>11.0</v>
      </c>
      <c r="BJ322" s="1" t="s">
        <v>6853</v>
      </c>
      <c r="BK322" s="1" t="s">
        <v>149</v>
      </c>
      <c r="BL322" s="1" t="s">
        <v>6853</v>
      </c>
      <c r="BM322" s="1" t="s">
        <v>6854</v>
      </c>
      <c r="BN322" s="1">
        <v>3.6643877E7</v>
      </c>
      <c r="BO322" s="1" t="s">
        <v>3027</v>
      </c>
      <c r="BP322" s="1" t="s">
        <v>74</v>
      </c>
      <c r="BQ322" s="1" t="s">
        <v>74</v>
      </c>
      <c r="BR322" s="1" t="s">
        <v>102</v>
      </c>
      <c r="BS322" s="1" t="s">
        <v>6855</v>
      </c>
      <c r="BT322" s="1" t="str">
        <f>HYPERLINK("https%3A%2F%2Fwww.webofscience.com%2Fwos%2Fwoscc%2Ffull-record%2FWOS:001110464900012","View Full Record in Web of Science")</f>
        <v>View Full Record in Web of Science</v>
      </c>
    </row>
    <row r="323" ht="12.75" customHeight="1">
      <c r="A323" s="1" t="s">
        <v>132</v>
      </c>
      <c r="B323" s="1" t="s">
        <v>6856</v>
      </c>
      <c r="C323" s="1" t="s">
        <v>74</v>
      </c>
      <c r="D323" s="1" t="s">
        <v>74</v>
      </c>
      <c r="E323" s="1" t="s">
        <v>74</v>
      </c>
      <c r="F323" s="1" t="s">
        <v>6857</v>
      </c>
      <c r="G323" s="1" t="s">
        <v>74</v>
      </c>
      <c r="H323" s="1" t="s">
        <v>74</v>
      </c>
      <c r="I323" s="1" t="s">
        <v>6858</v>
      </c>
      <c r="J323" s="1" t="s">
        <v>5018</v>
      </c>
      <c r="K323" s="1" t="s">
        <v>74</v>
      </c>
      <c r="L323" s="1" t="s">
        <v>74</v>
      </c>
      <c r="M323" s="1" t="s">
        <v>80</v>
      </c>
      <c r="N323" s="1" t="s">
        <v>136</v>
      </c>
      <c r="O323" s="1" t="s">
        <v>74</v>
      </c>
      <c r="P323" s="1" t="s">
        <v>74</v>
      </c>
      <c r="Q323" s="1" t="s">
        <v>74</v>
      </c>
      <c r="R323" s="1" t="s">
        <v>74</v>
      </c>
      <c r="S323" s="1" t="s">
        <v>74</v>
      </c>
      <c r="T323" s="1" t="s">
        <v>6859</v>
      </c>
      <c r="U323" s="1" t="s">
        <v>6860</v>
      </c>
      <c r="V323" s="1" t="s">
        <v>6861</v>
      </c>
      <c r="W323" s="1" t="s">
        <v>6862</v>
      </c>
      <c r="X323" s="1" t="s">
        <v>6863</v>
      </c>
      <c r="Y323" s="1" t="s">
        <v>6864</v>
      </c>
      <c r="Z323" s="1" t="s">
        <v>6865</v>
      </c>
      <c r="AA323" s="1" t="s">
        <v>74</v>
      </c>
      <c r="AB323" s="1" t="s">
        <v>6866</v>
      </c>
      <c r="AC323" s="1" t="s">
        <v>74</v>
      </c>
      <c r="AD323" s="1" t="s">
        <v>74</v>
      </c>
      <c r="AE323" s="1" t="s">
        <v>74</v>
      </c>
      <c r="AF323" s="1" t="s">
        <v>74</v>
      </c>
      <c r="AG323" s="1">
        <v>105.0</v>
      </c>
      <c r="AH323" s="1">
        <v>11.0</v>
      </c>
      <c r="AI323" s="1">
        <v>11.0</v>
      </c>
      <c r="AJ323" s="1">
        <v>29.0</v>
      </c>
      <c r="AK323" s="1">
        <v>108.0</v>
      </c>
      <c r="AL323" s="1" t="s">
        <v>1970</v>
      </c>
      <c r="AM323" s="1" t="s">
        <v>1658</v>
      </c>
      <c r="AN323" s="1" t="s">
        <v>1971</v>
      </c>
      <c r="AO323" s="1" t="s">
        <v>74</v>
      </c>
      <c r="AP323" s="1" t="s">
        <v>5029</v>
      </c>
      <c r="AQ323" s="1" t="s">
        <v>74</v>
      </c>
      <c r="AR323" s="1" t="s">
        <v>5030</v>
      </c>
      <c r="AS323" s="1" t="s">
        <v>5031</v>
      </c>
      <c r="AT323" s="1" t="s">
        <v>1027</v>
      </c>
      <c r="AU323" s="1">
        <v>2023.0</v>
      </c>
      <c r="AV323" s="1">
        <v>15.0</v>
      </c>
      <c r="AW323" s="1">
        <v>6.0</v>
      </c>
      <c r="AX323" s="1" t="s">
        <v>74</v>
      </c>
      <c r="AY323" s="1" t="s">
        <v>74</v>
      </c>
      <c r="AZ323" s="1" t="s">
        <v>74</v>
      </c>
      <c r="BA323" s="1" t="s">
        <v>74</v>
      </c>
      <c r="BB323" s="1" t="s">
        <v>74</v>
      </c>
      <c r="BC323" s="1" t="s">
        <v>74</v>
      </c>
      <c r="BD323" s="1">
        <v>4796.0</v>
      </c>
      <c r="BE323" s="1" t="s">
        <v>6867</v>
      </c>
      <c r="BF323" s="2" t="str">
        <f>HYPERLINK("http://dx.doi.org/10.3390/su15064796","http://dx.doi.org/10.3390/su15064796")</f>
        <v>http://dx.doi.org/10.3390/su15064796</v>
      </c>
      <c r="BG323" s="1" t="s">
        <v>74</v>
      </c>
      <c r="BH323" s="1" t="s">
        <v>74</v>
      </c>
      <c r="BI323" s="1">
        <v>22.0</v>
      </c>
      <c r="BJ323" s="1" t="s">
        <v>5033</v>
      </c>
      <c r="BK323" s="1" t="s">
        <v>783</v>
      </c>
      <c r="BL323" s="1" t="s">
        <v>3612</v>
      </c>
      <c r="BM323" s="1" t="s">
        <v>6868</v>
      </c>
      <c r="BN323" s="1" t="s">
        <v>74</v>
      </c>
      <c r="BO323" s="1" t="s">
        <v>174</v>
      </c>
      <c r="BP323" s="1" t="s">
        <v>74</v>
      </c>
      <c r="BQ323" s="1" t="s">
        <v>74</v>
      </c>
      <c r="BR323" s="1" t="s">
        <v>102</v>
      </c>
      <c r="BS323" s="1" t="s">
        <v>6869</v>
      </c>
      <c r="BT323" s="1" t="str">
        <f>HYPERLINK("https%3A%2F%2Fwww.webofscience.com%2Fwos%2Fwoscc%2Ffull-record%2FWOS:000957921700001","View Full Record in Web of Science")</f>
        <v>View Full Record in Web of Science</v>
      </c>
    </row>
    <row r="324" ht="12.75" customHeight="1">
      <c r="A324" s="1" t="s">
        <v>132</v>
      </c>
      <c r="B324" s="1" t="s">
        <v>6870</v>
      </c>
      <c r="C324" s="1" t="s">
        <v>74</v>
      </c>
      <c r="D324" s="1" t="s">
        <v>74</v>
      </c>
      <c r="E324" s="1" t="s">
        <v>74</v>
      </c>
      <c r="F324" s="1" t="s">
        <v>6871</v>
      </c>
      <c r="G324" s="1" t="s">
        <v>74</v>
      </c>
      <c r="H324" s="1" t="s">
        <v>74</v>
      </c>
      <c r="I324" s="1" t="s">
        <v>6872</v>
      </c>
      <c r="J324" s="1" t="s">
        <v>6873</v>
      </c>
      <c r="K324" s="1" t="s">
        <v>74</v>
      </c>
      <c r="L324" s="1" t="s">
        <v>74</v>
      </c>
      <c r="M324" s="1" t="s">
        <v>80</v>
      </c>
      <c r="N324" s="1" t="s">
        <v>136</v>
      </c>
      <c r="O324" s="1" t="s">
        <v>74</v>
      </c>
      <c r="P324" s="1" t="s">
        <v>74</v>
      </c>
      <c r="Q324" s="1" t="s">
        <v>74</v>
      </c>
      <c r="R324" s="1" t="s">
        <v>74</v>
      </c>
      <c r="S324" s="1" t="s">
        <v>74</v>
      </c>
      <c r="T324" s="1" t="s">
        <v>6874</v>
      </c>
      <c r="U324" s="1" t="s">
        <v>6875</v>
      </c>
      <c r="V324" s="1" t="s">
        <v>6876</v>
      </c>
      <c r="W324" s="1" t="s">
        <v>6877</v>
      </c>
      <c r="X324" s="1" t="s">
        <v>6878</v>
      </c>
      <c r="Y324" s="1" t="s">
        <v>6879</v>
      </c>
      <c r="Z324" s="1" t="s">
        <v>6880</v>
      </c>
      <c r="AA324" s="1" t="s">
        <v>74</v>
      </c>
      <c r="AB324" s="1" t="s">
        <v>6881</v>
      </c>
      <c r="AC324" s="1" t="s">
        <v>74</v>
      </c>
      <c r="AD324" s="1" t="s">
        <v>74</v>
      </c>
      <c r="AE324" s="1" t="s">
        <v>74</v>
      </c>
      <c r="AF324" s="1" t="s">
        <v>74</v>
      </c>
      <c r="AG324" s="1">
        <v>48.0</v>
      </c>
      <c r="AH324" s="1">
        <v>12.0</v>
      </c>
      <c r="AI324" s="1">
        <v>13.0</v>
      </c>
      <c r="AJ324" s="1">
        <v>21.0</v>
      </c>
      <c r="AK324" s="1">
        <v>113.0</v>
      </c>
      <c r="AL324" s="1" t="s">
        <v>595</v>
      </c>
      <c r="AM324" s="1" t="s">
        <v>467</v>
      </c>
      <c r="AN324" s="1" t="s">
        <v>596</v>
      </c>
      <c r="AO324" s="1" t="s">
        <v>6882</v>
      </c>
      <c r="AP324" s="1" t="s">
        <v>6883</v>
      </c>
      <c r="AQ324" s="1" t="s">
        <v>74</v>
      </c>
      <c r="AR324" s="1" t="s">
        <v>6884</v>
      </c>
      <c r="AS324" s="1" t="s">
        <v>6885</v>
      </c>
      <c r="AT324" s="1" t="s">
        <v>2377</v>
      </c>
      <c r="AU324" s="1">
        <v>2022.0</v>
      </c>
      <c r="AV324" s="1">
        <v>26.0</v>
      </c>
      <c r="AW324" s="1">
        <v>3.0</v>
      </c>
      <c r="AX324" s="1" t="s">
        <v>74</v>
      </c>
      <c r="AY324" s="1" t="s">
        <v>74</v>
      </c>
      <c r="AZ324" s="1" t="s">
        <v>474</v>
      </c>
      <c r="BA324" s="1" t="s">
        <v>74</v>
      </c>
      <c r="BB324" s="1">
        <v>295.0</v>
      </c>
      <c r="BC324" s="1">
        <v>305.0</v>
      </c>
      <c r="BD324" s="1" t="s">
        <v>74</v>
      </c>
      <c r="BE324" s="1" t="s">
        <v>6886</v>
      </c>
      <c r="BF324" s="2" t="str">
        <f>HYPERLINK("http://dx.doi.org/10.1080/09718524.2022.2128254","http://dx.doi.org/10.1080/09718524.2022.2128254")</f>
        <v>http://dx.doi.org/10.1080/09718524.2022.2128254</v>
      </c>
      <c r="BG324" s="1" t="s">
        <v>74</v>
      </c>
      <c r="BH324" s="1" t="s">
        <v>3050</v>
      </c>
      <c r="BI324" s="1">
        <v>11.0</v>
      </c>
      <c r="BJ324" s="1" t="s">
        <v>98</v>
      </c>
      <c r="BK324" s="1" t="s">
        <v>172</v>
      </c>
      <c r="BL324" s="1" t="s">
        <v>100</v>
      </c>
      <c r="BM324" s="1" t="s">
        <v>6887</v>
      </c>
      <c r="BN324" s="1" t="s">
        <v>74</v>
      </c>
      <c r="BO324" s="1" t="s">
        <v>74</v>
      </c>
      <c r="BP324" s="1" t="s">
        <v>74</v>
      </c>
      <c r="BQ324" s="1" t="s">
        <v>74</v>
      </c>
      <c r="BR324" s="1" t="s">
        <v>102</v>
      </c>
      <c r="BS324" s="1" t="s">
        <v>6888</v>
      </c>
      <c r="BT324" s="1" t="str">
        <f>HYPERLINK("https%3A%2F%2Fwww.webofscience.com%2Fwos%2Fwoscc%2Ffull-record%2FWOS:000880251400001","View Full Record in Web of Science")</f>
        <v>View Full Record in Web of Science</v>
      </c>
    </row>
    <row r="325" ht="12.75" customHeight="1">
      <c r="A325" s="1" t="s">
        <v>132</v>
      </c>
      <c r="B325" s="1" t="s">
        <v>6889</v>
      </c>
      <c r="C325" s="1" t="s">
        <v>74</v>
      </c>
      <c r="D325" s="1" t="s">
        <v>74</v>
      </c>
      <c r="E325" s="1" t="s">
        <v>74</v>
      </c>
      <c r="F325" s="1" t="s">
        <v>6890</v>
      </c>
      <c r="G325" s="1" t="s">
        <v>74</v>
      </c>
      <c r="H325" s="1" t="s">
        <v>74</v>
      </c>
      <c r="I325" s="1" t="s">
        <v>6891</v>
      </c>
      <c r="J325" s="1" t="s">
        <v>1602</v>
      </c>
      <c r="K325" s="1" t="s">
        <v>74</v>
      </c>
      <c r="L325" s="1" t="s">
        <v>74</v>
      </c>
      <c r="M325" s="1" t="s">
        <v>80</v>
      </c>
      <c r="N325" s="1" t="s">
        <v>136</v>
      </c>
      <c r="O325" s="1" t="s">
        <v>74</v>
      </c>
      <c r="P325" s="1" t="s">
        <v>74</v>
      </c>
      <c r="Q325" s="1" t="s">
        <v>74</v>
      </c>
      <c r="R325" s="1" t="s">
        <v>74</v>
      </c>
      <c r="S325" s="1" t="s">
        <v>74</v>
      </c>
      <c r="T325" s="1" t="s">
        <v>6892</v>
      </c>
      <c r="U325" s="1" t="s">
        <v>6893</v>
      </c>
      <c r="V325" s="1" t="s">
        <v>6894</v>
      </c>
      <c r="W325" s="1" t="s">
        <v>6895</v>
      </c>
      <c r="X325" s="1" t="s">
        <v>6896</v>
      </c>
      <c r="Y325" s="1" t="s">
        <v>6897</v>
      </c>
      <c r="Z325" s="1" t="s">
        <v>6898</v>
      </c>
      <c r="AA325" s="1" t="s">
        <v>74</v>
      </c>
      <c r="AB325" s="1" t="s">
        <v>6899</v>
      </c>
      <c r="AC325" s="1" t="s">
        <v>6900</v>
      </c>
      <c r="AD325" s="1" t="s">
        <v>6901</v>
      </c>
      <c r="AE325" s="1" t="s">
        <v>6902</v>
      </c>
      <c r="AF325" s="1" t="s">
        <v>74</v>
      </c>
      <c r="AG325" s="1">
        <v>105.0</v>
      </c>
      <c r="AH325" s="1">
        <v>60.0</v>
      </c>
      <c r="AI325" s="1">
        <v>71.0</v>
      </c>
      <c r="AJ325" s="1">
        <v>60.0</v>
      </c>
      <c r="AK325" s="1">
        <v>373.0</v>
      </c>
      <c r="AL325" s="1" t="s">
        <v>1612</v>
      </c>
      <c r="AM325" s="1" t="s">
        <v>1613</v>
      </c>
      <c r="AN325" s="1" t="s">
        <v>1614</v>
      </c>
      <c r="AO325" s="1" t="s">
        <v>1615</v>
      </c>
      <c r="AP325" s="1" t="s">
        <v>74</v>
      </c>
      <c r="AQ325" s="1" t="s">
        <v>74</v>
      </c>
      <c r="AR325" s="1" t="s">
        <v>1602</v>
      </c>
      <c r="AS325" s="1" t="s">
        <v>1616</v>
      </c>
      <c r="AT325" s="1" t="s">
        <v>74</v>
      </c>
      <c r="AU325" s="1">
        <v>2020.0</v>
      </c>
      <c r="AV325" s="1">
        <v>8.0</v>
      </c>
      <c r="AW325" s="1" t="s">
        <v>74</v>
      </c>
      <c r="AX325" s="1" t="s">
        <v>74</v>
      </c>
      <c r="AY325" s="1" t="s">
        <v>74</v>
      </c>
      <c r="AZ325" s="1" t="s">
        <v>74</v>
      </c>
      <c r="BA325" s="1" t="s">
        <v>74</v>
      </c>
      <c r="BB325" s="1">
        <v>110461.0</v>
      </c>
      <c r="BC325" s="1">
        <v>110477.0</v>
      </c>
      <c r="BD325" s="1" t="s">
        <v>74</v>
      </c>
      <c r="BE325" s="1" t="s">
        <v>6903</v>
      </c>
      <c r="BF325" s="2" t="str">
        <f>HYPERLINK("http://dx.doi.org/10.1109/ACCESS.2020.3000505","http://dx.doi.org/10.1109/ACCESS.2020.3000505")</f>
        <v>http://dx.doi.org/10.1109/ACCESS.2020.3000505</v>
      </c>
      <c r="BG325" s="1" t="s">
        <v>74</v>
      </c>
      <c r="BH325" s="1" t="s">
        <v>74</v>
      </c>
      <c r="BI325" s="1">
        <v>17.0</v>
      </c>
      <c r="BJ325" s="1" t="s">
        <v>1618</v>
      </c>
      <c r="BK325" s="1" t="s">
        <v>149</v>
      </c>
      <c r="BL325" s="1" t="s">
        <v>1619</v>
      </c>
      <c r="BM325" s="1" t="s">
        <v>6904</v>
      </c>
      <c r="BN325" s="1" t="s">
        <v>74</v>
      </c>
      <c r="BO325" s="1" t="s">
        <v>174</v>
      </c>
      <c r="BP325" s="1" t="s">
        <v>74</v>
      </c>
      <c r="BQ325" s="1" t="s">
        <v>74</v>
      </c>
      <c r="BR325" s="1" t="s">
        <v>102</v>
      </c>
      <c r="BS325" s="1" t="s">
        <v>6905</v>
      </c>
      <c r="BT325" s="1" t="str">
        <f>HYPERLINK("https%3A%2F%2Fwww.webofscience.com%2Fwos%2Fwoscc%2Ffull-record%2FWOS:000546414000079","View Full Record in Web of Science")</f>
        <v>View Full Record in Web of Science</v>
      </c>
    </row>
    <row r="326" ht="12.75" customHeight="1">
      <c r="A326" s="1" t="s">
        <v>132</v>
      </c>
      <c r="B326" s="1" t="s">
        <v>6906</v>
      </c>
      <c r="C326" s="1" t="s">
        <v>74</v>
      </c>
      <c r="D326" s="1" t="s">
        <v>74</v>
      </c>
      <c r="E326" s="1" t="s">
        <v>74</v>
      </c>
      <c r="F326" s="1" t="s">
        <v>6907</v>
      </c>
      <c r="G326" s="1" t="s">
        <v>74</v>
      </c>
      <c r="H326" s="1" t="s">
        <v>74</v>
      </c>
      <c r="I326" s="1" t="s">
        <v>6908</v>
      </c>
      <c r="J326" s="1" t="s">
        <v>4920</v>
      </c>
      <c r="K326" s="1" t="s">
        <v>74</v>
      </c>
      <c r="L326" s="1" t="s">
        <v>74</v>
      </c>
      <c r="M326" s="1" t="s">
        <v>80</v>
      </c>
      <c r="N326" s="1" t="s">
        <v>1010</v>
      </c>
      <c r="O326" s="1" t="s">
        <v>74</v>
      </c>
      <c r="P326" s="1" t="s">
        <v>74</v>
      </c>
      <c r="Q326" s="1" t="s">
        <v>74</v>
      </c>
      <c r="R326" s="1" t="s">
        <v>74</v>
      </c>
      <c r="S326" s="1" t="s">
        <v>74</v>
      </c>
      <c r="T326" s="1" t="s">
        <v>6909</v>
      </c>
      <c r="U326" s="1" t="s">
        <v>6910</v>
      </c>
      <c r="V326" s="1" t="s">
        <v>6911</v>
      </c>
      <c r="W326" s="1" t="s">
        <v>6912</v>
      </c>
      <c r="X326" s="1" t="s">
        <v>6913</v>
      </c>
      <c r="Y326" s="1" t="s">
        <v>6914</v>
      </c>
      <c r="Z326" s="1" t="s">
        <v>6915</v>
      </c>
      <c r="AA326" s="1" t="s">
        <v>6916</v>
      </c>
      <c r="AB326" s="1" t="s">
        <v>6917</v>
      </c>
      <c r="AC326" s="1" t="s">
        <v>74</v>
      </c>
      <c r="AD326" s="1" t="s">
        <v>74</v>
      </c>
      <c r="AE326" s="1" t="s">
        <v>74</v>
      </c>
      <c r="AF326" s="1" t="s">
        <v>74</v>
      </c>
      <c r="AG326" s="1">
        <v>108.0</v>
      </c>
      <c r="AH326" s="1">
        <v>0.0</v>
      </c>
      <c r="AI326" s="1">
        <v>0.0</v>
      </c>
      <c r="AJ326" s="1">
        <v>23.0</v>
      </c>
      <c r="AK326" s="1">
        <v>23.0</v>
      </c>
      <c r="AL326" s="1" t="s">
        <v>1970</v>
      </c>
      <c r="AM326" s="1" t="s">
        <v>1658</v>
      </c>
      <c r="AN326" s="1" t="s">
        <v>1971</v>
      </c>
      <c r="AO326" s="1" t="s">
        <v>74</v>
      </c>
      <c r="AP326" s="1" t="s">
        <v>4930</v>
      </c>
      <c r="AQ326" s="1" t="s">
        <v>74</v>
      </c>
      <c r="AR326" s="1" t="s">
        <v>4920</v>
      </c>
      <c r="AS326" s="1" t="s">
        <v>4931</v>
      </c>
      <c r="AT326" s="1" t="s">
        <v>1709</v>
      </c>
      <c r="AU326" s="1">
        <v>2024.0</v>
      </c>
      <c r="AV326" s="1">
        <v>17.0</v>
      </c>
      <c r="AW326" s="1">
        <v>17.0</v>
      </c>
      <c r="AX326" s="1" t="s">
        <v>74</v>
      </c>
      <c r="AY326" s="1" t="s">
        <v>74</v>
      </c>
      <c r="AZ326" s="1" t="s">
        <v>74</v>
      </c>
      <c r="BA326" s="1" t="s">
        <v>74</v>
      </c>
      <c r="BB326" s="1" t="s">
        <v>74</v>
      </c>
      <c r="BC326" s="1" t="s">
        <v>74</v>
      </c>
      <c r="BD326" s="1">
        <v>4501.0</v>
      </c>
      <c r="BE326" s="1" t="s">
        <v>6918</v>
      </c>
      <c r="BF326" s="2" t="str">
        <f>HYPERLINK("http://dx.doi.org/10.3390/en17174501","http://dx.doi.org/10.3390/en17174501")</f>
        <v>http://dx.doi.org/10.3390/en17174501</v>
      </c>
      <c r="BG326" s="1" t="s">
        <v>74</v>
      </c>
      <c r="BH326" s="1" t="s">
        <v>74</v>
      </c>
      <c r="BI326" s="1">
        <v>22.0</v>
      </c>
      <c r="BJ326" s="1" t="s">
        <v>782</v>
      </c>
      <c r="BK326" s="1" t="s">
        <v>149</v>
      </c>
      <c r="BL326" s="1" t="s">
        <v>782</v>
      </c>
      <c r="BM326" s="1" t="s">
        <v>6919</v>
      </c>
      <c r="BN326" s="1" t="s">
        <v>74</v>
      </c>
      <c r="BO326" s="1" t="s">
        <v>174</v>
      </c>
      <c r="BP326" s="1" t="s">
        <v>74</v>
      </c>
      <c r="BQ326" s="1" t="s">
        <v>74</v>
      </c>
      <c r="BR326" s="1" t="s">
        <v>102</v>
      </c>
      <c r="BS326" s="1" t="s">
        <v>6920</v>
      </c>
      <c r="BT326" s="1" t="str">
        <f>HYPERLINK("https%3A%2F%2Fwww.webofscience.com%2Fwos%2Fwoscc%2Ffull-record%2FWOS:001311014900001","View Full Record in Web of Science")</f>
        <v>View Full Record in Web of Science</v>
      </c>
    </row>
    <row r="327" ht="12.75" customHeight="1">
      <c r="A327" s="1" t="s">
        <v>132</v>
      </c>
      <c r="B327" s="1" t="s">
        <v>6921</v>
      </c>
      <c r="C327" s="1" t="s">
        <v>74</v>
      </c>
      <c r="D327" s="1" t="s">
        <v>74</v>
      </c>
      <c r="E327" s="1" t="s">
        <v>74</v>
      </c>
      <c r="F327" s="1" t="s">
        <v>6922</v>
      </c>
      <c r="G327" s="1" t="s">
        <v>74</v>
      </c>
      <c r="H327" s="1" t="s">
        <v>74</v>
      </c>
      <c r="I327" s="1" t="s">
        <v>6923</v>
      </c>
      <c r="J327" s="1" t="s">
        <v>6924</v>
      </c>
      <c r="K327" s="1" t="s">
        <v>74</v>
      </c>
      <c r="L327" s="1" t="s">
        <v>74</v>
      </c>
      <c r="M327" s="1" t="s">
        <v>80</v>
      </c>
      <c r="N327" s="1" t="s">
        <v>1563</v>
      </c>
      <c r="O327" s="1" t="s">
        <v>74</v>
      </c>
      <c r="P327" s="1" t="s">
        <v>74</v>
      </c>
      <c r="Q327" s="1" t="s">
        <v>74</v>
      </c>
      <c r="R327" s="1" t="s">
        <v>74</v>
      </c>
      <c r="S327" s="1" t="s">
        <v>74</v>
      </c>
      <c r="T327" s="1" t="s">
        <v>6925</v>
      </c>
      <c r="U327" s="1" t="s">
        <v>6926</v>
      </c>
      <c r="V327" s="1" t="s">
        <v>6927</v>
      </c>
      <c r="W327" s="1" t="s">
        <v>6928</v>
      </c>
      <c r="X327" s="1" t="s">
        <v>6929</v>
      </c>
      <c r="Y327" s="1" t="s">
        <v>6930</v>
      </c>
      <c r="Z327" s="1" t="s">
        <v>6931</v>
      </c>
      <c r="AA327" s="1" t="s">
        <v>6932</v>
      </c>
      <c r="AB327" s="1" t="s">
        <v>6933</v>
      </c>
      <c r="AC327" s="1" t="s">
        <v>74</v>
      </c>
      <c r="AD327" s="1" t="s">
        <v>74</v>
      </c>
      <c r="AE327" s="1" t="s">
        <v>74</v>
      </c>
      <c r="AF327" s="1" t="s">
        <v>74</v>
      </c>
      <c r="AG327" s="1">
        <v>22.0</v>
      </c>
      <c r="AH327" s="1">
        <v>19.0</v>
      </c>
      <c r="AI327" s="1">
        <v>21.0</v>
      </c>
      <c r="AJ327" s="1">
        <v>138.0</v>
      </c>
      <c r="AK327" s="1">
        <v>398.0</v>
      </c>
      <c r="AL327" s="1" t="s">
        <v>348</v>
      </c>
      <c r="AM327" s="1" t="s">
        <v>349</v>
      </c>
      <c r="AN327" s="1" t="s">
        <v>350</v>
      </c>
      <c r="AO327" s="1" t="s">
        <v>6934</v>
      </c>
      <c r="AP327" s="1" t="s">
        <v>6935</v>
      </c>
      <c r="AQ327" s="1" t="s">
        <v>74</v>
      </c>
      <c r="AR327" s="1" t="s">
        <v>6936</v>
      </c>
      <c r="AS327" s="1" t="s">
        <v>6937</v>
      </c>
      <c r="AT327" s="1" t="s">
        <v>199</v>
      </c>
      <c r="AU327" s="1">
        <v>2023.0</v>
      </c>
      <c r="AV327" s="1">
        <v>54.0</v>
      </c>
      <c r="AW327" s="1">
        <v>5.0</v>
      </c>
      <c r="AX327" s="1" t="s">
        <v>74</v>
      </c>
      <c r="AY327" s="1" t="s">
        <v>74</v>
      </c>
      <c r="AZ327" s="1" t="s">
        <v>74</v>
      </c>
      <c r="BA327" s="1" t="s">
        <v>74</v>
      </c>
      <c r="BB327" s="1">
        <v>597.0</v>
      </c>
      <c r="BC327" s="1">
        <v>604.0</v>
      </c>
      <c r="BD327" s="1" t="s">
        <v>74</v>
      </c>
      <c r="BE327" s="1" t="s">
        <v>6938</v>
      </c>
      <c r="BF327" s="2" t="str">
        <f>HYPERLINK("http://dx.doi.org/10.1177/13505076231201445","http://dx.doi.org/10.1177/13505076231201445")</f>
        <v>http://dx.doi.org/10.1177/13505076231201445</v>
      </c>
      <c r="BG327" s="1" t="s">
        <v>74</v>
      </c>
      <c r="BH327" s="1" t="s">
        <v>6939</v>
      </c>
      <c r="BI327" s="1">
        <v>8.0</v>
      </c>
      <c r="BJ327" s="1" t="s">
        <v>1776</v>
      </c>
      <c r="BK327" s="1" t="s">
        <v>203</v>
      </c>
      <c r="BL327" s="1" t="s">
        <v>204</v>
      </c>
      <c r="BM327" s="1" t="s">
        <v>6940</v>
      </c>
      <c r="BN327" s="1" t="s">
        <v>74</v>
      </c>
      <c r="BO327" s="1" t="s">
        <v>632</v>
      </c>
      <c r="BP327" s="1" t="s">
        <v>74</v>
      </c>
      <c r="BQ327" s="1" t="s">
        <v>74</v>
      </c>
      <c r="BR327" s="1" t="s">
        <v>102</v>
      </c>
      <c r="BS327" s="1" t="s">
        <v>6941</v>
      </c>
      <c r="BT327" s="1" t="str">
        <f>HYPERLINK("https%3A%2F%2Fwww.webofscience.com%2Fwos%2Fwoscc%2Ffull-record%2FWOS:001081899400001","View Full Record in Web of Science")</f>
        <v>View Full Record in Web of Science</v>
      </c>
    </row>
    <row r="328" ht="12.75" customHeight="1">
      <c r="A328" s="1" t="s">
        <v>132</v>
      </c>
      <c r="B328" s="1" t="s">
        <v>6942</v>
      </c>
      <c r="C328" s="1" t="s">
        <v>74</v>
      </c>
      <c r="D328" s="1" t="s">
        <v>74</v>
      </c>
      <c r="E328" s="1" t="s">
        <v>74</v>
      </c>
      <c r="F328" s="1" t="s">
        <v>6943</v>
      </c>
      <c r="G328" s="1" t="s">
        <v>74</v>
      </c>
      <c r="H328" s="1" t="s">
        <v>74</v>
      </c>
      <c r="I328" s="1" t="s">
        <v>6944</v>
      </c>
      <c r="J328" s="1" t="s">
        <v>6945</v>
      </c>
      <c r="K328" s="1" t="s">
        <v>74</v>
      </c>
      <c r="L328" s="1" t="s">
        <v>74</v>
      </c>
      <c r="M328" s="1" t="s">
        <v>80</v>
      </c>
      <c r="N328" s="1" t="s">
        <v>136</v>
      </c>
      <c r="O328" s="1" t="s">
        <v>74</v>
      </c>
      <c r="P328" s="1" t="s">
        <v>74</v>
      </c>
      <c r="Q328" s="1" t="s">
        <v>74</v>
      </c>
      <c r="R328" s="1" t="s">
        <v>74</v>
      </c>
      <c r="S328" s="1" t="s">
        <v>74</v>
      </c>
      <c r="T328" s="1" t="s">
        <v>6946</v>
      </c>
      <c r="U328" s="1" t="s">
        <v>6947</v>
      </c>
      <c r="V328" s="1" t="s">
        <v>6948</v>
      </c>
      <c r="W328" s="1" t="s">
        <v>6949</v>
      </c>
      <c r="X328" s="1" t="s">
        <v>6950</v>
      </c>
      <c r="Y328" s="1" t="s">
        <v>6951</v>
      </c>
      <c r="Z328" s="1" t="s">
        <v>6952</v>
      </c>
      <c r="AA328" s="1" t="s">
        <v>6953</v>
      </c>
      <c r="AB328" s="1" t="s">
        <v>6954</v>
      </c>
      <c r="AC328" s="1" t="s">
        <v>6955</v>
      </c>
      <c r="AD328" s="1" t="s">
        <v>6956</v>
      </c>
      <c r="AE328" s="1" t="s">
        <v>6957</v>
      </c>
      <c r="AF328" s="1" t="s">
        <v>74</v>
      </c>
      <c r="AG328" s="1">
        <v>100.0</v>
      </c>
      <c r="AH328" s="1">
        <v>35.0</v>
      </c>
      <c r="AI328" s="1">
        <v>35.0</v>
      </c>
      <c r="AJ328" s="1">
        <v>4.0</v>
      </c>
      <c r="AK328" s="1">
        <v>23.0</v>
      </c>
      <c r="AL328" s="1" t="s">
        <v>1020</v>
      </c>
      <c r="AM328" s="1" t="s">
        <v>1021</v>
      </c>
      <c r="AN328" s="1" t="s">
        <v>1022</v>
      </c>
      <c r="AO328" s="1" t="s">
        <v>6958</v>
      </c>
      <c r="AP328" s="1" t="s">
        <v>6959</v>
      </c>
      <c r="AQ328" s="1" t="s">
        <v>74</v>
      </c>
      <c r="AR328" s="1" t="s">
        <v>6960</v>
      </c>
      <c r="AS328" s="1" t="s">
        <v>6961</v>
      </c>
      <c r="AT328" s="1" t="s">
        <v>6962</v>
      </c>
      <c r="AU328" s="1">
        <v>2021.0</v>
      </c>
      <c r="AV328" s="1">
        <v>128.0</v>
      </c>
      <c r="AW328" s="1">
        <v>7.0</v>
      </c>
      <c r="AX328" s="1" t="s">
        <v>74</v>
      </c>
      <c r="AY328" s="1" t="s">
        <v>74</v>
      </c>
      <c r="AZ328" s="1" t="s">
        <v>74</v>
      </c>
      <c r="BA328" s="1" t="s">
        <v>74</v>
      </c>
      <c r="BB328" s="1">
        <v>1100.0</v>
      </c>
      <c r="BC328" s="1">
        <v>1118.0</v>
      </c>
      <c r="BD328" s="1" t="s">
        <v>74</v>
      </c>
      <c r="BE328" s="1" t="s">
        <v>6963</v>
      </c>
      <c r="BF328" s="2" t="str">
        <f>HYPERLINK("http://dx.doi.org/10.1161/CIRCRESAHA.121.318106","http://dx.doi.org/10.1161/CIRCRESAHA.121.318106")</f>
        <v>http://dx.doi.org/10.1161/CIRCRESAHA.121.318106</v>
      </c>
      <c r="BG328" s="1" t="s">
        <v>74</v>
      </c>
      <c r="BH328" s="1" t="s">
        <v>74</v>
      </c>
      <c r="BI328" s="1">
        <v>19.0</v>
      </c>
      <c r="BJ328" s="1" t="s">
        <v>6964</v>
      </c>
      <c r="BK328" s="1" t="s">
        <v>149</v>
      </c>
      <c r="BL328" s="1" t="s">
        <v>6965</v>
      </c>
      <c r="BM328" s="1" t="s">
        <v>6966</v>
      </c>
      <c r="BN328" s="1">
        <v>3.3793339E7</v>
      </c>
      <c r="BO328" s="1" t="s">
        <v>74</v>
      </c>
      <c r="BP328" s="1" t="s">
        <v>74</v>
      </c>
      <c r="BQ328" s="1" t="s">
        <v>74</v>
      </c>
      <c r="BR328" s="1" t="s">
        <v>102</v>
      </c>
      <c r="BS328" s="1" t="s">
        <v>6967</v>
      </c>
      <c r="BT328" s="1" t="str">
        <f>HYPERLINK("https%3A%2F%2Fwww.webofscience.com%2Fwos%2Fwoscc%2Ffull-record%2FWOS:000639312800016","View Full Record in Web of Science")</f>
        <v>View Full Record in Web of Science</v>
      </c>
    </row>
    <row r="329" ht="12.75" customHeight="1">
      <c r="A329" s="1" t="s">
        <v>72</v>
      </c>
      <c r="B329" s="1" t="s">
        <v>6968</v>
      </c>
      <c r="C329" s="1" t="s">
        <v>74</v>
      </c>
      <c r="D329" s="1" t="s">
        <v>74</v>
      </c>
      <c r="E329" s="1" t="s">
        <v>236</v>
      </c>
      <c r="F329" s="1" t="s">
        <v>6969</v>
      </c>
      <c r="G329" s="1" t="s">
        <v>74</v>
      </c>
      <c r="H329" s="1" t="s">
        <v>74</v>
      </c>
      <c r="I329" s="1" t="s">
        <v>6970</v>
      </c>
      <c r="J329" s="1" t="s">
        <v>4090</v>
      </c>
      <c r="K329" s="1" t="s">
        <v>74</v>
      </c>
      <c r="L329" s="1" t="s">
        <v>74</v>
      </c>
      <c r="M329" s="1" t="s">
        <v>80</v>
      </c>
      <c r="N329" s="1" t="s">
        <v>81</v>
      </c>
      <c r="O329" s="1" t="s">
        <v>4091</v>
      </c>
      <c r="P329" s="1" t="s">
        <v>4092</v>
      </c>
      <c r="Q329" s="1" t="s">
        <v>4093</v>
      </c>
      <c r="R329" s="1" t="s">
        <v>4094</v>
      </c>
      <c r="S329" s="1" t="s">
        <v>74</v>
      </c>
      <c r="T329" s="1" t="s">
        <v>6971</v>
      </c>
      <c r="U329" s="1" t="s">
        <v>6972</v>
      </c>
      <c r="V329" s="1" t="s">
        <v>6973</v>
      </c>
      <c r="W329" s="1" t="s">
        <v>6974</v>
      </c>
      <c r="X329" s="1" t="s">
        <v>6975</v>
      </c>
      <c r="Y329" s="1" t="s">
        <v>6976</v>
      </c>
      <c r="Z329" s="1" t="s">
        <v>6977</v>
      </c>
      <c r="AA329" s="1" t="s">
        <v>6978</v>
      </c>
      <c r="AB329" s="1" t="s">
        <v>6979</v>
      </c>
      <c r="AC329" s="1" t="s">
        <v>74</v>
      </c>
      <c r="AD329" s="1" t="s">
        <v>74</v>
      </c>
      <c r="AE329" s="1" t="s">
        <v>74</v>
      </c>
      <c r="AF329" s="1" t="s">
        <v>74</v>
      </c>
      <c r="AG329" s="1">
        <v>43.0</v>
      </c>
      <c r="AH329" s="1">
        <v>2.0</v>
      </c>
      <c r="AI329" s="1">
        <v>2.0</v>
      </c>
      <c r="AJ329" s="1">
        <v>3.0</v>
      </c>
      <c r="AK329" s="1">
        <v>17.0</v>
      </c>
      <c r="AL329" s="1" t="s">
        <v>236</v>
      </c>
      <c r="AM329" s="1" t="s">
        <v>193</v>
      </c>
      <c r="AN329" s="1" t="s">
        <v>252</v>
      </c>
      <c r="AO329" s="1" t="s">
        <v>74</v>
      </c>
      <c r="AP329" s="1" t="s">
        <v>74</v>
      </c>
      <c r="AQ329" s="1" t="s">
        <v>4103</v>
      </c>
      <c r="AR329" s="1" t="s">
        <v>74</v>
      </c>
      <c r="AS329" s="1" t="s">
        <v>74</v>
      </c>
      <c r="AT329" s="1" t="s">
        <v>74</v>
      </c>
      <c r="AU329" s="1">
        <v>2022.0</v>
      </c>
      <c r="AV329" s="1" t="s">
        <v>74</v>
      </c>
      <c r="AW329" s="1" t="s">
        <v>74</v>
      </c>
      <c r="AX329" s="1" t="s">
        <v>74</v>
      </c>
      <c r="AY329" s="1" t="s">
        <v>74</v>
      </c>
      <c r="AZ329" s="1" t="s">
        <v>74</v>
      </c>
      <c r="BA329" s="1" t="s">
        <v>74</v>
      </c>
      <c r="BB329" s="1">
        <v>522.0</v>
      </c>
      <c r="BC329" s="1">
        <v>527.0</v>
      </c>
      <c r="BD329" s="1" t="s">
        <v>74</v>
      </c>
      <c r="BE329" s="1" t="s">
        <v>6980</v>
      </c>
      <c r="BF329" s="2" t="str">
        <f>HYPERLINK("http://dx.doi.org/10.1109/MetroXRAINE54828.2022.9967567","http://dx.doi.org/10.1109/MetroXRAINE54828.2022.9967567")</f>
        <v>http://dx.doi.org/10.1109/MetroXRAINE54828.2022.9967567</v>
      </c>
      <c r="BG329" s="1" t="s">
        <v>74</v>
      </c>
      <c r="BH329" s="1" t="s">
        <v>74</v>
      </c>
      <c r="BI329" s="1">
        <v>6.0</v>
      </c>
      <c r="BJ329" s="1" t="s">
        <v>4105</v>
      </c>
      <c r="BK329" s="1" t="s">
        <v>128</v>
      </c>
      <c r="BL329" s="1" t="s">
        <v>4106</v>
      </c>
      <c r="BM329" s="1" t="s">
        <v>4107</v>
      </c>
      <c r="BN329" s="1" t="s">
        <v>74</v>
      </c>
      <c r="BO329" s="1" t="s">
        <v>74</v>
      </c>
      <c r="BP329" s="1" t="s">
        <v>74</v>
      </c>
      <c r="BQ329" s="1" t="s">
        <v>74</v>
      </c>
      <c r="BR329" s="1" t="s">
        <v>102</v>
      </c>
      <c r="BS329" s="1" t="s">
        <v>6981</v>
      </c>
      <c r="BT329" s="1" t="str">
        <f>HYPERLINK("https%3A%2F%2Fwww.webofscience.com%2Fwos%2Fwoscc%2Ffull-record%2FWOS:000947347200092","View Full Record in Web of Science")</f>
        <v>View Full Record in Web of Science</v>
      </c>
    </row>
    <row r="330" ht="12.75" customHeight="1">
      <c r="A330" s="1" t="s">
        <v>132</v>
      </c>
      <c r="B330" s="1" t="s">
        <v>6982</v>
      </c>
      <c r="C330" s="1" t="s">
        <v>74</v>
      </c>
      <c r="D330" s="1" t="s">
        <v>74</v>
      </c>
      <c r="E330" s="1" t="s">
        <v>74</v>
      </c>
      <c r="F330" s="1" t="s">
        <v>6983</v>
      </c>
      <c r="G330" s="1" t="s">
        <v>74</v>
      </c>
      <c r="H330" s="1" t="s">
        <v>74</v>
      </c>
      <c r="I330" s="1" t="s">
        <v>6984</v>
      </c>
      <c r="J330" s="1" t="s">
        <v>6985</v>
      </c>
      <c r="K330" s="1" t="s">
        <v>74</v>
      </c>
      <c r="L330" s="1" t="s">
        <v>74</v>
      </c>
      <c r="M330" s="1" t="s">
        <v>80</v>
      </c>
      <c r="N330" s="1" t="s">
        <v>136</v>
      </c>
      <c r="O330" s="1" t="s">
        <v>74</v>
      </c>
      <c r="P330" s="1" t="s">
        <v>74</v>
      </c>
      <c r="Q330" s="1" t="s">
        <v>74</v>
      </c>
      <c r="R330" s="1" t="s">
        <v>74</v>
      </c>
      <c r="S330" s="1" t="s">
        <v>74</v>
      </c>
      <c r="T330" s="1" t="s">
        <v>6986</v>
      </c>
      <c r="U330" s="1" t="s">
        <v>217</v>
      </c>
      <c r="V330" s="1" t="s">
        <v>6987</v>
      </c>
      <c r="W330" s="1" t="s">
        <v>6988</v>
      </c>
      <c r="X330" s="1" t="s">
        <v>74</v>
      </c>
      <c r="Y330" s="1" t="s">
        <v>6989</v>
      </c>
      <c r="Z330" s="1" t="s">
        <v>6990</v>
      </c>
      <c r="AA330" s="1" t="s">
        <v>74</v>
      </c>
      <c r="AB330" s="1" t="s">
        <v>74</v>
      </c>
      <c r="AC330" s="1" t="s">
        <v>74</v>
      </c>
      <c r="AD330" s="1" t="s">
        <v>74</v>
      </c>
      <c r="AE330" s="1" t="s">
        <v>74</v>
      </c>
      <c r="AF330" s="1" t="s">
        <v>74</v>
      </c>
      <c r="AG330" s="1">
        <v>40.0</v>
      </c>
      <c r="AH330" s="1">
        <v>0.0</v>
      </c>
      <c r="AI330" s="1">
        <v>0.0</v>
      </c>
      <c r="AJ330" s="1">
        <v>12.0</v>
      </c>
      <c r="AK330" s="1">
        <v>17.0</v>
      </c>
      <c r="AL330" s="1" t="s">
        <v>6991</v>
      </c>
      <c r="AM330" s="1" t="s">
        <v>2197</v>
      </c>
      <c r="AN330" s="1" t="s">
        <v>6992</v>
      </c>
      <c r="AO330" s="1" t="s">
        <v>6993</v>
      </c>
      <c r="AP330" s="1" t="s">
        <v>74</v>
      </c>
      <c r="AQ330" s="1" t="s">
        <v>74</v>
      </c>
      <c r="AR330" s="1" t="s">
        <v>6985</v>
      </c>
      <c r="AS330" s="1" t="s">
        <v>6994</v>
      </c>
      <c r="AT330" s="1" t="s">
        <v>6995</v>
      </c>
      <c r="AU330" s="1">
        <v>2024.0</v>
      </c>
      <c r="AV330" s="1">
        <v>12.0</v>
      </c>
      <c r="AW330" s="1">
        <v>1.0</v>
      </c>
      <c r="AX330" s="1" t="s">
        <v>74</v>
      </c>
      <c r="AY330" s="1" t="s">
        <v>74</v>
      </c>
      <c r="AZ330" s="1" t="s">
        <v>74</v>
      </c>
      <c r="BA330" s="1" t="s">
        <v>74</v>
      </c>
      <c r="BB330" s="1">
        <v>80.0</v>
      </c>
      <c r="BC330" s="1">
        <v>99.0</v>
      </c>
      <c r="BD330" s="1" t="s">
        <v>74</v>
      </c>
      <c r="BE330" s="1" t="s">
        <v>6996</v>
      </c>
      <c r="BF330" s="2" t="str">
        <f>HYPERLINK("http://dx.doi.org/10.34096/oidopensante.v12n1.12176","http://dx.doi.org/10.34096/oidopensante.v12n1.12176")</f>
        <v>http://dx.doi.org/10.34096/oidopensante.v12n1.12176</v>
      </c>
      <c r="BG330" s="1" t="s">
        <v>74</v>
      </c>
      <c r="BH330" s="1" t="s">
        <v>74</v>
      </c>
      <c r="BI330" s="1">
        <v>20.0</v>
      </c>
      <c r="BJ330" s="1" t="s">
        <v>6997</v>
      </c>
      <c r="BK330" s="1" t="s">
        <v>172</v>
      </c>
      <c r="BL330" s="1" t="s">
        <v>6997</v>
      </c>
      <c r="BM330" s="1" t="s">
        <v>6998</v>
      </c>
      <c r="BN330" s="1" t="s">
        <v>74</v>
      </c>
      <c r="BO330" s="1" t="s">
        <v>174</v>
      </c>
      <c r="BP330" s="1" t="s">
        <v>74</v>
      </c>
      <c r="BQ330" s="1" t="s">
        <v>74</v>
      </c>
      <c r="BR330" s="1" t="s">
        <v>102</v>
      </c>
      <c r="BS330" s="1" t="s">
        <v>6999</v>
      </c>
      <c r="BT330" s="1" t="str">
        <f>HYPERLINK("https%3A%2F%2Fwww.webofscience.com%2Fwos%2Fwoscc%2Ffull-record%2FWOS:001219402100007","View Full Record in Web of Science")</f>
        <v>View Full Record in Web of Science</v>
      </c>
    </row>
    <row r="331" ht="12.75" customHeight="1">
      <c r="A331" s="1" t="s">
        <v>132</v>
      </c>
      <c r="B331" s="1" t="s">
        <v>7000</v>
      </c>
      <c r="C331" s="1" t="s">
        <v>74</v>
      </c>
      <c r="D331" s="1" t="s">
        <v>74</v>
      </c>
      <c r="E331" s="1" t="s">
        <v>74</v>
      </c>
      <c r="F331" s="1" t="s">
        <v>7001</v>
      </c>
      <c r="G331" s="1" t="s">
        <v>74</v>
      </c>
      <c r="H331" s="1" t="s">
        <v>74</v>
      </c>
      <c r="I331" s="1" t="s">
        <v>7002</v>
      </c>
      <c r="J331" s="1" t="s">
        <v>7003</v>
      </c>
      <c r="K331" s="1" t="s">
        <v>74</v>
      </c>
      <c r="L331" s="1" t="s">
        <v>74</v>
      </c>
      <c r="M331" s="1" t="s">
        <v>80</v>
      </c>
      <c r="N331" s="1" t="s">
        <v>136</v>
      </c>
      <c r="O331" s="1" t="s">
        <v>74</v>
      </c>
      <c r="P331" s="1" t="s">
        <v>74</v>
      </c>
      <c r="Q331" s="1" t="s">
        <v>74</v>
      </c>
      <c r="R331" s="1" t="s">
        <v>74</v>
      </c>
      <c r="S331" s="1" t="s">
        <v>74</v>
      </c>
      <c r="T331" s="1" t="s">
        <v>7004</v>
      </c>
      <c r="U331" s="1" t="s">
        <v>5064</v>
      </c>
      <c r="V331" s="1" t="s">
        <v>7005</v>
      </c>
      <c r="W331" s="1" t="s">
        <v>7006</v>
      </c>
      <c r="X331" s="1" t="s">
        <v>7007</v>
      </c>
      <c r="Y331" s="1" t="s">
        <v>7008</v>
      </c>
      <c r="Z331" s="1" t="s">
        <v>74</v>
      </c>
      <c r="AA331" s="1" t="s">
        <v>7009</v>
      </c>
      <c r="AB331" s="1" t="s">
        <v>7010</v>
      </c>
      <c r="AC331" s="1" t="s">
        <v>74</v>
      </c>
      <c r="AD331" s="1" t="s">
        <v>74</v>
      </c>
      <c r="AE331" s="1" t="s">
        <v>74</v>
      </c>
      <c r="AF331" s="1" t="s">
        <v>74</v>
      </c>
      <c r="AG331" s="1">
        <v>100.0</v>
      </c>
      <c r="AH331" s="1">
        <v>45.0</v>
      </c>
      <c r="AI331" s="1">
        <v>46.0</v>
      </c>
      <c r="AJ331" s="1">
        <v>338.0</v>
      </c>
      <c r="AK331" s="1">
        <v>522.0</v>
      </c>
      <c r="AL331" s="1" t="s">
        <v>7011</v>
      </c>
      <c r="AM331" s="1" t="s">
        <v>648</v>
      </c>
      <c r="AN331" s="1" t="s">
        <v>7012</v>
      </c>
      <c r="AO331" s="1" t="s">
        <v>7013</v>
      </c>
      <c r="AP331" s="1" t="s">
        <v>7014</v>
      </c>
      <c r="AQ331" s="1" t="s">
        <v>74</v>
      </c>
      <c r="AR331" s="1" t="s">
        <v>7015</v>
      </c>
      <c r="AS331" s="1" t="s">
        <v>7016</v>
      </c>
      <c r="AT331" s="1" t="s">
        <v>870</v>
      </c>
      <c r="AU331" s="1">
        <v>2024.0</v>
      </c>
      <c r="AV331" s="1">
        <v>27.0</v>
      </c>
      <c r="AW331" s="1">
        <v>1.0</v>
      </c>
      <c r="AX331" s="1" t="s">
        <v>74</v>
      </c>
      <c r="AY331" s="1" t="s">
        <v>74</v>
      </c>
      <c r="AZ331" s="1" t="s">
        <v>74</v>
      </c>
      <c r="BA331" s="1" t="s">
        <v>74</v>
      </c>
      <c r="BB331" s="1" t="s">
        <v>74</v>
      </c>
      <c r="BC331" s="1" t="s">
        <v>74</v>
      </c>
      <c r="BD331" s="1" t="s">
        <v>74</v>
      </c>
      <c r="BE331" s="1" t="s">
        <v>7017</v>
      </c>
      <c r="BF331" s="2" t="str">
        <f>HYPERLINK("http://dx.doi.org/10.5944/ried.27.1.37716","http://dx.doi.org/10.5944/ried.27.1.37716")</f>
        <v>http://dx.doi.org/10.5944/ried.27.1.37716</v>
      </c>
      <c r="BG331" s="1" t="s">
        <v>74</v>
      </c>
      <c r="BH331" s="1" t="s">
        <v>74</v>
      </c>
      <c r="BI331" s="1">
        <v>24.0</v>
      </c>
      <c r="BJ331" s="1" t="s">
        <v>171</v>
      </c>
      <c r="BK331" s="1" t="s">
        <v>203</v>
      </c>
      <c r="BL331" s="1" t="s">
        <v>171</v>
      </c>
      <c r="BM331" s="1" t="s">
        <v>7018</v>
      </c>
      <c r="BN331" s="1" t="s">
        <v>74</v>
      </c>
      <c r="BO331" s="1" t="s">
        <v>2204</v>
      </c>
      <c r="BP331" s="1" t="s">
        <v>74</v>
      </c>
      <c r="BQ331" s="1" t="s">
        <v>74</v>
      </c>
      <c r="BR331" s="1" t="s">
        <v>102</v>
      </c>
      <c r="BS331" s="1" t="s">
        <v>7019</v>
      </c>
      <c r="BT331" s="1" t="str">
        <f>HYPERLINK("https%3A%2F%2Fwww.webofscience.com%2Fwos%2Fwoscc%2Ffull-record%2FWOS:001137233600013","View Full Record in Web of Science")</f>
        <v>View Full Record in Web of Science</v>
      </c>
    </row>
    <row r="332" ht="12.75" customHeight="1">
      <c r="A332" s="1" t="s">
        <v>132</v>
      </c>
      <c r="B332" s="1" t="s">
        <v>7020</v>
      </c>
      <c r="C332" s="1" t="s">
        <v>74</v>
      </c>
      <c r="D332" s="1" t="s">
        <v>74</v>
      </c>
      <c r="E332" s="1" t="s">
        <v>74</v>
      </c>
      <c r="F332" s="1" t="s">
        <v>7021</v>
      </c>
      <c r="G332" s="1" t="s">
        <v>74</v>
      </c>
      <c r="H332" s="1" t="s">
        <v>74</v>
      </c>
      <c r="I332" s="1" t="s">
        <v>7022</v>
      </c>
      <c r="J332" s="1" t="s">
        <v>7023</v>
      </c>
      <c r="K332" s="1" t="s">
        <v>74</v>
      </c>
      <c r="L332" s="1" t="s">
        <v>74</v>
      </c>
      <c r="M332" s="1" t="s">
        <v>80</v>
      </c>
      <c r="N332" s="1" t="s">
        <v>1010</v>
      </c>
      <c r="O332" s="1" t="s">
        <v>74</v>
      </c>
      <c r="P332" s="1" t="s">
        <v>74</v>
      </c>
      <c r="Q332" s="1" t="s">
        <v>74</v>
      </c>
      <c r="R332" s="1" t="s">
        <v>74</v>
      </c>
      <c r="S332" s="1" t="s">
        <v>74</v>
      </c>
      <c r="T332" s="1" t="s">
        <v>7024</v>
      </c>
      <c r="U332" s="1" t="s">
        <v>7025</v>
      </c>
      <c r="V332" s="1" t="s">
        <v>7026</v>
      </c>
      <c r="W332" s="1" t="s">
        <v>7027</v>
      </c>
      <c r="X332" s="1" t="s">
        <v>74</v>
      </c>
      <c r="Y332" s="1" t="s">
        <v>7028</v>
      </c>
      <c r="Z332" s="1" t="s">
        <v>7029</v>
      </c>
      <c r="AA332" s="1" t="s">
        <v>7030</v>
      </c>
      <c r="AB332" s="1" t="s">
        <v>74</v>
      </c>
      <c r="AC332" s="1" t="s">
        <v>74</v>
      </c>
      <c r="AD332" s="1" t="s">
        <v>74</v>
      </c>
      <c r="AE332" s="1" t="s">
        <v>74</v>
      </c>
      <c r="AF332" s="1" t="s">
        <v>74</v>
      </c>
      <c r="AG332" s="1">
        <v>54.0</v>
      </c>
      <c r="AH332" s="1">
        <v>0.0</v>
      </c>
      <c r="AI332" s="1">
        <v>0.0</v>
      </c>
      <c r="AJ332" s="1">
        <v>4.0</v>
      </c>
      <c r="AK332" s="1">
        <v>34.0</v>
      </c>
      <c r="AL332" s="1" t="s">
        <v>1357</v>
      </c>
      <c r="AM332" s="1" t="s">
        <v>1358</v>
      </c>
      <c r="AN332" s="1" t="s">
        <v>1359</v>
      </c>
      <c r="AO332" s="1" t="s">
        <v>7031</v>
      </c>
      <c r="AP332" s="1" t="s">
        <v>7032</v>
      </c>
      <c r="AQ332" s="1" t="s">
        <v>74</v>
      </c>
      <c r="AR332" s="1" t="s">
        <v>7033</v>
      </c>
      <c r="AS332" s="1" t="s">
        <v>7034</v>
      </c>
      <c r="AT332" s="1" t="s">
        <v>302</v>
      </c>
      <c r="AU332" s="1">
        <v>2022.0</v>
      </c>
      <c r="AV332" s="1">
        <v>46.0</v>
      </c>
      <c r="AW332" s="1">
        <v>8.0</v>
      </c>
      <c r="AX332" s="1" t="s">
        <v>74</v>
      </c>
      <c r="AY332" s="1" t="s">
        <v>74</v>
      </c>
      <c r="AZ332" s="1" t="s">
        <v>74</v>
      </c>
      <c r="BA332" s="1" t="s">
        <v>74</v>
      </c>
      <c r="BB332" s="1">
        <v>1712.0</v>
      </c>
      <c r="BC332" s="1">
        <v>1712.0</v>
      </c>
      <c r="BD332" s="1" t="s">
        <v>74</v>
      </c>
      <c r="BE332" s="1" t="s">
        <v>7035</v>
      </c>
      <c r="BF332" s="2" t="str">
        <f>HYPERLINK("http://dx.doi.org/10.1111/aor.14128","http://dx.doi.org/10.1111/aor.14128")</f>
        <v>http://dx.doi.org/10.1111/aor.14128</v>
      </c>
      <c r="BG332" s="1" t="s">
        <v>74</v>
      </c>
      <c r="BH332" s="1" t="s">
        <v>4192</v>
      </c>
      <c r="BI332" s="1">
        <v>1.0</v>
      </c>
      <c r="BJ332" s="1" t="s">
        <v>7036</v>
      </c>
      <c r="BK332" s="1" t="s">
        <v>149</v>
      </c>
      <c r="BL332" s="1" t="s">
        <v>7037</v>
      </c>
      <c r="BM332" s="1" t="s">
        <v>7038</v>
      </c>
      <c r="BN332" s="1" t="s">
        <v>74</v>
      </c>
      <c r="BO332" s="1" t="s">
        <v>74</v>
      </c>
      <c r="BP332" s="1" t="s">
        <v>74</v>
      </c>
      <c r="BQ332" s="1" t="s">
        <v>74</v>
      </c>
      <c r="BR332" s="1" t="s">
        <v>102</v>
      </c>
      <c r="BS332" s="1" t="s">
        <v>7039</v>
      </c>
      <c r="BT332" s="1" t="str">
        <f>HYPERLINK("https%3A%2F%2Fwww.webofscience.com%2Fwos%2Fwoscc%2Ffull-record%2FWOS:000727103900001","View Full Record in Web of Science")</f>
        <v>View Full Record in Web of Science</v>
      </c>
    </row>
    <row r="333" ht="12.75" customHeight="1">
      <c r="A333" s="1" t="s">
        <v>72</v>
      </c>
      <c r="B333" s="1" t="s">
        <v>7040</v>
      </c>
      <c r="C333" s="1" t="s">
        <v>74</v>
      </c>
      <c r="D333" s="1" t="s">
        <v>7041</v>
      </c>
      <c r="E333" s="1" t="s">
        <v>74</v>
      </c>
      <c r="F333" s="1" t="s">
        <v>7042</v>
      </c>
      <c r="G333" s="1" t="s">
        <v>74</v>
      </c>
      <c r="H333" s="1" t="s">
        <v>74</v>
      </c>
      <c r="I333" s="1" t="s">
        <v>7043</v>
      </c>
      <c r="J333" s="1" t="s">
        <v>7044</v>
      </c>
      <c r="K333" s="1" t="s">
        <v>6565</v>
      </c>
      <c r="L333" s="1" t="s">
        <v>74</v>
      </c>
      <c r="M333" s="1" t="s">
        <v>80</v>
      </c>
      <c r="N333" s="1" t="s">
        <v>81</v>
      </c>
      <c r="O333" s="1" t="s">
        <v>7045</v>
      </c>
      <c r="P333" s="1" t="s">
        <v>7046</v>
      </c>
      <c r="Q333" s="1" t="s">
        <v>5606</v>
      </c>
      <c r="R333" s="1" t="s">
        <v>7047</v>
      </c>
      <c r="S333" s="1" t="s">
        <v>74</v>
      </c>
      <c r="T333" s="1" t="s">
        <v>7048</v>
      </c>
      <c r="U333" s="1" t="s">
        <v>74</v>
      </c>
      <c r="V333" s="1" t="s">
        <v>7049</v>
      </c>
      <c r="W333" s="1" t="s">
        <v>7050</v>
      </c>
      <c r="X333" s="1" t="s">
        <v>7051</v>
      </c>
      <c r="Y333" s="1" t="s">
        <v>7052</v>
      </c>
      <c r="Z333" s="1" t="s">
        <v>74</v>
      </c>
      <c r="AA333" s="1" t="s">
        <v>74</v>
      </c>
      <c r="AB333" s="1" t="s">
        <v>74</v>
      </c>
      <c r="AC333" s="1" t="s">
        <v>74</v>
      </c>
      <c r="AD333" s="1" t="s">
        <v>74</v>
      </c>
      <c r="AE333" s="1" t="s">
        <v>74</v>
      </c>
      <c r="AF333" s="1" t="s">
        <v>74</v>
      </c>
      <c r="AG333" s="1">
        <v>7.0</v>
      </c>
      <c r="AH333" s="1">
        <v>0.0</v>
      </c>
      <c r="AI333" s="1">
        <v>0.0</v>
      </c>
      <c r="AJ333" s="1">
        <v>4.0</v>
      </c>
      <c r="AK333" s="1">
        <v>51.0</v>
      </c>
      <c r="AL333" s="1" t="s">
        <v>92</v>
      </c>
      <c r="AM333" s="1" t="s">
        <v>93</v>
      </c>
      <c r="AN333" s="1" t="s">
        <v>94</v>
      </c>
      <c r="AO333" s="1" t="s">
        <v>6578</v>
      </c>
      <c r="AP333" s="1" t="s">
        <v>74</v>
      </c>
      <c r="AQ333" s="1" t="s">
        <v>7053</v>
      </c>
      <c r="AR333" s="1" t="s">
        <v>6580</v>
      </c>
      <c r="AS333" s="1" t="s">
        <v>74</v>
      </c>
      <c r="AT333" s="1" t="s">
        <v>74</v>
      </c>
      <c r="AU333" s="1">
        <v>2017.0</v>
      </c>
      <c r="AV333" s="1">
        <v>126.0</v>
      </c>
      <c r="AW333" s="1" t="s">
        <v>74</v>
      </c>
      <c r="AX333" s="1" t="s">
        <v>74</v>
      </c>
      <c r="AY333" s="1" t="s">
        <v>74</v>
      </c>
      <c r="AZ333" s="1" t="s">
        <v>74</v>
      </c>
      <c r="BA333" s="1" t="s">
        <v>74</v>
      </c>
      <c r="BB333" s="1">
        <v>1310.0</v>
      </c>
      <c r="BC333" s="1">
        <v>1315.0</v>
      </c>
      <c r="BD333" s="1" t="s">
        <v>74</v>
      </c>
      <c r="BE333" s="1" t="s">
        <v>74</v>
      </c>
      <c r="BF333" s="1" t="s">
        <v>74</v>
      </c>
      <c r="BG333" s="1" t="s">
        <v>74</v>
      </c>
      <c r="BH333" s="1" t="s">
        <v>74</v>
      </c>
      <c r="BI333" s="1">
        <v>6.0</v>
      </c>
      <c r="BJ333" s="1" t="s">
        <v>4171</v>
      </c>
      <c r="BK333" s="1" t="s">
        <v>128</v>
      </c>
      <c r="BL333" s="1" t="s">
        <v>3052</v>
      </c>
      <c r="BM333" s="1" t="s">
        <v>7054</v>
      </c>
      <c r="BN333" s="1" t="s">
        <v>74</v>
      </c>
      <c r="BO333" s="1" t="s">
        <v>74</v>
      </c>
      <c r="BP333" s="1" t="s">
        <v>74</v>
      </c>
      <c r="BQ333" s="1" t="s">
        <v>74</v>
      </c>
      <c r="BR333" s="1" t="s">
        <v>102</v>
      </c>
      <c r="BS333" s="1" t="s">
        <v>7055</v>
      </c>
      <c r="BT333" s="1" t="str">
        <f>HYPERLINK("https%3A%2F%2Fwww.webofscience.com%2Fwos%2Fwoscc%2Ffull-record%2FWOS:000417222700253","View Full Record in Web of Science")</f>
        <v>View Full Record in Web of Science</v>
      </c>
    </row>
    <row r="334" ht="12.75" customHeight="1">
      <c r="A334" s="1" t="s">
        <v>132</v>
      </c>
      <c r="B334" s="1" t="s">
        <v>7056</v>
      </c>
      <c r="C334" s="1" t="s">
        <v>74</v>
      </c>
      <c r="D334" s="1" t="s">
        <v>74</v>
      </c>
      <c r="E334" s="1" t="s">
        <v>74</v>
      </c>
      <c r="F334" s="1" t="s">
        <v>7057</v>
      </c>
      <c r="G334" s="1" t="s">
        <v>74</v>
      </c>
      <c r="H334" s="1" t="s">
        <v>74</v>
      </c>
      <c r="I334" s="1" t="s">
        <v>7058</v>
      </c>
      <c r="J334" s="1" t="s">
        <v>263</v>
      </c>
      <c r="K334" s="1" t="s">
        <v>74</v>
      </c>
      <c r="L334" s="1" t="s">
        <v>74</v>
      </c>
      <c r="M334" s="1" t="s">
        <v>80</v>
      </c>
      <c r="N334" s="1" t="s">
        <v>1010</v>
      </c>
      <c r="O334" s="1" t="s">
        <v>74</v>
      </c>
      <c r="P334" s="1" t="s">
        <v>74</v>
      </c>
      <c r="Q334" s="1" t="s">
        <v>74</v>
      </c>
      <c r="R334" s="1" t="s">
        <v>74</v>
      </c>
      <c r="S334" s="1" t="s">
        <v>74</v>
      </c>
      <c r="T334" s="1" t="s">
        <v>7059</v>
      </c>
      <c r="U334" s="1" t="s">
        <v>74</v>
      </c>
      <c r="V334" s="1" t="s">
        <v>7060</v>
      </c>
      <c r="W334" s="1" t="s">
        <v>7061</v>
      </c>
      <c r="X334" s="1" t="s">
        <v>7062</v>
      </c>
      <c r="Y334" s="1" t="s">
        <v>7063</v>
      </c>
      <c r="Z334" s="1" t="s">
        <v>7064</v>
      </c>
      <c r="AA334" s="1" t="s">
        <v>7065</v>
      </c>
      <c r="AB334" s="1" t="s">
        <v>7066</v>
      </c>
      <c r="AC334" s="1" t="s">
        <v>74</v>
      </c>
      <c r="AD334" s="1" t="s">
        <v>74</v>
      </c>
      <c r="AE334" s="1" t="s">
        <v>74</v>
      </c>
      <c r="AF334" s="1" t="s">
        <v>74</v>
      </c>
      <c r="AG334" s="1">
        <v>40.0</v>
      </c>
      <c r="AH334" s="1">
        <v>4.0</v>
      </c>
      <c r="AI334" s="1">
        <v>4.0</v>
      </c>
      <c r="AJ334" s="1">
        <v>6.0</v>
      </c>
      <c r="AK334" s="1">
        <v>8.0</v>
      </c>
      <c r="AL334" s="1" t="s">
        <v>275</v>
      </c>
      <c r="AM334" s="1" t="s">
        <v>276</v>
      </c>
      <c r="AN334" s="1" t="s">
        <v>277</v>
      </c>
      <c r="AO334" s="1" t="s">
        <v>74</v>
      </c>
      <c r="AP334" s="1" t="s">
        <v>278</v>
      </c>
      <c r="AQ334" s="1" t="s">
        <v>74</v>
      </c>
      <c r="AR334" s="1" t="s">
        <v>279</v>
      </c>
      <c r="AS334" s="1" t="s">
        <v>280</v>
      </c>
      <c r="AT334" s="1" t="s">
        <v>7067</v>
      </c>
      <c r="AU334" s="1">
        <v>2024.0</v>
      </c>
      <c r="AV334" s="1">
        <v>6.0</v>
      </c>
      <c r="AW334" s="1" t="s">
        <v>74</v>
      </c>
      <c r="AX334" s="1" t="s">
        <v>74</v>
      </c>
      <c r="AY334" s="1" t="s">
        <v>74</v>
      </c>
      <c r="AZ334" s="1" t="s">
        <v>74</v>
      </c>
      <c r="BA334" s="1" t="s">
        <v>74</v>
      </c>
      <c r="BB334" s="1" t="s">
        <v>74</v>
      </c>
      <c r="BC334" s="1" t="s">
        <v>74</v>
      </c>
      <c r="BD334" s="1">
        <v>1292466.0</v>
      </c>
      <c r="BE334" s="1" t="s">
        <v>7068</v>
      </c>
      <c r="BF334" s="2" t="str">
        <f>HYPERLINK("http://dx.doi.org/10.3389/frai.2023.1292466","http://dx.doi.org/10.3389/frai.2023.1292466")</f>
        <v>http://dx.doi.org/10.3389/frai.2023.1292466</v>
      </c>
      <c r="BG334" s="1" t="s">
        <v>74</v>
      </c>
      <c r="BH334" s="1" t="s">
        <v>74</v>
      </c>
      <c r="BI334" s="1">
        <v>13.0</v>
      </c>
      <c r="BJ334" s="1" t="s">
        <v>282</v>
      </c>
      <c r="BK334" s="1" t="s">
        <v>172</v>
      </c>
      <c r="BL334" s="1" t="s">
        <v>232</v>
      </c>
      <c r="BM334" s="1" t="s">
        <v>7069</v>
      </c>
      <c r="BN334" s="1">
        <v>3.8274052E7</v>
      </c>
      <c r="BO334" s="1" t="s">
        <v>1161</v>
      </c>
      <c r="BP334" s="1" t="s">
        <v>74</v>
      </c>
      <c r="BQ334" s="1" t="s">
        <v>74</v>
      </c>
      <c r="BR334" s="1" t="s">
        <v>102</v>
      </c>
      <c r="BS334" s="1" t="s">
        <v>7070</v>
      </c>
      <c r="BT334" s="1" t="str">
        <f>HYPERLINK("https%3A%2F%2Fwww.webofscience.com%2Fwos%2Fwoscc%2Ffull-record%2FWOS:001148044900001","View Full Record in Web of Science")</f>
        <v>View Full Record in Web of Science</v>
      </c>
    </row>
    <row r="335" ht="12.75" customHeight="1">
      <c r="A335" s="1" t="s">
        <v>132</v>
      </c>
      <c r="B335" s="1" t="s">
        <v>7071</v>
      </c>
      <c r="C335" s="1" t="s">
        <v>74</v>
      </c>
      <c r="D335" s="1" t="s">
        <v>74</v>
      </c>
      <c r="E335" s="1" t="s">
        <v>74</v>
      </c>
      <c r="F335" s="1" t="s">
        <v>7072</v>
      </c>
      <c r="G335" s="1" t="s">
        <v>74</v>
      </c>
      <c r="H335" s="1" t="s">
        <v>74</v>
      </c>
      <c r="I335" s="1" t="s">
        <v>7073</v>
      </c>
      <c r="J335" s="1" t="s">
        <v>1288</v>
      </c>
      <c r="K335" s="1" t="s">
        <v>74</v>
      </c>
      <c r="L335" s="1" t="s">
        <v>74</v>
      </c>
      <c r="M335" s="1" t="s">
        <v>80</v>
      </c>
      <c r="N335" s="1" t="s">
        <v>136</v>
      </c>
      <c r="O335" s="1" t="s">
        <v>74</v>
      </c>
      <c r="P335" s="1" t="s">
        <v>74</v>
      </c>
      <c r="Q335" s="1" t="s">
        <v>74</v>
      </c>
      <c r="R335" s="1" t="s">
        <v>74</v>
      </c>
      <c r="S335" s="1" t="s">
        <v>74</v>
      </c>
      <c r="T335" s="1" t="s">
        <v>7074</v>
      </c>
      <c r="U335" s="1" t="s">
        <v>74</v>
      </c>
      <c r="V335" s="1" t="s">
        <v>7075</v>
      </c>
      <c r="W335" s="1" t="s">
        <v>7076</v>
      </c>
      <c r="X335" s="1" t="s">
        <v>7077</v>
      </c>
      <c r="Y335" s="1" t="s">
        <v>7078</v>
      </c>
      <c r="Z335" s="1" t="s">
        <v>7079</v>
      </c>
      <c r="AA335" s="1" t="s">
        <v>7080</v>
      </c>
      <c r="AB335" s="1" t="s">
        <v>74</v>
      </c>
      <c r="AC335" s="1" t="s">
        <v>7081</v>
      </c>
      <c r="AD335" s="1" t="s">
        <v>7082</v>
      </c>
      <c r="AE335" s="1" t="s">
        <v>7083</v>
      </c>
      <c r="AF335" s="1" t="s">
        <v>74</v>
      </c>
      <c r="AG335" s="1">
        <v>43.0</v>
      </c>
      <c r="AH335" s="1">
        <v>4.0</v>
      </c>
      <c r="AI335" s="1">
        <v>4.0</v>
      </c>
      <c r="AJ335" s="1">
        <v>45.0</v>
      </c>
      <c r="AK335" s="1">
        <v>49.0</v>
      </c>
      <c r="AL335" s="1" t="s">
        <v>1294</v>
      </c>
      <c r="AM335" s="1" t="s">
        <v>1295</v>
      </c>
      <c r="AN335" s="1" t="s">
        <v>1296</v>
      </c>
      <c r="AO335" s="1" t="s">
        <v>1297</v>
      </c>
      <c r="AP335" s="1" t="s">
        <v>1298</v>
      </c>
      <c r="AQ335" s="1" t="s">
        <v>74</v>
      </c>
      <c r="AR335" s="1" t="s">
        <v>1299</v>
      </c>
      <c r="AS335" s="1" t="s">
        <v>1300</v>
      </c>
      <c r="AT335" s="1" t="s">
        <v>1301</v>
      </c>
      <c r="AU335" s="1">
        <v>2024.0</v>
      </c>
      <c r="AV335" s="1">
        <v>26.0</v>
      </c>
      <c r="AW335" s="1">
        <v>65.0</v>
      </c>
      <c r="AX335" s="1" t="s">
        <v>74</v>
      </c>
      <c r="AY335" s="1" t="s">
        <v>74</v>
      </c>
      <c r="AZ335" s="1" t="s">
        <v>74</v>
      </c>
      <c r="BA335" s="1" t="s">
        <v>74</v>
      </c>
      <c r="BB335" s="1">
        <v>126.0</v>
      </c>
      <c r="BC335" s="1">
        <v>144.0</v>
      </c>
      <c r="BD335" s="1" t="s">
        <v>74</v>
      </c>
      <c r="BE335" s="1" t="s">
        <v>7084</v>
      </c>
      <c r="BF335" s="2" t="str">
        <f>HYPERLINK("http://dx.doi.org/10.24818/EA/2024/65/126","http://dx.doi.org/10.24818/EA/2024/65/126")</f>
        <v>http://dx.doi.org/10.24818/EA/2024/65/126</v>
      </c>
      <c r="BG335" s="1" t="s">
        <v>74</v>
      </c>
      <c r="BH335" s="1" t="s">
        <v>74</v>
      </c>
      <c r="BI335" s="1">
        <v>19.0</v>
      </c>
      <c r="BJ335" s="1" t="s">
        <v>1303</v>
      </c>
      <c r="BK335" s="1" t="s">
        <v>203</v>
      </c>
      <c r="BL335" s="1" t="s">
        <v>204</v>
      </c>
      <c r="BM335" s="1" t="s">
        <v>1304</v>
      </c>
      <c r="BN335" s="1" t="s">
        <v>74</v>
      </c>
      <c r="BO335" s="1" t="s">
        <v>1161</v>
      </c>
      <c r="BP335" s="1" t="s">
        <v>74</v>
      </c>
      <c r="BQ335" s="1" t="s">
        <v>74</v>
      </c>
      <c r="BR335" s="1" t="s">
        <v>102</v>
      </c>
      <c r="BS335" s="1" t="s">
        <v>7085</v>
      </c>
      <c r="BT335" s="1" t="str">
        <f>HYPERLINK("https%3A%2F%2Fwww.webofscience.com%2Fwos%2Fwoscc%2Ffull-record%2FWOS:001251298900008","View Full Record in Web of Science")</f>
        <v>View Full Record in Web of Science</v>
      </c>
    </row>
    <row r="336" ht="12.75" customHeight="1">
      <c r="A336" s="1" t="s">
        <v>132</v>
      </c>
      <c r="B336" s="1" t="s">
        <v>7086</v>
      </c>
      <c r="C336" s="1" t="s">
        <v>74</v>
      </c>
      <c r="D336" s="1" t="s">
        <v>74</v>
      </c>
      <c r="E336" s="1" t="s">
        <v>74</v>
      </c>
      <c r="F336" s="1" t="s">
        <v>7087</v>
      </c>
      <c r="G336" s="1" t="s">
        <v>74</v>
      </c>
      <c r="H336" s="1" t="s">
        <v>74</v>
      </c>
      <c r="I336" s="1" t="s">
        <v>7088</v>
      </c>
      <c r="J336" s="1" t="s">
        <v>7089</v>
      </c>
      <c r="K336" s="1" t="s">
        <v>74</v>
      </c>
      <c r="L336" s="1" t="s">
        <v>74</v>
      </c>
      <c r="M336" s="1" t="s">
        <v>80</v>
      </c>
      <c r="N336" s="1" t="s">
        <v>136</v>
      </c>
      <c r="O336" s="1" t="s">
        <v>74</v>
      </c>
      <c r="P336" s="1" t="s">
        <v>74</v>
      </c>
      <c r="Q336" s="1" t="s">
        <v>74</v>
      </c>
      <c r="R336" s="1" t="s">
        <v>74</v>
      </c>
      <c r="S336" s="1" t="s">
        <v>74</v>
      </c>
      <c r="T336" s="1" t="s">
        <v>7090</v>
      </c>
      <c r="U336" s="1" t="s">
        <v>7091</v>
      </c>
      <c r="V336" s="1" t="s">
        <v>7092</v>
      </c>
      <c r="W336" s="1" t="s">
        <v>7093</v>
      </c>
      <c r="X336" s="1" t="s">
        <v>7094</v>
      </c>
      <c r="Y336" s="1" t="s">
        <v>7095</v>
      </c>
      <c r="Z336" s="1" t="s">
        <v>7096</v>
      </c>
      <c r="AA336" s="1" t="s">
        <v>7097</v>
      </c>
      <c r="AB336" s="1" t="s">
        <v>7098</v>
      </c>
      <c r="AC336" s="1" t="s">
        <v>74</v>
      </c>
      <c r="AD336" s="1" t="s">
        <v>74</v>
      </c>
      <c r="AE336" s="1" t="s">
        <v>74</v>
      </c>
      <c r="AF336" s="1" t="s">
        <v>74</v>
      </c>
      <c r="AG336" s="1">
        <v>46.0</v>
      </c>
      <c r="AH336" s="1">
        <v>17.0</v>
      </c>
      <c r="AI336" s="1">
        <v>17.0</v>
      </c>
      <c r="AJ336" s="1">
        <v>69.0</v>
      </c>
      <c r="AK336" s="1">
        <v>315.0</v>
      </c>
      <c r="AL336" s="1" t="s">
        <v>7099</v>
      </c>
      <c r="AM336" s="1" t="s">
        <v>7100</v>
      </c>
      <c r="AN336" s="1" t="s">
        <v>7101</v>
      </c>
      <c r="AO336" s="1" t="s">
        <v>7102</v>
      </c>
      <c r="AP336" s="1" t="s">
        <v>7103</v>
      </c>
      <c r="AQ336" s="1" t="s">
        <v>74</v>
      </c>
      <c r="AR336" s="1" t="s">
        <v>7104</v>
      </c>
      <c r="AS336" s="1" t="s">
        <v>7105</v>
      </c>
      <c r="AT336" s="1" t="s">
        <v>74</v>
      </c>
      <c r="AU336" s="1">
        <v>2021.0</v>
      </c>
      <c r="AV336" s="1">
        <v>22.0</v>
      </c>
      <c r="AW336" s="1">
        <v>4.0</v>
      </c>
      <c r="AX336" s="1" t="s">
        <v>74</v>
      </c>
      <c r="AY336" s="1" t="s">
        <v>74</v>
      </c>
      <c r="AZ336" s="1" t="s">
        <v>74</v>
      </c>
      <c r="BA336" s="1" t="s">
        <v>74</v>
      </c>
      <c r="BB336" s="1">
        <v>867.0</v>
      </c>
      <c r="BC336" s="1">
        <v>883.0</v>
      </c>
      <c r="BD336" s="1" t="s">
        <v>74</v>
      </c>
      <c r="BE336" s="1" t="s">
        <v>7106</v>
      </c>
      <c r="BF336" s="2" t="str">
        <f>HYPERLINK("http://dx.doi.org/10.3846/jbem.2021.14606","http://dx.doi.org/10.3846/jbem.2021.14606")</f>
        <v>http://dx.doi.org/10.3846/jbem.2021.14606</v>
      </c>
      <c r="BG336" s="1" t="s">
        <v>74</v>
      </c>
      <c r="BH336" s="1" t="s">
        <v>74</v>
      </c>
      <c r="BI336" s="1">
        <v>17.0</v>
      </c>
      <c r="BJ336" s="1" t="s">
        <v>7107</v>
      </c>
      <c r="BK336" s="1" t="s">
        <v>203</v>
      </c>
      <c r="BL336" s="1" t="s">
        <v>204</v>
      </c>
      <c r="BM336" s="1" t="s">
        <v>7108</v>
      </c>
      <c r="BN336" s="1" t="s">
        <v>74</v>
      </c>
      <c r="BO336" s="1" t="s">
        <v>174</v>
      </c>
      <c r="BP336" s="1" t="s">
        <v>74</v>
      </c>
      <c r="BQ336" s="1" t="s">
        <v>74</v>
      </c>
      <c r="BR336" s="1" t="s">
        <v>102</v>
      </c>
      <c r="BS336" s="1" t="s">
        <v>7109</v>
      </c>
      <c r="BT336" s="1" t="str">
        <f>HYPERLINK("https%3A%2F%2Fwww.webofscience.com%2Fwos%2Fwoscc%2Ffull-record%2FWOS:000652030200002","View Full Record in Web of Science")</f>
        <v>View Full Record in Web of Science</v>
      </c>
    </row>
    <row r="337" ht="12.75" customHeight="1">
      <c r="A337" s="1" t="s">
        <v>132</v>
      </c>
      <c r="B337" s="1" t="s">
        <v>7110</v>
      </c>
      <c r="C337" s="1" t="s">
        <v>74</v>
      </c>
      <c r="D337" s="1" t="s">
        <v>74</v>
      </c>
      <c r="E337" s="1" t="s">
        <v>74</v>
      </c>
      <c r="F337" s="1" t="s">
        <v>7111</v>
      </c>
      <c r="G337" s="1" t="s">
        <v>74</v>
      </c>
      <c r="H337" s="1" t="s">
        <v>74</v>
      </c>
      <c r="I337" s="1" t="s">
        <v>7112</v>
      </c>
      <c r="J337" s="1" t="s">
        <v>7113</v>
      </c>
      <c r="K337" s="1" t="s">
        <v>74</v>
      </c>
      <c r="L337" s="1" t="s">
        <v>74</v>
      </c>
      <c r="M337" s="1" t="s">
        <v>80</v>
      </c>
      <c r="N337" s="1" t="s">
        <v>136</v>
      </c>
      <c r="O337" s="1" t="s">
        <v>74</v>
      </c>
      <c r="P337" s="1" t="s">
        <v>74</v>
      </c>
      <c r="Q337" s="1" t="s">
        <v>74</v>
      </c>
      <c r="R337" s="1" t="s">
        <v>74</v>
      </c>
      <c r="S337" s="1" t="s">
        <v>74</v>
      </c>
      <c r="T337" s="1" t="s">
        <v>7114</v>
      </c>
      <c r="U337" s="1" t="s">
        <v>74</v>
      </c>
      <c r="V337" s="1" t="s">
        <v>7115</v>
      </c>
      <c r="W337" s="1" t="s">
        <v>7116</v>
      </c>
      <c r="X337" s="1" t="s">
        <v>74</v>
      </c>
      <c r="Y337" s="1" t="s">
        <v>7117</v>
      </c>
      <c r="Z337" s="1" t="s">
        <v>7118</v>
      </c>
      <c r="AA337" s="1" t="s">
        <v>74</v>
      </c>
      <c r="AB337" s="1" t="s">
        <v>74</v>
      </c>
      <c r="AC337" s="1" t="s">
        <v>74</v>
      </c>
      <c r="AD337" s="1" t="s">
        <v>74</v>
      </c>
      <c r="AE337" s="1" t="s">
        <v>74</v>
      </c>
      <c r="AF337" s="1" t="s">
        <v>74</v>
      </c>
      <c r="AG337" s="1">
        <v>26.0</v>
      </c>
      <c r="AH337" s="1">
        <v>0.0</v>
      </c>
      <c r="AI337" s="1">
        <v>0.0</v>
      </c>
      <c r="AJ337" s="1">
        <v>0.0</v>
      </c>
      <c r="AK337" s="1">
        <v>0.0</v>
      </c>
      <c r="AL337" s="1" t="s">
        <v>7119</v>
      </c>
      <c r="AM337" s="1" t="s">
        <v>7120</v>
      </c>
      <c r="AN337" s="1" t="s">
        <v>7121</v>
      </c>
      <c r="AO337" s="1" t="s">
        <v>7122</v>
      </c>
      <c r="AP337" s="1" t="s">
        <v>74</v>
      </c>
      <c r="AQ337" s="1" t="s">
        <v>74</v>
      </c>
      <c r="AR337" s="1" t="s">
        <v>7123</v>
      </c>
      <c r="AS337" s="1" t="s">
        <v>7124</v>
      </c>
      <c r="AT337" s="1" t="s">
        <v>74</v>
      </c>
      <c r="AU337" s="1">
        <v>2024.0</v>
      </c>
      <c r="AV337" s="1">
        <v>19.0</v>
      </c>
      <c r="AW337" s="1">
        <v>2.0</v>
      </c>
      <c r="AX337" s="1" t="s">
        <v>74</v>
      </c>
      <c r="AY337" s="1" t="s">
        <v>74</v>
      </c>
      <c r="AZ337" s="1" t="s">
        <v>74</v>
      </c>
      <c r="BA337" s="1" t="s">
        <v>74</v>
      </c>
      <c r="BB337" s="1">
        <v>413.0</v>
      </c>
      <c r="BC337" s="1">
        <v>427.0</v>
      </c>
      <c r="BD337" s="1" t="s">
        <v>74</v>
      </c>
      <c r="BE337" s="1" t="s">
        <v>7125</v>
      </c>
      <c r="BF337" s="2" t="str">
        <f>HYPERLINK("http://dx.doi.org/10.5937/sjm19-50164","http://dx.doi.org/10.5937/sjm19-50164")</f>
        <v>http://dx.doi.org/10.5937/sjm19-50164</v>
      </c>
      <c r="BG337" s="1" t="s">
        <v>74</v>
      </c>
      <c r="BH337" s="1" t="s">
        <v>74</v>
      </c>
      <c r="BI337" s="1">
        <v>15.0</v>
      </c>
      <c r="BJ337" s="1" t="s">
        <v>1776</v>
      </c>
      <c r="BK337" s="1" t="s">
        <v>172</v>
      </c>
      <c r="BL337" s="1" t="s">
        <v>204</v>
      </c>
      <c r="BM337" s="1" t="s">
        <v>7126</v>
      </c>
      <c r="BN337" s="1" t="s">
        <v>74</v>
      </c>
      <c r="BO337" s="1" t="s">
        <v>174</v>
      </c>
      <c r="BP337" s="1" t="s">
        <v>74</v>
      </c>
      <c r="BQ337" s="1" t="s">
        <v>74</v>
      </c>
      <c r="BR337" s="1" t="s">
        <v>102</v>
      </c>
      <c r="BS337" s="1" t="s">
        <v>7127</v>
      </c>
      <c r="BT337" s="1" t="str">
        <f>HYPERLINK("https%3A%2F%2Fwww.webofscience.com%2Fwos%2Fwoscc%2Ffull-record%2FWOS:001376541500009","View Full Record in Web of Science")</f>
        <v>View Full Record in Web of Science</v>
      </c>
    </row>
    <row r="338" ht="12.75" customHeight="1">
      <c r="A338" s="1" t="s">
        <v>132</v>
      </c>
      <c r="B338" s="1" t="s">
        <v>7128</v>
      </c>
      <c r="C338" s="1" t="s">
        <v>74</v>
      </c>
      <c r="D338" s="1" t="s">
        <v>74</v>
      </c>
      <c r="E338" s="1" t="s">
        <v>74</v>
      </c>
      <c r="F338" s="1" t="s">
        <v>7129</v>
      </c>
      <c r="G338" s="1" t="s">
        <v>74</v>
      </c>
      <c r="H338" s="1" t="s">
        <v>74</v>
      </c>
      <c r="I338" s="1" t="s">
        <v>7130</v>
      </c>
      <c r="J338" s="1" t="s">
        <v>2893</v>
      </c>
      <c r="K338" s="1" t="s">
        <v>74</v>
      </c>
      <c r="L338" s="1" t="s">
        <v>74</v>
      </c>
      <c r="M338" s="1" t="s">
        <v>80</v>
      </c>
      <c r="N338" s="1" t="s">
        <v>136</v>
      </c>
      <c r="O338" s="1" t="s">
        <v>74</v>
      </c>
      <c r="P338" s="1" t="s">
        <v>74</v>
      </c>
      <c r="Q338" s="1" t="s">
        <v>74</v>
      </c>
      <c r="R338" s="1" t="s">
        <v>74</v>
      </c>
      <c r="S338" s="1" t="s">
        <v>74</v>
      </c>
      <c r="T338" s="1" t="s">
        <v>7131</v>
      </c>
      <c r="U338" s="1" t="s">
        <v>7132</v>
      </c>
      <c r="V338" s="1" t="s">
        <v>7133</v>
      </c>
      <c r="W338" s="1" t="s">
        <v>7134</v>
      </c>
      <c r="X338" s="1" t="s">
        <v>7135</v>
      </c>
      <c r="Y338" s="1" t="s">
        <v>7136</v>
      </c>
      <c r="Z338" s="1" t="s">
        <v>7137</v>
      </c>
      <c r="AA338" s="1" t="s">
        <v>7138</v>
      </c>
      <c r="AB338" s="1" t="s">
        <v>7139</v>
      </c>
      <c r="AC338" s="1" t="s">
        <v>7140</v>
      </c>
      <c r="AD338" s="1" t="s">
        <v>7141</v>
      </c>
      <c r="AE338" s="1" t="s">
        <v>7142</v>
      </c>
      <c r="AF338" s="1" t="s">
        <v>74</v>
      </c>
      <c r="AG338" s="1">
        <v>119.0</v>
      </c>
      <c r="AH338" s="1">
        <v>0.0</v>
      </c>
      <c r="AI338" s="1">
        <v>0.0</v>
      </c>
      <c r="AJ338" s="1">
        <v>28.0</v>
      </c>
      <c r="AK338" s="1">
        <v>28.0</v>
      </c>
      <c r="AL338" s="1" t="s">
        <v>2745</v>
      </c>
      <c r="AM338" s="1" t="s">
        <v>2746</v>
      </c>
      <c r="AN338" s="1" t="s">
        <v>2747</v>
      </c>
      <c r="AO338" s="1" t="s">
        <v>2904</v>
      </c>
      <c r="AP338" s="1" t="s">
        <v>2905</v>
      </c>
      <c r="AQ338" s="1" t="s">
        <v>74</v>
      </c>
      <c r="AR338" s="1" t="s">
        <v>2906</v>
      </c>
      <c r="AS338" s="1" t="s">
        <v>2907</v>
      </c>
      <c r="AT338" s="1" t="s">
        <v>1051</v>
      </c>
      <c r="AU338" s="1">
        <v>2024.0</v>
      </c>
      <c r="AV338" s="1">
        <v>79.0</v>
      </c>
      <c r="AW338" s="1" t="s">
        <v>74</v>
      </c>
      <c r="AX338" s="1" t="s">
        <v>74</v>
      </c>
      <c r="AY338" s="1" t="s">
        <v>74</v>
      </c>
      <c r="AZ338" s="1" t="s">
        <v>74</v>
      </c>
      <c r="BA338" s="1" t="s">
        <v>74</v>
      </c>
      <c r="BB338" s="1" t="s">
        <v>74</v>
      </c>
      <c r="BC338" s="1" t="s">
        <v>74</v>
      </c>
      <c r="BD338" s="1">
        <v>102745.0</v>
      </c>
      <c r="BE338" s="1" t="s">
        <v>7143</v>
      </c>
      <c r="BF338" s="2" t="str">
        <f>HYPERLINK("http://dx.doi.org/10.1016/j.techsoc.2024.102745","http://dx.doi.org/10.1016/j.techsoc.2024.102745")</f>
        <v>http://dx.doi.org/10.1016/j.techsoc.2024.102745</v>
      </c>
      <c r="BG338" s="1" t="s">
        <v>74</v>
      </c>
      <c r="BH338" s="1" t="s">
        <v>499</v>
      </c>
      <c r="BI338" s="1">
        <v>12.0</v>
      </c>
      <c r="BJ338" s="1" t="s">
        <v>2909</v>
      </c>
      <c r="BK338" s="1" t="s">
        <v>203</v>
      </c>
      <c r="BL338" s="1" t="s">
        <v>2910</v>
      </c>
      <c r="BM338" s="1" t="s">
        <v>7144</v>
      </c>
      <c r="BN338" s="1" t="s">
        <v>74</v>
      </c>
      <c r="BO338" s="1" t="s">
        <v>74</v>
      </c>
      <c r="BP338" s="1" t="s">
        <v>74</v>
      </c>
      <c r="BQ338" s="1" t="s">
        <v>74</v>
      </c>
      <c r="BR338" s="1" t="s">
        <v>102</v>
      </c>
      <c r="BS338" s="1" t="s">
        <v>7145</v>
      </c>
      <c r="BT338" s="1" t="str">
        <f>HYPERLINK("https%3A%2F%2Fwww.webofscience.com%2Fwos%2Fwoscc%2Ffull-record%2FWOS:001350302800001","View Full Record in Web of Science")</f>
        <v>View Full Record in Web of Science</v>
      </c>
    </row>
    <row r="339" ht="12.75" customHeight="1">
      <c r="A339" s="1" t="s">
        <v>132</v>
      </c>
      <c r="B339" s="1" t="s">
        <v>7146</v>
      </c>
      <c r="C339" s="1" t="s">
        <v>74</v>
      </c>
      <c r="D339" s="1" t="s">
        <v>74</v>
      </c>
      <c r="E339" s="1" t="s">
        <v>74</v>
      </c>
      <c r="F339" s="1" t="s">
        <v>7147</v>
      </c>
      <c r="G339" s="1" t="s">
        <v>74</v>
      </c>
      <c r="H339" s="1" t="s">
        <v>74</v>
      </c>
      <c r="I339" s="1" t="s">
        <v>7148</v>
      </c>
      <c r="J339" s="1" t="s">
        <v>7149</v>
      </c>
      <c r="K339" s="1" t="s">
        <v>74</v>
      </c>
      <c r="L339" s="1" t="s">
        <v>74</v>
      </c>
      <c r="M339" s="1" t="s">
        <v>80</v>
      </c>
      <c r="N339" s="1" t="s">
        <v>1010</v>
      </c>
      <c r="O339" s="1" t="s">
        <v>74</v>
      </c>
      <c r="P339" s="1" t="s">
        <v>74</v>
      </c>
      <c r="Q339" s="1" t="s">
        <v>74</v>
      </c>
      <c r="R339" s="1" t="s">
        <v>74</v>
      </c>
      <c r="S339" s="1" t="s">
        <v>74</v>
      </c>
      <c r="T339" s="1" t="s">
        <v>7150</v>
      </c>
      <c r="U339" s="1" t="s">
        <v>7151</v>
      </c>
      <c r="V339" s="1" t="s">
        <v>7152</v>
      </c>
      <c r="W339" s="1" t="s">
        <v>7153</v>
      </c>
      <c r="X339" s="1" t="s">
        <v>7154</v>
      </c>
      <c r="Y339" s="1" t="s">
        <v>7155</v>
      </c>
      <c r="Z339" s="1" t="s">
        <v>7156</v>
      </c>
      <c r="AA339" s="1" t="s">
        <v>7157</v>
      </c>
      <c r="AB339" s="1" t="s">
        <v>7158</v>
      </c>
      <c r="AC339" s="1" t="s">
        <v>74</v>
      </c>
      <c r="AD339" s="1" t="s">
        <v>74</v>
      </c>
      <c r="AE339" s="1" t="s">
        <v>74</v>
      </c>
      <c r="AF339" s="1" t="s">
        <v>74</v>
      </c>
      <c r="AG339" s="1">
        <v>73.0</v>
      </c>
      <c r="AH339" s="1">
        <v>0.0</v>
      </c>
      <c r="AI339" s="1">
        <v>0.0</v>
      </c>
      <c r="AJ339" s="1">
        <v>5.0</v>
      </c>
      <c r="AK339" s="1">
        <v>5.0</v>
      </c>
      <c r="AL339" s="1" t="s">
        <v>1357</v>
      </c>
      <c r="AM339" s="1" t="s">
        <v>1358</v>
      </c>
      <c r="AN339" s="1" t="s">
        <v>1359</v>
      </c>
      <c r="AO339" s="1" t="s">
        <v>7159</v>
      </c>
      <c r="AP339" s="1" t="s">
        <v>7160</v>
      </c>
      <c r="AQ339" s="1" t="s">
        <v>74</v>
      </c>
      <c r="AR339" s="1" t="s">
        <v>7149</v>
      </c>
      <c r="AS339" s="1" t="s">
        <v>7161</v>
      </c>
      <c r="AT339" s="1" t="s">
        <v>870</v>
      </c>
      <c r="AU339" s="1">
        <v>2025.0</v>
      </c>
      <c r="AV339" s="1">
        <v>86.0</v>
      </c>
      <c r="AW339" s="1">
        <v>1.0</v>
      </c>
      <c r="AX339" s="1" t="s">
        <v>74</v>
      </c>
      <c r="AY339" s="1" t="s">
        <v>74</v>
      </c>
      <c r="AZ339" s="1" t="s">
        <v>74</v>
      </c>
      <c r="BA339" s="1" t="s">
        <v>74</v>
      </c>
      <c r="BB339" s="1">
        <v>58.0</v>
      </c>
      <c r="BC339" s="1">
        <v>68.0</v>
      </c>
      <c r="BD339" s="1" t="s">
        <v>74</v>
      </c>
      <c r="BE339" s="1" t="s">
        <v>7162</v>
      </c>
      <c r="BF339" s="2" t="str">
        <f>HYPERLINK("http://dx.doi.org/10.1111/his.15327","http://dx.doi.org/10.1111/his.15327")</f>
        <v>http://dx.doi.org/10.1111/his.15327</v>
      </c>
      <c r="BG339" s="1" t="s">
        <v>74</v>
      </c>
      <c r="BH339" s="1" t="s">
        <v>2753</v>
      </c>
      <c r="BI339" s="1">
        <v>11.0</v>
      </c>
      <c r="BJ339" s="1" t="s">
        <v>7163</v>
      </c>
      <c r="BK339" s="1" t="s">
        <v>149</v>
      </c>
      <c r="BL339" s="1" t="s">
        <v>7163</v>
      </c>
      <c r="BM339" s="1" t="s">
        <v>7164</v>
      </c>
      <c r="BN339" s="1">
        <v>3.943569E7</v>
      </c>
      <c r="BO339" s="1" t="s">
        <v>306</v>
      </c>
      <c r="BP339" s="1" t="s">
        <v>74</v>
      </c>
      <c r="BQ339" s="1" t="s">
        <v>74</v>
      </c>
      <c r="BR339" s="1" t="s">
        <v>102</v>
      </c>
      <c r="BS339" s="1" t="s">
        <v>7165</v>
      </c>
      <c r="BT339" s="1" t="str">
        <f>HYPERLINK("https%3A%2F%2Fwww.webofscience.com%2Fwos%2Fwoscc%2Ffull-record%2FWOS:001343530000001","View Full Record in Web of Science")</f>
        <v>View Full Record in Web of Science</v>
      </c>
    </row>
    <row r="340" ht="12.75" customHeight="1">
      <c r="A340" s="1" t="s">
        <v>132</v>
      </c>
      <c r="B340" s="1" t="s">
        <v>7166</v>
      </c>
      <c r="C340" s="1" t="s">
        <v>74</v>
      </c>
      <c r="D340" s="1" t="s">
        <v>74</v>
      </c>
      <c r="E340" s="1" t="s">
        <v>74</v>
      </c>
      <c r="F340" s="1" t="s">
        <v>7167</v>
      </c>
      <c r="G340" s="1" t="s">
        <v>74</v>
      </c>
      <c r="H340" s="1" t="s">
        <v>74</v>
      </c>
      <c r="I340" s="1" t="s">
        <v>7168</v>
      </c>
      <c r="J340" s="1" t="s">
        <v>4596</v>
      </c>
      <c r="K340" s="1" t="s">
        <v>74</v>
      </c>
      <c r="L340" s="1" t="s">
        <v>74</v>
      </c>
      <c r="M340" s="1" t="s">
        <v>80</v>
      </c>
      <c r="N340" s="1" t="s">
        <v>136</v>
      </c>
      <c r="O340" s="1" t="s">
        <v>74</v>
      </c>
      <c r="P340" s="1" t="s">
        <v>74</v>
      </c>
      <c r="Q340" s="1" t="s">
        <v>74</v>
      </c>
      <c r="R340" s="1" t="s">
        <v>74</v>
      </c>
      <c r="S340" s="1" t="s">
        <v>74</v>
      </c>
      <c r="T340" s="1" t="s">
        <v>7169</v>
      </c>
      <c r="U340" s="1" t="s">
        <v>7170</v>
      </c>
      <c r="V340" s="1" t="s">
        <v>7171</v>
      </c>
      <c r="W340" s="1" t="s">
        <v>7172</v>
      </c>
      <c r="X340" s="1" t="s">
        <v>7173</v>
      </c>
      <c r="Y340" s="1" t="s">
        <v>7174</v>
      </c>
      <c r="Z340" s="1" t="s">
        <v>7175</v>
      </c>
      <c r="AA340" s="1" t="s">
        <v>7176</v>
      </c>
      <c r="AB340" s="1" t="s">
        <v>74</v>
      </c>
      <c r="AC340" s="1" t="s">
        <v>7177</v>
      </c>
      <c r="AD340" s="1" t="s">
        <v>7178</v>
      </c>
      <c r="AE340" s="1" t="s">
        <v>7179</v>
      </c>
      <c r="AF340" s="1" t="s">
        <v>74</v>
      </c>
      <c r="AG340" s="1">
        <v>62.0</v>
      </c>
      <c r="AH340" s="1">
        <v>4.0</v>
      </c>
      <c r="AI340" s="1">
        <v>4.0</v>
      </c>
      <c r="AJ340" s="1">
        <v>66.0</v>
      </c>
      <c r="AK340" s="1">
        <v>66.0</v>
      </c>
      <c r="AL340" s="1" t="s">
        <v>3551</v>
      </c>
      <c r="AM340" s="1" t="s">
        <v>193</v>
      </c>
      <c r="AN340" s="1" t="s">
        <v>3552</v>
      </c>
      <c r="AO340" s="1" t="s">
        <v>4608</v>
      </c>
      <c r="AP340" s="1" t="s">
        <v>4609</v>
      </c>
      <c r="AQ340" s="1" t="s">
        <v>74</v>
      </c>
      <c r="AR340" s="1" t="s">
        <v>4610</v>
      </c>
      <c r="AS340" s="1" t="s">
        <v>4611</v>
      </c>
      <c r="AT340" s="1" t="s">
        <v>1051</v>
      </c>
      <c r="AU340" s="1">
        <v>2024.0</v>
      </c>
      <c r="AV340" s="1">
        <v>209.0</v>
      </c>
      <c r="AW340" s="1" t="s">
        <v>74</v>
      </c>
      <c r="AX340" s="1" t="s">
        <v>74</v>
      </c>
      <c r="AY340" s="1" t="s">
        <v>74</v>
      </c>
      <c r="AZ340" s="1" t="s">
        <v>74</v>
      </c>
      <c r="BA340" s="1" t="s">
        <v>74</v>
      </c>
      <c r="BB340" s="1" t="s">
        <v>74</v>
      </c>
      <c r="BC340" s="1" t="s">
        <v>74</v>
      </c>
      <c r="BD340" s="1">
        <v>123821.0</v>
      </c>
      <c r="BE340" s="1" t="s">
        <v>7180</v>
      </c>
      <c r="BF340" s="2" t="str">
        <f>HYPERLINK("http://dx.doi.org/10.1016/j.techfore.2024.123821","http://dx.doi.org/10.1016/j.techfore.2024.123821")</f>
        <v>http://dx.doi.org/10.1016/j.techfore.2024.123821</v>
      </c>
      <c r="BG340" s="1" t="s">
        <v>74</v>
      </c>
      <c r="BH340" s="1" t="s">
        <v>2753</v>
      </c>
      <c r="BI340" s="1">
        <v>14.0</v>
      </c>
      <c r="BJ340" s="1" t="s">
        <v>4614</v>
      </c>
      <c r="BK340" s="1" t="s">
        <v>203</v>
      </c>
      <c r="BL340" s="1" t="s">
        <v>4615</v>
      </c>
      <c r="BM340" s="1" t="s">
        <v>7181</v>
      </c>
      <c r="BN340" s="1" t="s">
        <v>74</v>
      </c>
      <c r="BO340" s="1" t="s">
        <v>74</v>
      </c>
      <c r="BP340" s="1" t="s">
        <v>74</v>
      </c>
      <c r="BQ340" s="1" t="s">
        <v>74</v>
      </c>
      <c r="BR340" s="1" t="s">
        <v>102</v>
      </c>
      <c r="BS340" s="1" t="s">
        <v>7182</v>
      </c>
      <c r="BT340" s="1" t="str">
        <f>HYPERLINK("https%3A%2F%2Fwww.webofscience.com%2Fwos%2Fwoscc%2Ffull-record%2FWOS:001368476600001","View Full Record in Web of Science")</f>
        <v>View Full Record in Web of Science</v>
      </c>
    </row>
    <row r="341" ht="12.75" customHeight="1">
      <c r="A341" s="1" t="s">
        <v>132</v>
      </c>
      <c r="B341" s="1" t="s">
        <v>7183</v>
      </c>
      <c r="C341" s="1" t="s">
        <v>74</v>
      </c>
      <c r="D341" s="1" t="s">
        <v>74</v>
      </c>
      <c r="E341" s="1" t="s">
        <v>74</v>
      </c>
      <c r="F341" s="1" t="s">
        <v>7184</v>
      </c>
      <c r="G341" s="1" t="s">
        <v>74</v>
      </c>
      <c r="H341" s="1" t="s">
        <v>74</v>
      </c>
      <c r="I341" s="1" t="s">
        <v>7185</v>
      </c>
      <c r="J341" s="1" t="s">
        <v>263</v>
      </c>
      <c r="K341" s="1" t="s">
        <v>74</v>
      </c>
      <c r="L341" s="1" t="s">
        <v>74</v>
      </c>
      <c r="M341" s="1" t="s">
        <v>80</v>
      </c>
      <c r="N341" s="1" t="s">
        <v>136</v>
      </c>
      <c r="O341" s="1" t="s">
        <v>74</v>
      </c>
      <c r="P341" s="1" t="s">
        <v>74</v>
      </c>
      <c r="Q341" s="1" t="s">
        <v>74</v>
      </c>
      <c r="R341" s="1" t="s">
        <v>74</v>
      </c>
      <c r="S341" s="1" t="s">
        <v>74</v>
      </c>
      <c r="T341" s="1" t="s">
        <v>7186</v>
      </c>
      <c r="U341" s="1" t="s">
        <v>74</v>
      </c>
      <c r="V341" s="1" t="s">
        <v>7187</v>
      </c>
      <c r="W341" s="1" t="s">
        <v>7188</v>
      </c>
      <c r="X341" s="1" t="s">
        <v>7189</v>
      </c>
      <c r="Y341" s="1" t="s">
        <v>7190</v>
      </c>
      <c r="Z341" s="1" t="s">
        <v>7191</v>
      </c>
      <c r="AA341" s="1" t="s">
        <v>7192</v>
      </c>
      <c r="AB341" s="1" t="s">
        <v>7193</v>
      </c>
      <c r="AC341" s="1" t="s">
        <v>74</v>
      </c>
      <c r="AD341" s="1" t="s">
        <v>74</v>
      </c>
      <c r="AE341" s="1" t="s">
        <v>74</v>
      </c>
      <c r="AF341" s="1" t="s">
        <v>74</v>
      </c>
      <c r="AG341" s="1">
        <v>65.0</v>
      </c>
      <c r="AH341" s="1">
        <v>0.0</v>
      </c>
      <c r="AI341" s="1">
        <v>0.0</v>
      </c>
      <c r="AJ341" s="1">
        <v>0.0</v>
      </c>
      <c r="AK341" s="1">
        <v>2.0</v>
      </c>
      <c r="AL341" s="1" t="s">
        <v>275</v>
      </c>
      <c r="AM341" s="1" t="s">
        <v>276</v>
      </c>
      <c r="AN341" s="1" t="s">
        <v>277</v>
      </c>
      <c r="AO341" s="1" t="s">
        <v>74</v>
      </c>
      <c r="AP341" s="1" t="s">
        <v>278</v>
      </c>
      <c r="AQ341" s="1" t="s">
        <v>74</v>
      </c>
      <c r="AR341" s="1" t="s">
        <v>279</v>
      </c>
      <c r="AS341" s="1" t="s">
        <v>280</v>
      </c>
      <c r="AT341" s="1" t="s">
        <v>7194</v>
      </c>
      <c r="AU341" s="1">
        <v>2024.0</v>
      </c>
      <c r="AV341" s="1">
        <v>7.0</v>
      </c>
      <c r="AW341" s="1" t="s">
        <v>74</v>
      </c>
      <c r="AX341" s="1" t="s">
        <v>74</v>
      </c>
      <c r="AY341" s="1" t="s">
        <v>74</v>
      </c>
      <c r="AZ341" s="1" t="s">
        <v>74</v>
      </c>
      <c r="BA341" s="1" t="s">
        <v>74</v>
      </c>
      <c r="BB341" s="1" t="s">
        <v>74</v>
      </c>
      <c r="BC341" s="1" t="s">
        <v>74</v>
      </c>
      <c r="BD341" s="1">
        <v>1401162.0</v>
      </c>
      <c r="BE341" s="1" t="s">
        <v>7195</v>
      </c>
      <c r="BF341" s="2" t="str">
        <f>HYPERLINK("http://dx.doi.org/10.3389/frai.2024.1401162","http://dx.doi.org/10.3389/frai.2024.1401162")</f>
        <v>http://dx.doi.org/10.3389/frai.2024.1401162</v>
      </c>
      <c r="BG341" s="1" t="s">
        <v>74</v>
      </c>
      <c r="BH341" s="1" t="s">
        <v>74</v>
      </c>
      <c r="BI341" s="1">
        <v>18.0</v>
      </c>
      <c r="BJ341" s="1" t="s">
        <v>282</v>
      </c>
      <c r="BK341" s="1" t="s">
        <v>172</v>
      </c>
      <c r="BL341" s="1" t="s">
        <v>232</v>
      </c>
      <c r="BM341" s="1" t="s">
        <v>7196</v>
      </c>
      <c r="BN341" s="1">
        <v>3.8650962E7</v>
      </c>
      <c r="BO341" s="1" t="s">
        <v>284</v>
      </c>
      <c r="BP341" s="1" t="s">
        <v>74</v>
      </c>
      <c r="BQ341" s="1" t="s">
        <v>74</v>
      </c>
      <c r="BR341" s="1" t="s">
        <v>102</v>
      </c>
      <c r="BS341" s="1" t="s">
        <v>7197</v>
      </c>
      <c r="BT341" s="1" t="str">
        <f>HYPERLINK("https%3A%2F%2Fwww.webofscience.com%2Fwos%2Fwoscc%2Ffull-record%2FWOS:001206677900001","View Full Record in Web of Science")</f>
        <v>View Full Record in Web of Science</v>
      </c>
    </row>
    <row r="342" ht="12.75" customHeight="1">
      <c r="A342" s="1" t="s">
        <v>132</v>
      </c>
      <c r="B342" s="1" t="s">
        <v>7198</v>
      </c>
      <c r="C342" s="1" t="s">
        <v>74</v>
      </c>
      <c r="D342" s="1" t="s">
        <v>74</v>
      </c>
      <c r="E342" s="1" t="s">
        <v>74</v>
      </c>
      <c r="F342" s="1" t="s">
        <v>7199</v>
      </c>
      <c r="G342" s="1" t="s">
        <v>74</v>
      </c>
      <c r="H342" s="1" t="s">
        <v>74</v>
      </c>
      <c r="I342" s="1" t="s">
        <v>7200</v>
      </c>
      <c r="J342" s="1" t="s">
        <v>7201</v>
      </c>
      <c r="K342" s="1" t="s">
        <v>74</v>
      </c>
      <c r="L342" s="1" t="s">
        <v>74</v>
      </c>
      <c r="M342" s="1" t="s">
        <v>80</v>
      </c>
      <c r="N342" s="1" t="s">
        <v>136</v>
      </c>
      <c r="O342" s="1" t="s">
        <v>74</v>
      </c>
      <c r="P342" s="1" t="s">
        <v>74</v>
      </c>
      <c r="Q342" s="1" t="s">
        <v>74</v>
      </c>
      <c r="R342" s="1" t="s">
        <v>74</v>
      </c>
      <c r="S342" s="1" t="s">
        <v>74</v>
      </c>
      <c r="T342" s="1" t="s">
        <v>7202</v>
      </c>
      <c r="U342" s="1" t="s">
        <v>7203</v>
      </c>
      <c r="V342" s="1" t="s">
        <v>7204</v>
      </c>
      <c r="W342" s="1" t="s">
        <v>7205</v>
      </c>
      <c r="X342" s="1" t="s">
        <v>7206</v>
      </c>
      <c r="Y342" s="1" t="s">
        <v>7207</v>
      </c>
      <c r="Z342" s="1" t="s">
        <v>7208</v>
      </c>
      <c r="AA342" s="1" t="s">
        <v>74</v>
      </c>
      <c r="AB342" s="1" t="s">
        <v>7209</v>
      </c>
      <c r="AC342" s="1" t="s">
        <v>74</v>
      </c>
      <c r="AD342" s="1" t="s">
        <v>74</v>
      </c>
      <c r="AE342" s="1" t="s">
        <v>74</v>
      </c>
      <c r="AF342" s="1" t="s">
        <v>74</v>
      </c>
      <c r="AG342" s="1">
        <v>80.0</v>
      </c>
      <c r="AH342" s="1">
        <v>22.0</v>
      </c>
      <c r="AI342" s="1">
        <v>22.0</v>
      </c>
      <c r="AJ342" s="1">
        <v>8.0</v>
      </c>
      <c r="AK342" s="1">
        <v>72.0</v>
      </c>
      <c r="AL342" s="1" t="s">
        <v>192</v>
      </c>
      <c r="AM342" s="1" t="s">
        <v>864</v>
      </c>
      <c r="AN342" s="1" t="s">
        <v>865</v>
      </c>
      <c r="AO342" s="1" t="s">
        <v>7210</v>
      </c>
      <c r="AP342" s="1" t="s">
        <v>7211</v>
      </c>
      <c r="AQ342" s="1" t="s">
        <v>74</v>
      </c>
      <c r="AR342" s="1" t="s">
        <v>7212</v>
      </c>
      <c r="AS342" s="1" t="s">
        <v>7213</v>
      </c>
      <c r="AT342" s="1" t="s">
        <v>328</v>
      </c>
      <c r="AU342" s="1">
        <v>2023.0</v>
      </c>
      <c r="AV342" s="1">
        <v>25.0</v>
      </c>
      <c r="AW342" s="1">
        <v>3.0</v>
      </c>
      <c r="AX342" s="1" t="s">
        <v>74</v>
      </c>
      <c r="AY342" s="1" t="s">
        <v>74</v>
      </c>
      <c r="AZ342" s="1" t="s">
        <v>474</v>
      </c>
      <c r="BA342" s="1" t="s">
        <v>74</v>
      </c>
      <c r="BB342" s="1">
        <v>1147.0</v>
      </c>
      <c r="BC342" s="1">
        <v>1160.0</v>
      </c>
      <c r="BD342" s="1" t="s">
        <v>74</v>
      </c>
      <c r="BE342" s="1" t="s">
        <v>7214</v>
      </c>
      <c r="BF342" s="2" t="str">
        <f>HYPERLINK("http://dx.doi.org/10.1007/s10796-022-10276-3","http://dx.doi.org/10.1007/s10796-022-10276-3")</f>
        <v>http://dx.doi.org/10.1007/s10796-022-10276-3</v>
      </c>
      <c r="BG342" s="1" t="s">
        <v>74</v>
      </c>
      <c r="BH342" s="1" t="s">
        <v>7215</v>
      </c>
      <c r="BI342" s="1">
        <v>14.0</v>
      </c>
      <c r="BJ342" s="1" t="s">
        <v>6707</v>
      </c>
      <c r="BK342" s="1" t="s">
        <v>149</v>
      </c>
      <c r="BL342" s="1" t="s">
        <v>232</v>
      </c>
      <c r="BM342" s="1" t="s">
        <v>7216</v>
      </c>
      <c r="BN342" s="1" t="s">
        <v>74</v>
      </c>
      <c r="BO342" s="1" t="s">
        <v>74</v>
      </c>
      <c r="BP342" s="1" t="s">
        <v>74</v>
      </c>
      <c r="BQ342" s="1" t="s">
        <v>74</v>
      </c>
      <c r="BR342" s="1" t="s">
        <v>102</v>
      </c>
      <c r="BS342" s="1" t="s">
        <v>7217</v>
      </c>
      <c r="BT342" s="1" t="str">
        <f>HYPERLINK("https%3A%2F%2Fwww.webofscience.com%2Fwos%2Fwoscc%2Ffull-record%2FWOS:000784822400003","View Full Record in Web of Science")</f>
        <v>View Full Record in Web of Science</v>
      </c>
    </row>
    <row r="343" ht="12.75" customHeight="1">
      <c r="A343" s="1" t="s">
        <v>132</v>
      </c>
      <c r="B343" s="1" t="s">
        <v>7218</v>
      </c>
      <c r="C343" s="1" t="s">
        <v>74</v>
      </c>
      <c r="D343" s="1" t="s">
        <v>74</v>
      </c>
      <c r="E343" s="1" t="s">
        <v>74</v>
      </c>
      <c r="F343" s="1" t="s">
        <v>7219</v>
      </c>
      <c r="G343" s="1" t="s">
        <v>74</v>
      </c>
      <c r="H343" s="1" t="s">
        <v>74</v>
      </c>
      <c r="I343" s="1" t="s">
        <v>7220</v>
      </c>
      <c r="J343" s="1" t="s">
        <v>7221</v>
      </c>
      <c r="K343" s="1" t="s">
        <v>74</v>
      </c>
      <c r="L343" s="1" t="s">
        <v>74</v>
      </c>
      <c r="M343" s="1" t="s">
        <v>80</v>
      </c>
      <c r="N343" s="1" t="s">
        <v>136</v>
      </c>
      <c r="O343" s="1" t="s">
        <v>74</v>
      </c>
      <c r="P343" s="1" t="s">
        <v>74</v>
      </c>
      <c r="Q343" s="1" t="s">
        <v>74</v>
      </c>
      <c r="R343" s="1" t="s">
        <v>74</v>
      </c>
      <c r="S343" s="1" t="s">
        <v>74</v>
      </c>
      <c r="T343" s="1" t="s">
        <v>7222</v>
      </c>
      <c r="U343" s="1" t="s">
        <v>74</v>
      </c>
      <c r="V343" s="1" t="s">
        <v>7223</v>
      </c>
      <c r="W343" s="1" t="s">
        <v>7224</v>
      </c>
      <c r="X343" s="1" t="s">
        <v>7225</v>
      </c>
      <c r="Y343" s="1" t="s">
        <v>7226</v>
      </c>
      <c r="Z343" s="1" t="s">
        <v>74</v>
      </c>
      <c r="AA343" s="1" t="s">
        <v>7227</v>
      </c>
      <c r="AB343" s="1" t="s">
        <v>74</v>
      </c>
      <c r="AC343" s="1" t="s">
        <v>74</v>
      </c>
      <c r="AD343" s="1" t="s">
        <v>74</v>
      </c>
      <c r="AE343" s="1" t="s">
        <v>74</v>
      </c>
      <c r="AF343" s="1" t="s">
        <v>74</v>
      </c>
      <c r="AG343" s="1">
        <v>14.0</v>
      </c>
      <c r="AH343" s="1">
        <v>0.0</v>
      </c>
      <c r="AI343" s="1">
        <v>0.0</v>
      </c>
      <c r="AJ343" s="1">
        <v>1.0</v>
      </c>
      <c r="AK343" s="1">
        <v>9.0</v>
      </c>
      <c r="AL343" s="1" t="s">
        <v>7228</v>
      </c>
      <c r="AM343" s="1" t="s">
        <v>7229</v>
      </c>
      <c r="AN343" s="1" t="s">
        <v>7230</v>
      </c>
      <c r="AO343" s="1" t="s">
        <v>7231</v>
      </c>
      <c r="AP343" s="1" t="s">
        <v>7232</v>
      </c>
      <c r="AQ343" s="1" t="s">
        <v>74</v>
      </c>
      <c r="AR343" s="1" t="s">
        <v>7233</v>
      </c>
      <c r="AS343" s="1" t="s">
        <v>7234</v>
      </c>
      <c r="AT343" s="1" t="s">
        <v>74</v>
      </c>
      <c r="AU343" s="1">
        <v>2022.0</v>
      </c>
      <c r="AV343" s="1">
        <v>13.0</v>
      </c>
      <c r="AW343" s="1" t="s">
        <v>74</v>
      </c>
      <c r="AX343" s="1" t="s">
        <v>74</v>
      </c>
      <c r="AY343" s="1" t="s">
        <v>74</v>
      </c>
      <c r="AZ343" s="1" t="s">
        <v>474</v>
      </c>
      <c r="BA343" s="1" t="s">
        <v>74</v>
      </c>
      <c r="BB343" s="1">
        <v>120.0</v>
      </c>
      <c r="BC343" s="1">
        <v>124.0</v>
      </c>
      <c r="BD343" s="1" t="s">
        <v>74</v>
      </c>
      <c r="BE343" s="1" t="s">
        <v>7235</v>
      </c>
      <c r="BF343" s="2" t="str">
        <f>HYPERLINK("http://dx.doi.org/10.47750/pnr.2022.13.S05.15","http://dx.doi.org/10.47750/pnr.2022.13.S05.15")</f>
        <v>http://dx.doi.org/10.47750/pnr.2022.13.S05.15</v>
      </c>
      <c r="BG343" s="1" t="s">
        <v>74</v>
      </c>
      <c r="BH343" s="1" t="s">
        <v>74</v>
      </c>
      <c r="BI343" s="1">
        <v>5.0</v>
      </c>
      <c r="BJ343" s="1" t="s">
        <v>7236</v>
      </c>
      <c r="BK343" s="1" t="s">
        <v>172</v>
      </c>
      <c r="BL343" s="1" t="s">
        <v>7236</v>
      </c>
      <c r="BM343" s="1" t="s">
        <v>7237</v>
      </c>
      <c r="BN343" s="1" t="s">
        <v>74</v>
      </c>
      <c r="BO343" s="1" t="s">
        <v>74</v>
      </c>
      <c r="BP343" s="1" t="s">
        <v>74</v>
      </c>
      <c r="BQ343" s="1" t="s">
        <v>74</v>
      </c>
      <c r="BR343" s="1" t="s">
        <v>102</v>
      </c>
      <c r="BS343" s="1" t="s">
        <v>7238</v>
      </c>
      <c r="BT343" s="1" t="str">
        <f>HYPERLINK("https%3A%2F%2Fwww.webofscience.com%2Fwos%2Fwoscc%2Ffull-record%2FWOS:000876374600015","View Full Record in Web of Science")</f>
        <v>View Full Record in Web of Science</v>
      </c>
    </row>
    <row r="344" ht="12.75" customHeight="1">
      <c r="A344" s="1" t="s">
        <v>132</v>
      </c>
      <c r="B344" s="1" t="s">
        <v>7239</v>
      </c>
      <c r="C344" s="1" t="s">
        <v>74</v>
      </c>
      <c r="D344" s="1" t="s">
        <v>74</v>
      </c>
      <c r="E344" s="1" t="s">
        <v>74</v>
      </c>
      <c r="F344" s="1" t="s">
        <v>7240</v>
      </c>
      <c r="G344" s="1" t="s">
        <v>74</v>
      </c>
      <c r="H344" s="1" t="s">
        <v>74</v>
      </c>
      <c r="I344" s="1" t="s">
        <v>7241</v>
      </c>
      <c r="J344" s="1" t="s">
        <v>7242</v>
      </c>
      <c r="K344" s="1" t="s">
        <v>74</v>
      </c>
      <c r="L344" s="1" t="s">
        <v>74</v>
      </c>
      <c r="M344" s="1" t="s">
        <v>80</v>
      </c>
      <c r="N344" s="1" t="s">
        <v>136</v>
      </c>
      <c r="O344" s="1" t="s">
        <v>74</v>
      </c>
      <c r="P344" s="1" t="s">
        <v>74</v>
      </c>
      <c r="Q344" s="1" t="s">
        <v>74</v>
      </c>
      <c r="R344" s="1" t="s">
        <v>74</v>
      </c>
      <c r="S344" s="1" t="s">
        <v>74</v>
      </c>
      <c r="T344" s="1" t="s">
        <v>7243</v>
      </c>
      <c r="U344" s="1" t="s">
        <v>7244</v>
      </c>
      <c r="V344" s="1" t="s">
        <v>7245</v>
      </c>
      <c r="W344" s="1" t="s">
        <v>7246</v>
      </c>
      <c r="X344" s="1" t="s">
        <v>7247</v>
      </c>
      <c r="Y344" s="1" t="s">
        <v>7248</v>
      </c>
      <c r="Z344" s="1" t="s">
        <v>7249</v>
      </c>
      <c r="AA344" s="1" t="s">
        <v>7250</v>
      </c>
      <c r="AB344" s="1" t="s">
        <v>7251</v>
      </c>
      <c r="AC344" s="1" t="s">
        <v>74</v>
      </c>
      <c r="AD344" s="1" t="s">
        <v>74</v>
      </c>
      <c r="AE344" s="1" t="s">
        <v>74</v>
      </c>
      <c r="AF344" s="1" t="s">
        <v>74</v>
      </c>
      <c r="AG344" s="1">
        <v>38.0</v>
      </c>
      <c r="AH344" s="1">
        <v>18.0</v>
      </c>
      <c r="AI344" s="1">
        <v>18.0</v>
      </c>
      <c r="AJ344" s="1">
        <v>87.0</v>
      </c>
      <c r="AK344" s="1">
        <v>243.0</v>
      </c>
      <c r="AL344" s="1" t="s">
        <v>192</v>
      </c>
      <c r="AM344" s="1" t="s">
        <v>193</v>
      </c>
      <c r="AN344" s="1" t="s">
        <v>194</v>
      </c>
      <c r="AO344" s="1" t="s">
        <v>7252</v>
      </c>
      <c r="AP344" s="1" t="s">
        <v>7253</v>
      </c>
      <c r="AQ344" s="1" t="s">
        <v>74</v>
      </c>
      <c r="AR344" s="1" t="s">
        <v>7254</v>
      </c>
      <c r="AS344" s="1" t="s">
        <v>7255</v>
      </c>
      <c r="AT344" s="1" t="s">
        <v>1253</v>
      </c>
      <c r="AU344" s="1">
        <v>2024.0</v>
      </c>
      <c r="AV344" s="1">
        <v>29.0</v>
      </c>
      <c r="AW344" s="1">
        <v>6.0</v>
      </c>
      <c r="AX344" s="1" t="s">
        <v>74</v>
      </c>
      <c r="AY344" s="1" t="s">
        <v>74</v>
      </c>
      <c r="AZ344" s="1" t="s">
        <v>74</v>
      </c>
      <c r="BA344" s="1" t="s">
        <v>74</v>
      </c>
      <c r="BB344" s="1">
        <v>7281.0</v>
      </c>
      <c r="BC344" s="1">
        <v>7301.0</v>
      </c>
      <c r="BD344" s="1" t="s">
        <v>74</v>
      </c>
      <c r="BE344" s="1" t="s">
        <v>7256</v>
      </c>
      <c r="BF344" s="2" t="str">
        <f>HYPERLINK("http://dx.doi.org/10.1007/s10639-023-12086-9","http://dx.doi.org/10.1007/s10639-023-12086-9")</f>
        <v>http://dx.doi.org/10.1007/s10639-023-12086-9</v>
      </c>
      <c r="BG344" s="1" t="s">
        <v>74</v>
      </c>
      <c r="BH344" s="1" t="s">
        <v>5321</v>
      </c>
      <c r="BI344" s="1">
        <v>21.0</v>
      </c>
      <c r="BJ344" s="1" t="s">
        <v>171</v>
      </c>
      <c r="BK344" s="1" t="s">
        <v>203</v>
      </c>
      <c r="BL344" s="1" t="s">
        <v>171</v>
      </c>
      <c r="BM344" s="1" t="s">
        <v>7257</v>
      </c>
      <c r="BN344" s="1" t="s">
        <v>74</v>
      </c>
      <c r="BO344" s="1" t="s">
        <v>74</v>
      </c>
      <c r="BP344" s="1" t="s">
        <v>74</v>
      </c>
      <c r="BQ344" s="1" t="s">
        <v>74</v>
      </c>
      <c r="BR344" s="1" t="s">
        <v>102</v>
      </c>
      <c r="BS344" s="1" t="s">
        <v>7258</v>
      </c>
      <c r="BT344" s="1" t="str">
        <f>HYPERLINK("https%3A%2F%2Fwww.webofscience.com%2Fwos%2Fwoscc%2Ffull-record%2FWOS:001046964800001","View Full Record in Web of Science")</f>
        <v>View Full Record in Web of Science</v>
      </c>
    </row>
    <row r="345" ht="12.75" customHeight="1">
      <c r="A345" s="1" t="s">
        <v>72</v>
      </c>
      <c r="B345" s="1" t="s">
        <v>7259</v>
      </c>
      <c r="C345" s="1" t="s">
        <v>74</v>
      </c>
      <c r="D345" s="1" t="s">
        <v>74</v>
      </c>
      <c r="E345" s="1" t="s">
        <v>236</v>
      </c>
      <c r="F345" s="1" t="s">
        <v>7260</v>
      </c>
      <c r="G345" s="1" t="s">
        <v>74</v>
      </c>
      <c r="H345" s="1" t="s">
        <v>74</v>
      </c>
      <c r="I345" s="1" t="s">
        <v>7261</v>
      </c>
      <c r="J345" s="1" t="s">
        <v>7262</v>
      </c>
      <c r="K345" s="1" t="s">
        <v>74</v>
      </c>
      <c r="L345" s="1" t="s">
        <v>74</v>
      </c>
      <c r="M345" s="1" t="s">
        <v>80</v>
      </c>
      <c r="N345" s="1" t="s">
        <v>81</v>
      </c>
      <c r="O345" s="1" t="s">
        <v>7263</v>
      </c>
      <c r="P345" s="1" t="s">
        <v>7264</v>
      </c>
      <c r="Q345" s="1" t="s">
        <v>667</v>
      </c>
      <c r="R345" s="1" t="s">
        <v>74</v>
      </c>
      <c r="S345" s="1" t="s">
        <v>74</v>
      </c>
      <c r="T345" s="1" t="s">
        <v>7265</v>
      </c>
      <c r="U345" s="1" t="s">
        <v>74</v>
      </c>
      <c r="V345" s="1" t="s">
        <v>7266</v>
      </c>
      <c r="W345" s="1" t="s">
        <v>7267</v>
      </c>
      <c r="X345" s="1" t="s">
        <v>74</v>
      </c>
      <c r="Y345" s="1" t="s">
        <v>7268</v>
      </c>
      <c r="Z345" s="1" t="s">
        <v>7269</v>
      </c>
      <c r="AA345" s="1" t="s">
        <v>74</v>
      </c>
      <c r="AB345" s="1" t="s">
        <v>74</v>
      </c>
      <c r="AC345" s="1" t="s">
        <v>74</v>
      </c>
      <c r="AD345" s="1" t="s">
        <v>74</v>
      </c>
      <c r="AE345" s="1" t="s">
        <v>74</v>
      </c>
      <c r="AF345" s="1" t="s">
        <v>74</v>
      </c>
      <c r="AG345" s="1">
        <v>10.0</v>
      </c>
      <c r="AH345" s="1">
        <v>0.0</v>
      </c>
      <c r="AI345" s="1">
        <v>0.0</v>
      </c>
      <c r="AJ345" s="1">
        <v>7.0</v>
      </c>
      <c r="AK345" s="1">
        <v>31.0</v>
      </c>
      <c r="AL345" s="1" t="s">
        <v>236</v>
      </c>
      <c r="AM345" s="1" t="s">
        <v>193</v>
      </c>
      <c r="AN345" s="1" t="s">
        <v>252</v>
      </c>
      <c r="AO345" s="1" t="s">
        <v>74</v>
      </c>
      <c r="AP345" s="1" t="s">
        <v>74</v>
      </c>
      <c r="AQ345" s="1" t="s">
        <v>7270</v>
      </c>
      <c r="AR345" s="1" t="s">
        <v>74</v>
      </c>
      <c r="AS345" s="1" t="s">
        <v>74</v>
      </c>
      <c r="AT345" s="1" t="s">
        <v>74</v>
      </c>
      <c r="AU345" s="1">
        <v>2021.0</v>
      </c>
      <c r="AV345" s="1" t="s">
        <v>74</v>
      </c>
      <c r="AW345" s="1" t="s">
        <v>74</v>
      </c>
      <c r="AX345" s="1" t="s">
        <v>74</v>
      </c>
      <c r="AY345" s="1" t="s">
        <v>74</v>
      </c>
      <c r="AZ345" s="1" t="s">
        <v>74</v>
      </c>
      <c r="BA345" s="1" t="s">
        <v>74</v>
      </c>
      <c r="BB345" s="1">
        <v>187.0</v>
      </c>
      <c r="BC345" s="1">
        <v>191.0</v>
      </c>
      <c r="BD345" s="1" t="s">
        <v>74</v>
      </c>
      <c r="BE345" s="1" t="s">
        <v>7271</v>
      </c>
      <c r="BF345" s="2" t="str">
        <f>HYPERLINK("http://dx.doi.org/10.1109/ICCEIC54227.2021.00044","http://dx.doi.org/10.1109/ICCEIC54227.2021.00044")</f>
        <v>http://dx.doi.org/10.1109/ICCEIC54227.2021.00044</v>
      </c>
      <c r="BG345" s="1" t="s">
        <v>74</v>
      </c>
      <c r="BH345" s="1" t="s">
        <v>74</v>
      </c>
      <c r="BI345" s="1">
        <v>5.0</v>
      </c>
      <c r="BJ345" s="1" t="s">
        <v>7272</v>
      </c>
      <c r="BK345" s="1" t="s">
        <v>128</v>
      </c>
      <c r="BL345" s="1" t="s">
        <v>1325</v>
      </c>
      <c r="BM345" s="1" t="s">
        <v>7273</v>
      </c>
      <c r="BN345" s="1" t="s">
        <v>74</v>
      </c>
      <c r="BO345" s="1" t="s">
        <v>74</v>
      </c>
      <c r="BP345" s="1" t="s">
        <v>74</v>
      </c>
      <c r="BQ345" s="1" t="s">
        <v>74</v>
      </c>
      <c r="BR345" s="1" t="s">
        <v>102</v>
      </c>
      <c r="BS345" s="1" t="s">
        <v>7274</v>
      </c>
      <c r="BT345" s="1" t="str">
        <f>HYPERLINK("https%3A%2F%2Fwww.webofscience.com%2Fwos%2Fwoscc%2Ffull-record%2FWOS:000790983300037","View Full Record in Web of Science")</f>
        <v>View Full Record in Web of Science</v>
      </c>
    </row>
    <row r="346" ht="12.75" customHeight="1">
      <c r="A346" s="1" t="s">
        <v>132</v>
      </c>
      <c r="B346" s="1" t="s">
        <v>7275</v>
      </c>
      <c r="C346" s="1" t="s">
        <v>74</v>
      </c>
      <c r="D346" s="1" t="s">
        <v>74</v>
      </c>
      <c r="E346" s="1" t="s">
        <v>74</v>
      </c>
      <c r="F346" s="1" t="s">
        <v>7276</v>
      </c>
      <c r="G346" s="1" t="s">
        <v>74</v>
      </c>
      <c r="H346" s="1" t="s">
        <v>74</v>
      </c>
      <c r="I346" s="1" t="s">
        <v>7277</v>
      </c>
      <c r="J346" s="1" t="s">
        <v>7278</v>
      </c>
      <c r="K346" s="1" t="s">
        <v>74</v>
      </c>
      <c r="L346" s="1" t="s">
        <v>74</v>
      </c>
      <c r="M346" s="1" t="s">
        <v>80</v>
      </c>
      <c r="N346" s="1" t="s">
        <v>136</v>
      </c>
      <c r="O346" s="1" t="s">
        <v>74</v>
      </c>
      <c r="P346" s="1" t="s">
        <v>74</v>
      </c>
      <c r="Q346" s="1" t="s">
        <v>74</v>
      </c>
      <c r="R346" s="1" t="s">
        <v>74</v>
      </c>
      <c r="S346" s="1" t="s">
        <v>74</v>
      </c>
      <c r="T346" s="1" t="s">
        <v>7279</v>
      </c>
      <c r="U346" s="1" t="s">
        <v>7280</v>
      </c>
      <c r="V346" s="1" t="s">
        <v>7281</v>
      </c>
      <c r="W346" s="1" t="s">
        <v>7282</v>
      </c>
      <c r="X346" s="1" t="s">
        <v>7283</v>
      </c>
      <c r="Y346" s="1" t="s">
        <v>7284</v>
      </c>
      <c r="Z346" s="1" t="s">
        <v>7285</v>
      </c>
      <c r="AA346" s="1" t="s">
        <v>7286</v>
      </c>
      <c r="AB346" s="1" t="s">
        <v>74</v>
      </c>
      <c r="AC346" s="1" t="s">
        <v>74</v>
      </c>
      <c r="AD346" s="1" t="s">
        <v>74</v>
      </c>
      <c r="AE346" s="1" t="s">
        <v>74</v>
      </c>
      <c r="AF346" s="1" t="s">
        <v>74</v>
      </c>
      <c r="AG346" s="1">
        <v>36.0</v>
      </c>
      <c r="AH346" s="1">
        <v>14.0</v>
      </c>
      <c r="AI346" s="1">
        <v>15.0</v>
      </c>
      <c r="AJ346" s="1">
        <v>2.0</v>
      </c>
      <c r="AK346" s="1">
        <v>16.0</v>
      </c>
      <c r="AL346" s="1" t="s">
        <v>7287</v>
      </c>
      <c r="AM346" s="1" t="s">
        <v>7288</v>
      </c>
      <c r="AN346" s="1" t="s">
        <v>7289</v>
      </c>
      <c r="AO346" s="1" t="s">
        <v>7290</v>
      </c>
      <c r="AP346" s="1" t="s">
        <v>7291</v>
      </c>
      <c r="AQ346" s="1" t="s">
        <v>74</v>
      </c>
      <c r="AR346" s="1" t="s">
        <v>7292</v>
      </c>
      <c r="AS346" s="1" t="s">
        <v>7293</v>
      </c>
      <c r="AT346" s="1" t="s">
        <v>199</v>
      </c>
      <c r="AU346" s="1">
        <v>2022.0</v>
      </c>
      <c r="AV346" s="1">
        <v>29.0</v>
      </c>
      <c r="AW346" s="1">
        <v>6.0</v>
      </c>
      <c r="AX346" s="1" t="s">
        <v>74</v>
      </c>
      <c r="AY346" s="1" t="s">
        <v>74</v>
      </c>
      <c r="AZ346" s="1" t="s">
        <v>74</v>
      </c>
      <c r="BA346" s="1" t="s">
        <v>74</v>
      </c>
      <c r="BB346" s="1">
        <v>967.0</v>
      </c>
      <c r="BC346" s="1">
        <v>977.0</v>
      </c>
      <c r="BD346" s="1" t="s">
        <v>74</v>
      </c>
      <c r="BE346" s="1" t="s">
        <v>7294</v>
      </c>
      <c r="BF346" s="2" t="str">
        <f>HYPERLINK("http://dx.doi.org/10.1007/s12282-022-01375-9","http://dx.doi.org/10.1007/s12282-022-01375-9")</f>
        <v>http://dx.doi.org/10.1007/s12282-022-01375-9</v>
      </c>
      <c r="BG346" s="1" t="s">
        <v>74</v>
      </c>
      <c r="BH346" s="1" t="s">
        <v>476</v>
      </c>
      <c r="BI346" s="1">
        <v>11.0</v>
      </c>
      <c r="BJ346" s="1" t="s">
        <v>7295</v>
      </c>
      <c r="BK346" s="1" t="s">
        <v>149</v>
      </c>
      <c r="BL346" s="1" t="s">
        <v>7295</v>
      </c>
      <c r="BM346" s="1" t="s">
        <v>7296</v>
      </c>
      <c r="BN346" s="1">
        <v>3.5763243E7</v>
      </c>
      <c r="BO346" s="1" t="s">
        <v>3027</v>
      </c>
      <c r="BP346" s="1" t="s">
        <v>74</v>
      </c>
      <c r="BQ346" s="1" t="s">
        <v>74</v>
      </c>
      <c r="BR346" s="1" t="s">
        <v>102</v>
      </c>
      <c r="BS346" s="1" t="s">
        <v>7297</v>
      </c>
      <c r="BT346" s="1" t="str">
        <f>HYPERLINK("https%3A%2F%2Fwww.webofscience.com%2Fwos%2Fwoscc%2Ffull-record%2FWOS:000817875900001","View Full Record in Web of Science")</f>
        <v>View Full Record in Web of Science</v>
      </c>
    </row>
    <row r="347" ht="12.75" customHeight="1">
      <c r="A347" s="1" t="s">
        <v>132</v>
      </c>
      <c r="B347" s="1" t="s">
        <v>7298</v>
      </c>
      <c r="C347" s="1" t="s">
        <v>74</v>
      </c>
      <c r="D347" s="1" t="s">
        <v>74</v>
      </c>
      <c r="E347" s="1" t="s">
        <v>74</v>
      </c>
      <c r="F347" s="1" t="s">
        <v>7299</v>
      </c>
      <c r="G347" s="1" t="s">
        <v>74</v>
      </c>
      <c r="H347" s="1" t="s">
        <v>74</v>
      </c>
      <c r="I347" s="1" t="s">
        <v>7300</v>
      </c>
      <c r="J347" s="1" t="s">
        <v>7301</v>
      </c>
      <c r="K347" s="1" t="s">
        <v>74</v>
      </c>
      <c r="L347" s="1" t="s">
        <v>74</v>
      </c>
      <c r="M347" s="1" t="s">
        <v>3863</v>
      </c>
      <c r="N347" s="1" t="s">
        <v>136</v>
      </c>
      <c r="O347" s="1" t="s">
        <v>74</v>
      </c>
      <c r="P347" s="1" t="s">
        <v>74</v>
      </c>
      <c r="Q347" s="1" t="s">
        <v>74</v>
      </c>
      <c r="R347" s="1" t="s">
        <v>74</v>
      </c>
      <c r="S347" s="1" t="s">
        <v>74</v>
      </c>
      <c r="T347" s="1" t="s">
        <v>7302</v>
      </c>
      <c r="U347" s="1" t="s">
        <v>74</v>
      </c>
      <c r="V347" s="1" t="s">
        <v>7303</v>
      </c>
      <c r="W347" s="1" t="s">
        <v>7304</v>
      </c>
      <c r="X347" s="1" t="s">
        <v>7305</v>
      </c>
      <c r="Y347" s="1" t="s">
        <v>7306</v>
      </c>
      <c r="Z347" s="1" t="s">
        <v>7307</v>
      </c>
      <c r="AA347" s="1" t="s">
        <v>74</v>
      </c>
      <c r="AB347" s="1" t="s">
        <v>74</v>
      </c>
      <c r="AC347" s="1" t="s">
        <v>7308</v>
      </c>
      <c r="AD347" s="1" t="s">
        <v>7309</v>
      </c>
      <c r="AE347" s="1" t="s">
        <v>7310</v>
      </c>
      <c r="AF347" s="1" t="s">
        <v>74</v>
      </c>
      <c r="AG347" s="1">
        <v>9.0</v>
      </c>
      <c r="AH347" s="1">
        <v>0.0</v>
      </c>
      <c r="AI347" s="1">
        <v>0.0</v>
      </c>
      <c r="AJ347" s="1">
        <v>0.0</v>
      </c>
      <c r="AK347" s="1">
        <v>0.0</v>
      </c>
      <c r="AL347" s="1" t="s">
        <v>7311</v>
      </c>
      <c r="AM347" s="1" t="s">
        <v>7312</v>
      </c>
      <c r="AN347" s="1" t="s">
        <v>7313</v>
      </c>
      <c r="AO347" s="1" t="s">
        <v>7314</v>
      </c>
      <c r="AP347" s="1" t="s">
        <v>7315</v>
      </c>
      <c r="AQ347" s="1" t="s">
        <v>74</v>
      </c>
      <c r="AR347" s="1" t="s">
        <v>7316</v>
      </c>
      <c r="AS347" s="1" t="s">
        <v>7317</v>
      </c>
      <c r="AT347" s="1" t="s">
        <v>74</v>
      </c>
      <c r="AU347" s="1">
        <v>2024.0</v>
      </c>
      <c r="AV347" s="1" t="s">
        <v>74</v>
      </c>
      <c r="AW347" s="1">
        <v>81.0</v>
      </c>
      <c r="AX347" s="1" t="s">
        <v>74</v>
      </c>
      <c r="AY347" s="1" t="s">
        <v>74</v>
      </c>
      <c r="AZ347" s="1" t="s">
        <v>74</v>
      </c>
      <c r="BA347" s="1" t="s">
        <v>74</v>
      </c>
      <c r="BB347" s="1">
        <v>48.0</v>
      </c>
      <c r="BC347" s="1">
        <v>55.0</v>
      </c>
      <c r="BD347" s="1" t="s">
        <v>74</v>
      </c>
      <c r="BE347" s="1" t="s">
        <v>7318</v>
      </c>
      <c r="BF347" s="2" t="str">
        <f>HYPERLINK("http://dx.doi.org/10.17223/1998863./81/5","http://dx.doi.org/10.17223/1998863./81/5")</f>
        <v>http://dx.doi.org/10.17223/1998863./81/5</v>
      </c>
      <c r="BG347" s="1" t="s">
        <v>74</v>
      </c>
      <c r="BH347" s="1" t="s">
        <v>74</v>
      </c>
      <c r="BI347" s="1">
        <v>8.0</v>
      </c>
      <c r="BJ347" s="1" t="s">
        <v>98</v>
      </c>
      <c r="BK347" s="1" t="s">
        <v>172</v>
      </c>
      <c r="BL347" s="1" t="s">
        <v>100</v>
      </c>
      <c r="BM347" s="1" t="s">
        <v>7319</v>
      </c>
      <c r="BN347" s="1" t="s">
        <v>74</v>
      </c>
      <c r="BO347" s="1" t="s">
        <v>74</v>
      </c>
      <c r="BP347" s="1" t="s">
        <v>74</v>
      </c>
      <c r="BQ347" s="1" t="s">
        <v>74</v>
      </c>
      <c r="BR347" s="1" t="s">
        <v>102</v>
      </c>
      <c r="BS347" s="1" t="s">
        <v>7320</v>
      </c>
      <c r="BT347" s="1" t="str">
        <f>HYPERLINK("https%3A%2F%2Fwww.webofscience.com%2Fwos%2Fwoscc%2Ffull-record%2FWOS:001379741200005","View Full Record in Web of Science")</f>
        <v>View Full Record in Web of Science</v>
      </c>
    </row>
    <row r="348" ht="12.75" customHeight="1">
      <c r="A348" s="1" t="s">
        <v>132</v>
      </c>
      <c r="B348" s="1" t="s">
        <v>7321</v>
      </c>
      <c r="C348" s="1" t="s">
        <v>74</v>
      </c>
      <c r="D348" s="1" t="s">
        <v>74</v>
      </c>
      <c r="E348" s="1" t="s">
        <v>74</v>
      </c>
      <c r="F348" s="1" t="s">
        <v>7322</v>
      </c>
      <c r="G348" s="1" t="s">
        <v>74</v>
      </c>
      <c r="H348" s="1" t="s">
        <v>74</v>
      </c>
      <c r="I348" s="1" t="s">
        <v>7323</v>
      </c>
      <c r="J348" s="1" t="s">
        <v>7324</v>
      </c>
      <c r="K348" s="1" t="s">
        <v>74</v>
      </c>
      <c r="L348" s="1" t="s">
        <v>74</v>
      </c>
      <c r="M348" s="1" t="s">
        <v>80</v>
      </c>
      <c r="N348" s="1" t="s">
        <v>136</v>
      </c>
      <c r="O348" s="1" t="s">
        <v>74</v>
      </c>
      <c r="P348" s="1" t="s">
        <v>74</v>
      </c>
      <c r="Q348" s="1" t="s">
        <v>74</v>
      </c>
      <c r="R348" s="1" t="s">
        <v>74</v>
      </c>
      <c r="S348" s="1" t="s">
        <v>74</v>
      </c>
      <c r="T348" s="1" t="s">
        <v>7325</v>
      </c>
      <c r="U348" s="1" t="s">
        <v>7326</v>
      </c>
      <c r="V348" s="1" t="s">
        <v>7327</v>
      </c>
      <c r="W348" s="1" t="s">
        <v>7328</v>
      </c>
      <c r="X348" s="1" t="s">
        <v>7329</v>
      </c>
      <c r="Y348" s="1" t="s">
        <v>7330</v>
      </c>
      <c r="Z348" s="1" t="s">
        <v>74</v>
      </c>
      <c r="AA348" s="1" t="s">
        <v>7331</v>
      </c>
      <c r="AB348" s="1" t="s">
        <v>7332</v>
      </c>
      <c r="AC348" s="1" t="s">
        <v>74</v>
      </c>
      <c r="AD348" s="1" t="s">
        <v>74</v>
      </c>
      <c r="AE348" s="1" t="s">
        <v>74</v>
      </c>
      <c r="AF348" s="1" t="s">
        <v>74</v>
      </c>
      <c r="AG348" s="1">
        <v>49.0</v>
      </c>
      <c r="AH348" s="1">
        <v>0.0</v>
      </c>
      <c r="AI348" s="1">
        <v>0.0</v>
      </c>
      <c r="AJ348" s="1">
        <v>17.0</v>
      </c>
      <c r="AK348" s="1">
        <v>17.0</v>
      </c>
      <c r="AL348" s="1" t="s">
        <v>7324</v>
      </c>
      <c r="AM348" s="1" t="s">
        <v>7333</v>
      </c>
      <c r="AN348" s="1" t="s">
        <v>7334</v>
      </c>
      <c r="AO348" s="1" t="s">
        <v>7335</v>
      </c>
      <c r="AP348" s="1" t="s">
        <v>7336</v>
      </c>
      <c r="AQ348" s="1" t="s">
        <v>74</v>
      </c>
      <c r="AR348" s="1" t="s">
        <v>7337</v>
      </c>
      <c r="AS348" s="1" t="s">
        <v>7338</v>
      </c>
      <c r="AT348" s="1" t="s">
        <v>74</v>
      </c>
      <c r="AU348" s="1">
        <v>2024.0</v>
      </c>
      <c r="AV348" s="1">
        <v>39.0</v>
      </c>
      <c r="AW348" s="1" t="s">
        <v>74</v>
      </c>
      <c r="AX348" s="1" t="s">
        <v>74</v>
      </c>
      <c r="AY348" s="1" t="s">
        <v>74</v>
      </c>
      <c r="AZ348" s="1" t="s">
        <v>74</v>
      </c>
      <c r="BA348" s="1" t="s">
        <v>74</v>
      </c>
      <c r="BB348" s="1" t="s">
        <v>74</v>
      </c>
      <c r="BC348" s="1" t="s">
        <v>74</v>
      </c>
      <c r="BD348" s="1" t="s">
        <v>7339</v>
      </c>
      <c r="BE348" s="1" t="s">
        <v>7340</v>
      </c>
      <c r="BF348" s="2" t="str">
        <f>HYPERLINK("http://dx.doi.org/10.1590/acb396224","http://dx.doi.org/10.1590/acb396224")</f>
        <v>http://dx.doi.org/10.1590/acb396224</v>
      </c>
      <c r="BG348" s="1" t="s">
        <v>74</v>
      </c>
      <c r="BH348" s="1" t="s">
        <v>74</v>
      </c>
      <c r="BI348" s="1">
        <v>10.0</v>
      </c>
      <c r="BJ348" s="1" t="s">
        <v>5012</v>
      </c>
      <c r="BK348" s="1" t="s">
        <v>149</v>
      </c>
      <c r="BL348" s="1" t="s">
        <v>5012</v>
      </c>
      <c r="BM348" s="1" t="s">
        <v>7341</v>
      </c>
      <c r="BN348" s="1">
        <v>3.93199E7</v>
      </c>
      <c r="BO348" s="1" t="s">
        <v>7342</v>
      </c>
      <c r="BP348" s="1" t="s">
        <v>74</v>
      </c>
      <c r="BQ348" s="1" t="s">
        <v>74</v>
      </c>
      <c r="BR348" s="1" t="s">
        <v>102</v>
      </c>
      <c r="BS348" s="1" t="s">
        <v>7343</v>
      </c>
      <c r="BT348" s="1" t="str">
        <f>HYPERLINK("https%3A%2F%2Fwww.webofscience.com%2Fwos%2Fwoscc%2Ffull-record%2FWOS:001320746100001","View Full Record in Web of Science")</f>
        <v>View Full Record in Web of Science</v>
      </c>
    </row>
    <row r="349" ht="12.75" customHeight="1">
      <c r="A349" s="1" t="s">
        <v>132</v>
      </c>
      <c r="B349" s="1" t="s">
        <v>7344</v>
      </c>
      <c r="C349" s="1" t="s">
        <v>74</v>
      </c>
      <c r="D349" s="1" t="s">
        <v>74</v>
      </c>
      <c r="E349" s="1" t="s">
        <v>74</v>
      </c>
      <c r="F349" s="1" t="s">
        <v>7345</v>
      </c>
      <c r="G349" s="1" t="s">
        <v>74</v>
      </c>
      <c r="H349" s="1" t="s">
        <v>74</v>
      </c>
      <c r="I349" s="1" t="s">
        <v>7346</v>
      </c>
      <c r="J349" s="1" t="s">
        <v>7347</v>
      </c>
      <c r="K349" s="1" t="s">
        <v>74</v>
      </c>
      <c r="L349" s="1" t="s">
        <v>74</v>
      </c>
      <c r="M349" s="1" t="s">
        <v>80</v>
      </c>
      <c r="N349" s="1" t="s">
        <v>136</v>
      </c>
      <c r="O349" s="1" t="s">
        <v>74</v>
      </c>
      <c r="P349" s="1" t="s">
        <v>74</v>
      </c>
      <c r="Q349" s="1" t="s">
        <v>74</v>
      </c>
      <c r="R349" s="1" t="s">
        <v>74</v>
      </c>
      <c r="S349" s="1" t="s">
        <v>74</v>
      </c>
      <c r="T349" s="1" t="s">
        <v>7348</v>
      </c>
      <c r="U349" s="1" t="s">
        <v>7349</v>
      </c>
      <c r="V349" s="1" t="s">
        <v>7350</v>
      </c>
      <c r="W349" s="1" t="s">
        <v>7351</v>
      </c>
      <c r="X349" s="1" t="s">
        <v>7352</v>
      </c>
      <c r="Y349" s="1" t="s">
        <v>7353</v>
      </c>
      <c r="Z349" s="1" t="s">
        <v>7354</v>
      </c>
      <c r="AA349" s="1" t="s">
        <v>7355</v>
      </c>
      <c r="AB349" s="1" t="s">
        <v>7356</v>
      </c>
      <c r="AC349" s="1" t="s">
        <v>7357</v>
      </c>
      <c r="AD349" s="1" t="s">
        <v>7357</v>
      </c>
      <c r="AE349" s="1" t="s">
        <v>7358</v>
      </c>
      <c r="AF349" s="1" t="s">
        <v>74</v>
      </c>
      <c r="AG349" s="1">
        <v>209.0</v>
      </c>
      <c r="AH349" s="1">
        <v>4.0</v>
      </c>
      <c r="AI349" s="1">
        <v>4.0</v>
      </c>
      <c r="AJ349" s="1">
        <v>65.0</v>
      </c>
      <c r="AK349" s="1">
        <v>123.0</v>
      </c>
      <c r="AL349" s="1" t="s">
        <v>1357</v>
      </c>
      <c r="AM349" s="1" t="s">
        <v>1358</v>
      </c>
      <c r="AN349" s="1" t="s">
        <v>1359</v>
      </c>
      <c r="AO349" s="1" t="s">
        <v>7359</v>
      </c>
      <c r="AP349" s="1" t="s">
        <v>7360</v>
      </c>
      <c r="AQ349" s="1" t="s">
        <v>74</v>
      </c>
      <c r="AR349" s="1" t="s">
        <v>7361</v>
      </c>
      <c r="AS349" s="1" t="s">
        <v>7362</v>
      </c>
      <c r="AT349" s="1" t="s">
        <v>1027</v>
      </c>
      <c r="AU349" s="1">
        <v>2024.0</v>
      </c>
      <c r="AV349" s="1">
        <v>48.0</v>
      </c>
      <c r="AW349" s="1">
        <v>2.0</v>
      </c>
      <c r="AX349" s="1" t="s">
        <v>74</v>
      </c>
      <c r="AY349" s="1" t="s">
        <v>74</v>
      </c>
      <c r="AZ349" s="1" t="s">
        <v>74</v>
      </c>
      <c r="BA349" s="1" t="s">
        <v>74</v>
      </c>
      <c r="BB349" s="1" t="s">
        <v>74</v>
      </c>
      <c r="BC349" s="1" t="s">
        <v>74</v>
      </c>
      <c r="BD349" s="1" t="s">
        <v>7363</v>
      </c>
      <c r="BE349" s="1" t="s">
        <v>7364</v>
      </c>
      <c r="BF349" s="2" t="str">
        <f>HYPERLINK("http://dx.doi.org/10.1111/ijcs.13027","http://dx.doi.org/10.1111/ijcs.13027")</f>
        <v>http://dx.doi.org/10.1111/ijcs.13027</v>
      </c>
      <c r="BG349" s="1" t="s">
        <v>74</v>
      </c>
      <c r="BH349" s="1" t="s">
        <v>74</v>
      </c>
      <c r="BI349" s="1">
        <v>22.0</v>
      </c>
      <c r="BJ349" s="1" t="s">
        <v>2040</v>
      </c>
      <c r="BK349" s="1" t="s">
        <v>203</v>
      </c>
      <c r="BL349" s="1" t="s">
        <v>204</v>
      </c>
      <c r="BM349" s="1" t="s">
        <v>7365</v>
      </c>
      <c r="BN349" s="1" t="s">
        <v>74</v>
      </c>
      <c r="BO349" s="1" t="s">
        <v>306</v>
      </c>
      <c r="BP349" s="1" t="s">
        <v>74</v>
      </c>
      <c r="BQ349" s="1" t="s">
        <v>74</v>
      </c>
      <c r="BR349" s="1" t="s">
        <v>102</v>
      </c>
      <c r="BS349" s="1" t="s">
        <v>7366</v>
      </c>
      <c r="BT349" s="1" t="str">
        <f>HYPERLINK("https%3A%2F%2Fwww.webofscience.com%2Fwos%2Fwoscc%2Ffull-record%2FWOS:001174621800001","View Full Record in Web of Science")</f>
        <v>View Full Record in Web of Science</v>
      </c>
    </row>
    <row r="350" ht="12.75" customHeight="1">
      <c r="A350" s="1" t="s">
        <v>132</v>
      </c>
      <c r="B350" s="1" t="s">
        <v>7367</v>
      </c>
      <c r="C350" s="1" t="s">
        <v>74</v>
      </c>
      <c r="D350" s="1" t="s">
        <v>74</v>
      </c>
      <c r="E350" s="1" t="s">
        <v>74</v>
      </c>
      <c r="F350" s="1" t="s">
        <v>7368</v>
      </c>
      <c r="G350" s="1" t="s">
        <v>74</v>
      </c>
      <c r="H350" s="1" t="s">
        <v>74</v>
      </c>
      <c r="I350" s="1" t="s">
        <v>7369</v>
      </c>
      <c r="J350" s="1" t="s">
        <v>7370</v>
      </c>
      <c r="K350" s="1" t="s">
        <v>74</v>
      </c>
      <c r="L350" s="1" t="s">
        <v>74</v>
      </c>
      <c r="M350" s="1" t="s">
        <v>80</v>
      </c>
      <c r="N350" s="1" t="s">
        <v>136</v>
      </c>
      <c r="O350" s="1" t="s">
        <v>74</v>
      </c>
      <c r="P350" s="1" t="s">
        <v>74</v>
      </c>
      <c r="Q350" s="1" t="s">
        <v>74</v>
      </c>
      <c r="R350" s="1" t="s">
        <v>74</v>
      </c>
      <c r="S350" s="1" t="s">
        <v>74</v>
      </c>
      <c r="T350" s="1" t="s">
        <v>7371</v>
      </c>
      <c r="U350" s="1" t="s">
        <v>74</v>
      </c>
      <c r="V350" s="1" t="s">
        <v>7372</v>
      </c>
      <c r="W350" s="1" t="s">
        <v>7373</v>
      </c>
      <c r="X350" s="1" t="s">
        <v>7374</v>
      </c>
      <c r="Y350" s="1" t="s">
        <v>7375</v>
      </c>
      <c r="Z350" s="1" t="s">
        <v>7376</v>
      </c>
      <c r="AA350" s="1" t="s">
        <v>7377</v>
      </c>
      <c r="AB350" s="1" t="s">
        <v>7378</v>
      </c>
      <c r="AC350" s="1" t="s">
        <v>7379</v>
      </c>
      <c r="AD350" s="1" t="s">
        <v>4344</v>
      </c>
      <c r="AE350" s="1" t="s">
        <v>7380</v>
      </c>
      <c r="AF350" s="1" t="s">
        <v>74</v>
      </c>
      <c r="AG350" s="1">
        <v>36.0</v>
      </c>
      <c r="AH350" s="1">
        <v>2.0</v>
      </c>
      <c r="AI350" s="1">
        <v>2.0</v>
      </c>
      <c r="AJ350" s="1">
        <v>25.0</v>
      </c>
      <c r="AK350" s="1">
        <v>55.0</v>
      </c>
      <c r="AL350" s="1" t="s">
        <v>595</v>
      </c>
      <c r="AM350" s="1" t="s">
        <v>467</v>
      </c>
      <c r="AN350" s="1" t="s">
        <v>596</v>
      </c>
      <c r="AO350" s="1" t="s">
        <v>7381</v>
      </c>
      <c r="AP350" s="1" t="s">
        <v>7382</v>
      </c>
      <c r="AQ350" s="1" t="s">
        <v>74</v>
      </c>
      <c r="AR350" s="1" t="s">
        <v>7383</v>
      </c>
      <c r="AS350" s="1" t="s">
        <v>7384</v>
      </c>
      <c r="AT350" s="1" t="s">
        <v>2377</v>
      </c>
      <c r="AU350" s="1">
        <v>2024.0</v>
      </c>
      <c r="AV350" s="1">
        <v>36.0</v>
      </c>
      <c r="AW350" s="1">
        <v>12.0</v>
      </c>
      <c r="AX350" s="1" t="s">
        <v>74</v>
      </c>
      <c r="AY350" s="1" t="s">
        <v>74</v>
      </c>
      <c r="AZ350" s="1" t="s">
        <v>74</v>
      </c>
      <c r="BA350" s="1" t="s">
        <v>74</v>
      </c>
      <c r="BB350" s="1">
        <v>4701.0</v>
      </c>
      <c r="BC350" s="1">
        <v>4714.0</v>
      </c>
      <c r="BD350" s="1" t="s">
        <v>74</v>
      </c>
      <c r="BE350" s="1" t="s">
        <v>7385</v>
      </c>
      <c r="BF350" s="2" t="str">
        <f>HYPERLINK("http://dx.doi.org/10.1080/09537325.2023.2268210","http://dx.doi.org/10.1080/09537325.2023.2268210")</f>
        <v>http://dx.doi.org/10.1080/09537325.2023.2268210</v>
      </c>
      <c r="BG350" s="1" t="s">
        <v>74</v>
      </c>
      <c r="BH350" s="1" t="s">
        <v>201</v>
      </c>
      <c r="BI350" s="1">
        <v>14.0</v>
      </c>
      <c r="BJ350" s="1" t="s">
        <v>7386</v>
      </c>
      <c r="BK350" s="1" t="s">
        <v>203</v>
      </c>
      <c r="BL350" s="1" t="s">
        <v>1690</v>
      </c>
      <c r="BM350" s="1" t="s">
        <v>7387</v>
      </c>
      <c r="BN350" s="1" t="s">
        <v>74</v>
      </c>
      <c r="BO350" s="1" t="s">
        <v>74</v>
      </c>
      <c r="BP350" s="1" t="s">
        <v>74</v>
      </c>
      <c r="BQ350" s="1" t="s">
        <v>74</v>
      </c>
      <c r="BR350" s="1" t="s">
        <v>102</v>
      </c>
      <c r="BS350" s="1" t="s">
        <v>7388</v>
      </c>
      <c r="BT350" s="1" t="str">
        <f>HYPERLINK("https%3A%2F%2Fwww.webofscience.com%2Fwos%2Fwoscc%2Ffull-record%2FWOS:001151559400001","View Full Record in Web of Science")</f>
        <v>View Full Record in Web of Science</v>
      </c>
    </row>
    <row r="351" ht="12.75" customHeight="1">
      <c r="A351" s="1" t="s">
        <v>132</v>
      </c>
      <c r="B351" s="1" t="s">
        <v>7389</v>
      </c>
      <c r="C351" s="1" t="s">
        <v>74</v>
      </c>
      <c r="D351" s="1" t="s">
        <v>74</v>
      </c>
      <c r="E351" s="1" t="s">
        <v>74</v>
      </c>
      <c r="F351" s="1" t="s">
        <v>7390</v>
      </c>
      <c r="G351" s="1" t="s">
        <v>74</v>
      </c>
      <c r="H351" s="1" t="s">
        <v>74</v>
      </c>
      <c r="I351" s="1" t="s">
        <v>7391</v>
      </c>
      <c r="J351" s="1" t="s">
        <v>7392</v>
      </c>
      <c r="K351" s="1" t="s">
        <v>74</v>
      </c>
      <c r="L351" s="1" t="s">
        <v>74</v>
      </c>
      <c r="M351" s="1" t="s">
        <v>80</v>
      </c>
      <c r="N351" s="1" t="s">
        <v>136</v>
      </c>
      <c r="O351" s="1" t="s">
        <v>74</v>
      </c>
      <c r="P351" s="1" t="s">
        <v>74</v>
      </c>
      <c r="Q351" s="1" t="s">
        <v>74</v>
      </c>
      <c r="R351" s="1" t="s">
        <v>74</v>
      </c>
      <c r="S351" s="1" t="s">
        <v>74</v>
      </c>
      <c r="T351" s="1" t="s">
        <v>7393</v>
      </c>
      <c r="U351" s="1" t="s">
        <v>74</v>
      </c>
      <c r="V351" s="1" t="s">
        <v>7394</v>
      </c>
      <c r="W351" s="1" t="s">
        <v>7395</v>
      </c>
      <c r="X351" s="1" t="s">
        <v>7396</v>
      </c>
      <c r="Y351" s="1" t="s">
        <v>7397</v>
      </c>
      <c r="Z351" s="1" t="s">
        <v>7398</v>
      </c>
      <c r="AA351" s="1" t="s">
        <v>74</v>
      </c>
      <c r="AB351" s="1" t="s">
        <v>74</v>
      </c>
      <c r="AC351" s="1" t="s">
        <v>74</v>
      </c>
      <c r="AD351" s="1" t="s">
        <v>74</v>
      </c>
      <c r="AE351" s="1" t="s">
        <v>74</v>
      </c>
      <c r="AF351" s="1" t="s">
        <v>74</v>
      </c>
      <c r="AG351" s="1">
        <v>36.0</v>
      </c>
      <c r="AH351" s="1">
        <v>0.0</v>
      </c>
      <c r="AI351" s="1">
        <v>0.0</v>
      </c>
      <c r="AJ351" s="1">
        <v>7.0</v>
      </c>
      <c r="AK351" s="1">
        <v>45.0</v>
      </c>
      <c r="AL351" s="1" t="s">
        <v>7399</v>
      </c>
      <c r="AM351" s="1" t="s">
        <v>7400</v>
      </c>
      <c r="AN351" s="1" t="s">
        <v>7401</v>
      </c>
      <c r="AO351" s="1" t="s">
        <v>7402</v>
      </c>
      <c r="AP351" s="1" t="s">
        <v>7403</v>
      </c>
      <c r="AQ351" s="1" t="s">
        <v>74</v>
      </c>
      <c r="AR351" s="1" t="s">
        <v>7404</v>
      </c>
      <c r="AS351" s="1" t="s">
        <v>7405</v>
      </c>
      <c r="AT351" s="1" t="s">
        <v>74</v>
      </c>
      <c r="AU351" s="1">
        <v>2020.0</v>
      </c>
      <c r="AV351" s="1" t="s">
        <v>74</v>
      </c>
      <c r="AW351" s="1">
        <v>14.0</v>
      </c>
      <c r="AX351" s="1" t="s">
        <v>74</v>
      </c>
      <c r="AY351" s="1" t="s">
        <v>74</v>
      </c>
      <c r="AZ351" s="1" t="s">
        <v>74</v>
      </c>
      <c r="BA351" s="1" t="s">
        <v>74</v>
      </c>
      <c r="BB351" s="1">
        <v>217.0</v>
      </c>
      <c r="BC351" s="1">
        <v>225.0</v>
      </c>
      <c r="BD351" s="1" t="s">
        <v>74</v>
      </c>
      <c r="BE351" s="1" t="s">
        <v>7406</v>
      </c>
      <c r="BF351" s="2" t="str">
        <f>HYPERLINK("http://dx.doi.org/10.5755/j01.eis.1.14.26143","http://dx.doi.org/10.5755/j01.eis.1.14.26143")</f>
        <v>http://dx.doi.org/10.5755/j01.eis.1.14.26143</v>
      </c>
      <c r="BG351" s="1" t="s">
        <v>74</v>
      </c>
      <c r="BH351" s="1" t="s">
        <v>74</v>
      </c>
      <c r="BI351" s="1">
        <v>9.0</v>
      </c>
      <c r="BJ351" s="1" t="s">
        <v>5691</v>
      </c>
      <c r="BK351" s="1" t="s">
        <v>172</v>
      </c>
      <c r="BL351" s="1" t="s">
        <v>5691</v>
      </c>
      <c r="BM351" s="1" t="s">
        <v>7407</v>
      </c>
      <c r="BN351" s="1" t="s">
        <v>74</v>
      </c>
      <c r="BO351" s="1" t="s">
        <v>174</v>
      </c>
      <c r="BP351" s="1" t="s">
        <v>74</v>
      </c>
      <c r="BQ351" s="1" t="s">
        <v>74</v>
      </c>
      <c r="BR351" s="1" t="s">
        <v>102</v>
      </c>
      <c r="BS351" s="1" t="s">
        <v>7408</v>
      </c>
      <c r="BT351" s="1" t="str">
        <f>HYPERLINK("https%3A%2F%2Fwww.webofscience.com%2Fwos%2Fwoscc%2Ffull-record%2FWOS:000593413900018","View Full Record in Web of Science")</f>
        <v>View Full Record in Web of Science</v>
      </c>
    </row>
    <row r="352" ht="12.75" customHeight="1">
      <c r="A352" s="1" t="s">
        <v>132</v>
      </c>
      <c r="B352" s="1" t="s">
        <v>7409</v>
      </c>
      <c r="C352" s="1" t="s">
        <v>74</v>
      </c>
      <c r="D352" s="1" t="s">
        <v>74</v>
      </c>
      <c r="E352" s="1" t="s">
        <v>74</v>
      </c>
      <c r="F352" s="1" t="s">
        <v>7410</v>
      </c>
      <c r="G352" s="1" t="s">
        <v>74</v>
      </c>
      <c r="H352" s="1" t="s">
        <v>74</v>
      </c>
      <c r="I352" s="1" t="s">
        <v>7411</v>
      </c>
      <c r="J352" s="1" t="s">
        <v>7412</v>
      </c>
      <c r="K352" s="1" t="s">
        <v>74</v>
      </c>
      <c r="L352" s="1" t="s">
        <v>74</v>
      </c>
      <c r="M352" s="1" t="s">
        <v>80</v>
      </c>
      <c r="N352" s="1" t="s">
        <v>338</v>
      </c>
      <c r="O352" s="1" t="s">
        <v>74</v>
      </c>
      <c r="P352" s="1" t="s">
        <v>74</v>
      </c>
      <c r="Q352" s="1" t="s">
        <v>74</v>
      </c>
      <c r="R352" s="1" t="s">
        <v>74</v>
      </c>
      <c r="S352" s="1" t="s">
        <v>74</v>
      </c>
      <c r="T352" s="1" t="s">
        <v>7413</v>
      </c>
      <c r="U352" s="1" t="s">
        <v>74</v>
      </c>
      <c r="V352" s="1" t="s">
        <v>7414</v>
      </c>
      <c r="W352" s="1" t="s">
        <v>7415</v>
      </c>
      <c r="X352" s="1" t="s">
        <v>7416</v>
      </c>
      <c r="Y352" s="1" t="s">
        <v>7417</v>
      </c>
      <c r="Z352" s="1" t="s">
        <v>7418</v>
      </c>
      <c r="AA352" s="1" t="s">
        <v>74</v>
      </c>
      <c r="AB352" s="1" t="s">
        <v>7419</v>
      </c>
      <c r="AC352" s="1" t="s">
        <v>7420</v>
      </c>
      <c r="AD352" s="1" t="s">
        <v>7420</v>
      </c>
      <c r="AE352" s="1" t="s">
        <v>7421</v>
      </c>
      <c r="AF352" s="1" t="s">
        <v>74</v>
      </c>
      <c r="AG352" s="1">
        <v>27.0</v>
      </c>
      <c r="AH352" s="1">
        <v>0.0</v>
      </c>
      <c r="AI352" s="1">
        <v>0.0</v>
      </c>
      <c r="AJ352" s="1">
        <v>1.0</v>
      </c>
      <c r="AK352" s="1">
        <v>1.0</v>
      </c>
      <c r="AL352" s="1" t="s">
        <v>1357</v>
      </c>
      <c r="AM352" s="1" t="s">
        <v>1358</v>
      </c>
      <c r="AN352" s="1" t="s">
        <v>1359</v>
      </c>
      <c r="AO352" s="1" t="s">
        <v>7422</v>
      </c>
      <c r="AP352" s="1" t="s">
        <v>7423</v>
      </c>
      <c r="AQ352" s="1" t="s">
        <v>74</v>
      </c>
      <c r="AR352" s="1" t="s">
        <v>7424</v>
      </c>
      <c r="AS352" s="1" t="s">
        <v>7425</v>
      </c>
      <c r="AT352" s="1" t="s">
        <v>3806</v>
      </c>
      <c r="AU352" s="1">
        <v>2025.0</v>
      </c>
      <c r="AV352" s="1" t="s">
        <v>74</v>
      </c>
      <c r="AW352" s="1" t="s">
        <v>74</v>
      </c>
      <c r="AX352" s="1" t="s">
        <v>74</v>
      </c>
      <c r="AY352" s="1" t="s">
        <v>74</v>
      </c>
      <c r="AZ352" s="1" t="s">
        <v>74</v>
      </c>
      <c r="BA352" s="1" t="s">
        <v>74</v>
      </c>
      <c r="BB352" s="1" t="s">
        <v>74</v>
      </c>
      <c r="BC352" s="1" t="s">
        <v>74</v>
      </c>
      <c r="BD352" s="1" t="s">
        <v>74</v>
      </c>
      <c r="BE352" s="1" t="s">
        <v>7426</v>
      </c>
      <c r="BF352" s="2" t="str">
        <f>HYPERLINK("http://dx.doi.org/10.1111/risa.17691","http://dx.doi.org/10.1111/risa.17691")</f>
        <v>http://dx.doi.org/10.1111/risa.17691</v>
      </c>
      <c r="BG352" s="1" t="s">
        <v>74</v>
      </c>
      <c r="BH352" s="1" t="s">
        <v>3808</v>
      </c>
      <c r="BI352" s="1">
        <v>7.0</v>
      </c>
      <c r="BJ352" s="1" t="s">
        <v>7427</v>
      </c>
      <c r="BK352" s="1" t="s">
        <v>783</v>
      </c>
      <c r="BL352" s="1" t="s">
        <v>7428</v>
      </c>
      <c r="BM352" s="1" t="s">
        <v>7429</v>
      </c>
      <c r="BN352" s="1">
        <v>3.9780439E7</v>
      </c>
      <c r="BO352" s="1" t="s">
        <v>74</v>
      </c>
      <c r="BP352" s="1" t="s">
        <v>74</v>
      </c>
      <c r="BQ352" s="1" t="s">
        <v>74</v>
      </c>
      <c r="BR352" s="1" t="s">
        <v>102</v>
      </c>
      <c r="BS352" s="1" t="s">
        <v>7430</v>
      </c>
      <c r="BT352" s="1" t="str">
        <f>HYPERLINK("https%3A%2F%2Fwww.webofscience.com%2Fwos%2Fwoscc%2Ffull-record%2FWOS:001391822400001","View Full Record in Web of Science")</f>
        <v>View Full Record in Web of Science</v>
      </c>
    </row>
    <row r="353" ht="12.75" customHeight="1">
      <c r="A353" s="1" t="s">
        <v>132</v>
      </c>
      <c r="B353" s="1" t="s">
        <v>7431</v>
      </c>
      <c r="C353" s="1" t="s">
        <v>74</v>
      </c>
      <c r="D353" s="1" t="s">
        <v>74</v>
      </c>
      <c r="E353" s="1" t="s">
        <v>74</v>
      </c>
      <c r="F353" s="1" t="s">
        <v>7432</v>
      </c>
      <c r="G353" s="1" t="s">
        <v>74</v>
      </c>
      <c r="H353" s="1" t="s">
        <v>74</v>
      </c>
      <c r="I353" s="1" t="s">
        <v>7433</v>
      </c>
      <c r="J353" s="1" t="s">
        <v>1009</v>
      </c>
      <c r="K353" s="1" t="s">
        <v>74</v>
      </c>
      <c r="L353" s="1" t="s">
        <v>74</v>
      </c>
      <c r="M353" s="1" t="s">
        <v>80</v>
      </c>
      <c r="N353" s="1" t="s">
        <v>1010</v>
      </c>
      <c r="O353" s="1" t="s">
        <v>74</v>
      </c>
      <c r="P353" s="1" t="s">
        <v>74</v>
      </c>
      <c r="Q353" s="1" t="s">
        <v>74</v>
      </c>
      <c r="R353" s="1" t="s">
        <v>74</v>
      </c>
      <c r="S353" s="1" t="s">
        <v>74</v>
      </c>
      <c r="T353" s="1" t="s">
        <v>7434</v>
      </c>
      <c r="U353" s="1" t="s">
        <v>7435</v>
      </c>
      <c r="V353" s="1" t="s">
        <v>7436</v>
      </c>
      <c r="W353" s="1" t="s">
        <v>7437</v>
      </c>
      <c r="X353" s="1" t="s">
        <v>7438</v>
      </c>
      <c r="Y353" s="1" t="s">
        <v>7439</v>
      </c>
      <c r="Z353" s="1" t="s">
        <v>7440</v>
      </c>
      <c r="AA353" s="1" t="s">
        <v>7441</v>
      </c>
      <c r="AB353" s="1" t="s">
        <v>7442</v>
      </c>
      <c r="AC353" s="1" t="s">
        <v>7443</v>
      </c>
      <c r="AD353" s="1" t="s">
        <v>7444</v>
      </c>
      <c r="AE353" s="1" t="s">
        <v>74</v>
      </c>
      <c r="AF353" s="1" t="s">
        <v>74</v>
      </c>
      <c r="AG353" s="1">
        <v>61.0</v>
      </c>
      <c r="AH353" s="1">
        <v>7.0</v>
      </c>
      <c r="AI353" s="1">
        <v>7.0</v>
      </c>
      <c r="AJ353" s="1">
        <v>1.0</v>
      </c>
      <c r="AK353" s="1">
        <v>5.0</v>
      </c>
      <c r="AL353" s="1" t="s">
        <v>1020</v>
      </c>
      <c r="AM353" s="1" t="s">
        <v>1021</v>
      </c>
      <c r="AN353" s="1" t="s">
        <v>1022</v>
      </c>
      <c r="AO353" s="1" t="s">
        <v>1023</v>
      </c>
      <c r="AP353" s="1" t="s">
        <v>1024</v>
      </c>
      <c r="AQ353" s="1" t="s">
        <v>74</v>
      </c>
      <c r="AR353" s="1" t="s">
        <v>1025</v>
      </c>
      <c r="AS353" s="1" t="s">
        <v>1026</v>
      </c>
      <c r="AT353" s="1" t="s">
        <v>1709</v>
      </c>
      <c r="AU353" s="1">
        <v>2023.0</v>
      </c>
      <c r="AV353" s="1">
        <v>34.0</v>
      </c>
      <c r="AW353" s="1">
        <v>5.0</v>
      </c>
      <c r="AX353" s="1" t="s">
        <v>74</v>
      </c>
      <c r="AY353" s="1" t="s">
        <v>74</v>
      </c>
      <c r="AZ353" s="1" t="s">
        <v>74</v>
      </c>
      <c r="BA353" s="1" t="s">
        <v>74</v>
      </c>
      <c r="BB353" s="1">
        <v>396.0</v>
      </c>
      <c r="BC353" s="1">
        <v>402.0</v>
      </c>
      <c r="BD353" s="1" t="s">
        <v>74</v>
      </c>
      <c r="BE353" s="1" t="s">
        <v>7445</v>
      </c>
      <c r="BF353" s="2" t="str">
        <f>HYPERLINK("http://dx.doi.org/10.1097/ICU.0000000000000980","http://dx.doi.org/10.1097/ICU.0000000000000980")</f>
        <v>http://dx.doi.org/10.1097/ICU.0000000000000980</v>
      </c>
      <c r="BG353" s="1" t="s">
        <v>74</v>
      </c>
      <c r="BH353" s="1" t="s">
        <v>74</v>
      </c>
      <c r="BI353" s="1">
        <v>7.0</v>
      </c>
      <c r="BJ353" s="1" t="s">
        <v>1029</v>
      </c>
      <c r="BK353" s="1" t="s">
        <v>149</v>
      </c>
      <c r="BL353" s="1" t="s">
        <v>1029</v>
      </c>
      <c r="BM353" s="1" t="s">
        <v>7446</v>
      </c>
      <c r="BN353" s="1">
        <v>3.7326216E7</v>
      </c>
      <c r="BO353" s="1" t="s">
        <v>7447</v>
      </c>
      <c r="BP353" s="1" t="s">
        <v>74</v>
      </c>
      <c r="BQ353" s="1" t="s">
        <v>74</v>
      </c>
      <c r="BR353" s="1" t="s">
        <v>102</v>
      </c>
      <c r="BS353" s="1" t="s">
        <v>7448</v>
      </c>
      <c r="BT353" s="1" t="str">
        <f>HYPERLINK("https%3A%2F%2Fwww.webofscience.com%2Fwos%2Fwoscc%2Ffull-record%2FWOS:001046748600009","View Full Record in Web of Science")</f>
        <v>View Full Record in Web of Science</v>
      </c>
    </row>
    <row r="354" ht="12.75" customHeight="1">
      <c r="A354" s="1" t="s">
        <v>132</v>
      </c>
      <c r="B354" s="1" t="s">
        <v>7449</v>
      </c>
      <c r="C354" s="1" t="s">
        <v>74</v>
      </c>
      <c r="D354" s="1" t="s">
        <v>74</v>
      </c>
      <c r="E354" s="1" t="s">
        <v>74</v>
      </c>
      <c r="F354" s="1" t="s">
        <v>7450</v>
      </c>
      <c r="G354" s="1" t="s">
        <v>74</v>
      </c>
      <c r="H354" s="1" t="s">
        <v>74</v>
      </c>
      <c r="I354" s="1" t="s">
        <v>7451</v>
      </c>
      <c r="J354" s="1" t="s">
        <v>7452</v>
      </c>
      <c r="K354" s="1" t="s">
        <v>74</v>
      </c>
      <c r="L354" s="1" t="s">
        <v>74</v>
      </c>
      <c r="M354" s="1" t="s">
        <v>80</v>
      </c>
      <c r="N354" s="1" t="s">
        <v>136</v>
      </c>
      <c r="O354" s="1" t="s">
        <v>74</v>
      </c>
      <c r="P354" s="1" t="s">
        <v>74</v>
      </c>
      <c r="Q354" s="1" t="s">
        <v>74</v>
      </c>
      <c r="R354" s="1" t="s">
        <v>74</v>
      </c>
      <c r="S354" s="1" t="s">
        <v>74</v>
      </c>
      <c r="T354" s="1" t="s">
        <v>7453</v>
      </c>
      <c r="U354" s="1" t="s">
        <v>74</v>
      </c>
      <c r="V354" s="1" t="s">
        <v>7454</v>
      </c>
      <c r="W354" s="1" t="s">
        <v>7455</v>
      </c>
      <c r="X354" s="1" t="s">
        <v>7456</v>
      </c>
      <c r="Y354" s="1" t="s">
        <v>7457</v>
      </c>
      <c r="Z354" s="1" t="s">
        <v>7458</v>
      </c>
      <c r="AA354" s="1" t="s">
        <v>7459</v>
      </c>
      <c r="AB354" s="1" t="s">
        <v>7460</v>
      </c>
      <c r="AC354" s="1" t="s">
        <v>74</v>
      </c>
      <c r="AD354" s="1" t="s">
        <v>74</v>
      </c>
      <c r="AE354" s="1" t="s">
        <v>74</v>
      </c>
      <c r="AF354" s="1" t="s">
        <v>74</v>
      </c>
      <c r="AG354" s="1">
        <v>47.0</v>
      </c>
      <c r="AH354" s="1">
        <v>0.0</v>
      </c>
      <c r="AI354" s="1">
        <v>0.0</v>
      </c>
      <c r="AJ354" s="1">
        <v>11.0</v>
      </c>
      <c r="AK354" s="1">
        <v>35.0</v>
      </c>
      <c r="AL354" s="1" t="s">
        <v>7461</v>
      </c>
      <c r="AM354" s="1" t="s">
        <v>7462</v>
      </c>
      <c r="AN354" s="1" t="s">
        <v>7463</v>
      </c>
      <c r="AO354" s="1" t="s">
        <v>7464</v>
      </c>
      <c r="AP354" s="1" t="s">
        <v>7465</v>
      </c>
      <c r="AQ354" s="1" t="s">
        <v>74</v>
      </c>
      <c r="AR354" s="1" t="s">
        <v>7466</v>
      </c>
      <c r="AS354" s="1" t="s">
        <v>7467</v>
      </c>
      <c r="AT354" s="1" t="s">
        <v>4667</v>
      </c>
      <c r="AU354" s="1">
        <v>2023.0</v>
      </c>
      <c r="AV354" s="1" t="s">
        <v>74</v>
      </c>
      <c r="AW354" s="1">
        <v>37.0</v>
      </c>
      <c r="AX354" s="1" t="s">
        <v>74</v>
      </c>
      <c r="AY354" s="1" t="s">
        <v>74</v>
      </c>
      <c r="AZ354" s="1" t="s">
        <v>74</v>
      </c>
      <c r="BA354" s="1" t="s">
        <v>74</v>
      </c>
      <c r="BB354" s="1">
        <v>45.0</v>
      </c>
      <c r="BC354" s="1">
        <v>62.0</v>
      </c>
      <c r="BD354" s="1" t="s">
        <v>74</v>
      </c>
      <c r="BE354" s="1" t="s">
        <v>7468</v>
      </c>
      <c r="BF354" s="2" t="str">
        <f>HYPERLINK("http://dx.doi.org/10.17141/urvio.37.2023.5992","http://dx.doi.org/10.17141/urvio.37.2023.5992")</f>
        <v>http://dx.doi.org/10.17141/urvio.37.2023.5992</v>
      </c>
      <c r="BG354" s="1" t="s">
        <v>74</v>
      </c>
      <c r="BH354" s="1" t="s">
        <v>74</v>
      </c>
      <c r="BI354" s="1">
        <v>19.0</v>
      </c>
      <c r="BJ354" s="1" t="s">
        <v>7469</v>
      </c>
      <c r="BK354" s="1" t="s">
        <v>172</v>
      </c>
      <c r="BL354" s="1" t="s">
        <v>916</v>
      </c>
      <c r="BM354" s="1" t="s">
        <v>7470</v>
      </c>
      <c r="BN354" s="1" t="s">
        <v>74</v>
      </c>
      <c r="BO354" s="1" t="s">
        <v>2204</v>
      </c>
      <c r="BP354" s="1" t="s">
        <v>74</v>
      </c>
      <c r="BQ354" s="1" t="s">
        <v>74</v>
      </c>
      <c r="BR354" s="1" t="s">
        <v>102</v>
      </c>
      <c r="BS354" s="1" t="s">
        <v>7471</v>
      </c>
      <c r="BT354" s="1" t="str">
        <f>HYPERLINK("https%3A%2F%2Fwww.webofscience.com%2Fwos%2Fwoscc%2Ffull-record%2FWOS:001114263200007","View Full Record in Web of Science")</f>
        <v>View Full Record in Web of Science</v>
      </c>
    </row>
    <row r="355" ht="12.75" customHeight="1">
      <c r="A355" s="1" t="s">
        <v>72</v>
      </c>
      <c r="B355" s="1" t="s">
        <v>7472</v>
      </c>
      <c r="C355" s="1" t="s">
        <v>74</v>
      </c>
      <c r="D355" s="1" t="s">
        <v>74</v>
      </c>
      <c r="E355" s="1" t="s">
        <v>236</v>
      </c>
      <c r="F355" s="1" t="s">
        <v>7473</v>
      </c>
      <c r="G355" s="1" t="s">
        <v>74</v>
      </c>
      <c r="H355" s="1" t="s">
        <v>74</v>
      </c>
      <c r="I355" s="1" t="s">
        <v>7474</v>
      </c>
      <c r="J355" s="1" t="s">
        <v>7475</v>
      </c>
      <c r="K355" s="1" t="s">
        <v>7476</v>
      </c>
      <c r="L355" s="1" t="s">
        <v>74</v>
      </c>
      <c r="M355" s="1" t="s">
        <v>80</v>
      </c>
      <c r="N355" s="1" t="s">
        <v>81</v>
      </c>
      <c r="O355" s="1" t="s">
        <v>7477</v>
      </c>
      <c r="P355" s="1" t="s">
        <v>7478</v>
      </c>
      <c r="Q355" s="1" t="s">
        <v>7479</v>
      </c>
      <c r="R355" s="1" t="s">
        <v>74</v>
      </c>
      <c r="S355" s="1" t="s">
        <v>7480</v>
      </c>
      <c r="T355" s="1" t="s">
        <v>7481</v>
      </c>
      <c r="U355" s="1" t="s">
        <v>7482</v>
      </c>
      <c r="V355" s="1" t="s">
        <v>7483</v>
      </c>
      <c r="W355" s="1" t="s">
        <v>7484</v>
      </c>
      <c r="X355" s="1" t="s">
        <v>74</v>
      </c>
      <c r="Y355" s="1" t="s">
        <v>7485</v>
      </c>
      <c r="Z355" s="1" t="s">
        <v>7486</v>
      </c>
      <c r="AA355" s="1" t="s">
        <v>74</v>
      </c>
      <c r="AB355" s="1" t="s">
        <v>74</v>
      </c>
      <c r="AC355" s="1" t="s">
        <v>74</v>
      </c>
      <c r="AD355" s="1" t="s">
        <v>74</v>
      </c>
      <c r="AE355" s="1" t="s">
        <v>74</v>
      </c>
      <c r="AF355" s="1" t="s">
        <v>74</v>
      </c>
      <c r="AG355" s="1">
        <v>20.0</v>
      </c>
      <c r="AH355" s="1">
        <v>0.0</v>
      </c>
      <c r="AI355" s="1">
        <v>0.0</v>
      </c>
      <c r="AJ355" s="1">
        <v>1.0</v>
      </c>
      <c r="AK355" s="1">
        <v>6.0</v>
      </c>
      <c r="AL355" s="1" t="s">
        <v>236</v>
      </c>
      <c r="AM355" s="1" t="s">
        <v>193</v>
      </c>
      <c r="AN355" s="1" t="s">
        <v>252</v>
      </c>
      <c r="AO355" s="1" t="s">
        <v>7487</v>
      </c>
      <c r="AP355" s="1" t="s">
        <v>74</v>
      </c>
      <c r="AQ355" s="1" t="s">
        <v>7488</v>
      </c>
      <c r="AR355" s="1" t="s">
        <v>7489</v>
      </c>
      <c r="AS355" s="1" t="s">
        <v>74</v>
      </c>
      <c r="AT355" s="1" t="s">
        <v>74</v>
      </c>
      <c r="AU355" s="1">
        <v>2019.0</v>
      </c>
      <c r="AV355" s="1" t="s">
        <v>74</v>
      </c>
      <c r="AW355" s="1" t="s">
        <v>74</v>
      </c>
      <c r="AX355" s="1" t="s">
        <v>74</v>
      </c>
      <c r="AY355" s="1" t="s">
        <v>74</v>
      </c>
      <c r="AZ355" s="1" t="s">
        <v>74</v>
      </c>
      <c r="BA355" s="1" t="s">
        <v>74</v>
      </c>
      <c r="BB355" s="1" t="s">
        <v>74</v>
      </c>
      <c r="BC355" s="1" t="s">
        <v>74</v>
      </c>
      <c r="BD355" s="1" t="s">
        <v>74</v>
      </c>
      <c r="BE355" s="1" t="s">
        <v>74</v>
      </c>
      <c r="BF355" s="1" t="s">
        <v>74</v>
      </c>
      <c r="BG355" s="1" t="s">
        <v>74</v>
      </c>
      <c r="BH355" s="1" t="s">
        <v>74</v>
      </c>
      <c r="BI355" s="1">
        <v>5.0</v>
      </c>
      <c r="BJ355" s="1" t="s">
        <v>7490</v>
      </c>
      <c r="BK355" s="1" t="s">
        <v>128</v>
      </c>
      <c r="BL355" s="1" t="s">
        <v>846</v>
      </c>
      <c r="BM355" s="1" t="s">
        <v>7491</v>
      </c>
      <c r="BN355" s="1" t="s">
        <v>74</v>
      </c>
      <c r="BO355" s="1" t="s">
        <v>74</v>
      </c>
      <c r="BP355" s="1" t="s">
        <v>74</v>
      </c>
      <c r="BQ355" s="1" t="s">
        <v>74</v>
      </c>
      <c r="BR355" s="1" t="s">
        <v>102</v>
      </c>
      <c r="BS355" s="1" t="s">
        <v>7492</v>
      </c>
      <c r="BT355" s="1" t="str">
        <f>HYPERLINK("https%3A%2F%2Fwww.webofscience.com%2Fwos%2Fwoscc%2Ffull-record%2FWOS:000525828100214","View Full Record in Web of Science")</f>
        <v>View Full Record in Web of Science</v>
      </c>
    </row>
    <row r="356" ht="12.75" customHeight="1">
      <c r="A356" s="1" t="s">
        <v>72</v>
      </c>
      <c r="B356" s="1" t="s">
        <v>7493</v>
      </c>
      <c r="C356" s="1" t="s">
        <v>74</v>
      </c>
      <c r="D356" s="1" t="s">
        <v>7494</v>
      </c>
      <c r="E356" s="1" t="s">
        <v>74</v>
      </c>
      <c r="F356" s="1" t="s">
        <v>7495</v>
      </c>
      <c r="G356" s="1" t="s">
        <v>74</v>
      </c>
      <c r="H356" s="1" t="s">
        <v>74</v>
      </c>
      <c r="I356" s="1" t="s">
        <v>7496</v>
      </c>
      <c r="J356" s="1" t="s">
        <v>7497</v>
      </c>
      <c r="K356" s="1" t="s">
        <v>7498</v>
      </c>
      <c r="L356" s="1" t="s">
        <v>74</v>
      </c>
      <c r="M356" s="1" t="s">
        <v>80</v>
      </c>
      <c r="N356" s="1" t="s">
        <v>81</v>
      </c>
      <c r="O356" s="1" t="s">
        <v>7499</v>
      </c>
      <c r="P356" s="1" t="s">
        <v>7500</v>
      </c>
      <c r="Q356" s="1" t="s">
        <v>7501</v>
      </c>
      <c r="R356" s="1" t="s">
        <v>7502</v>
      </c>
      <c r="S356" s="1" t="s">
        <v>74</v>
      </c>
      <c r="T356" s="1" t="s">
        <v>7503</v>
      </c>
      <c r="U356" s="1" t="s">
        <v>74</v>
      </c>
      <c r="V356" s="1" t="s">
        <v>7504</v>
      </c>
      <c r="W356" s="1" t="s">
        <v>7505</v>
      </c>
      <c r="X356" s="1" t="s">
        <v>7506</v>
      </c>
      <c r="Y356" s="1" t="s">
        <v>7507</v>
      </c>
      <c r="Z356" s="1" t="s">
        <v>7508</v>
      </c>
      <c r="AA356" s="1" t="s">
        <v>74</v>
      </c>
      <c r="AB356" s="1" t="s">
        <v>74</v>
      </c>
      <c r="AC356" s="1" t="s">
        <v>74</v>
      </c>
      <c r="AD356" s="1" t="s">
        <v>74</v>
      </c>
      <c r="AE356" s="1" t="s">
        <v>74</v>
      </c>
      <c r="AF356" s="1" t="s">
        <v>74</v>
      </c>
      <c r="AG356" s="1">
        <v>13.0</v>
      </c>
      <c r="AH356" s="1">
        <v>0.0</v>
      </c>
      <c r="AI356" s="1">
        <v>0.0</v>
      </c>
      <c r="AJ356" s="1">
        <v>9.0</v>
      </c>
      <c r="AK356" s="1">
        <v>9.0</v>
      </c>
      <c r="AL356" s="1" t="s">
        <v>296</v>
      </c>
      <c r="AM356" s="1" t="s">
        <v>297</v>
      </c>
      <c r="AN356" s="1" t="s">
        <v>800</v>
      </c>
      <c r="AO356" s="1" t="s">
        <v>7509</v>
      </c>
      <c r="AP356" s="1" t="s">
        <v>74</v>
      </c>
      <c r="AQ356" s="1" t="s">
        <v>7510</v>
      </c>
      <c r="AR356" s="1" t="s">
        <v>7511</v>
      </c>
      <c r="AS356" s="1" t="s">
        <v>74</v>
      </c>
      <c r="AT356" s="1" t="s">
        <v>74</v>
      </c>
      <c r="AU356" s="1">
        <v>2024.0</v>
      </c>
      <c r="AV356" s="1" t="s">
        <v>74</v>
      </c>
      <c r="AW356" s="1" t="s">
        <v>74</v>
      </c>
      <c r="AX356" s="1" t="s">
        <v>74</v>
      </c>
      <c r="AY356" s="1" t="s">
        <v>74</v>
      </c>
      <c r="AZ356" s="1" t="s">
        <v>74</v>
      </c>
      <c r="BA356" s="1" t="s">
        <v>74</v>
      </c>
      <c r="BB356" s="1">
        <v>2621.0</v>
      </c>
      <c r="BC356" s="1">
        <v>2628.0</v>
      </c>
      <c r="BD356" s="1" t="s">
        <v>74</v>
      </c>
      <c r="BE356" s="1" t="s">
        <v>7512</v>
      </c>
      <c r="BF356" s="2" t="str">
        <f>HYPERLINK("http://dx.doi.org/10.1109/TrustCom60117.2023.00366","http://dx.doi.org/10.1109/TrustCom60117.2023.00366")</f>
        <v>http://dx.doi.org/10.1109/TrustCom60117.2023.00366</v>
      </c>
      <c r="BG356" s="1" t="s">
        <v>74</v>
      </c>
      <c r="BH356" s="1" t="s">
        <v>74</v>
      </c>
      <c r="BI356" s="1">
        <v>8.0</v>
      </c>
      <c r="BJ356" s="1" t="s">
        <v>7513</v>
      </c>
      <c r="BK356" s="1" t="s">
        <v>128</v>
      </c>
      <c r="BL356" s="1" t="s">
        <v>846</v>
      </c>
      <c r="BM356" s="1" t="s">
        <v>7514</v>
      </c>
      <c r="BN356" s="1" t="s">
        <v>74</v>
      </c>
      <c r="BO356" s="1" t="s">
        <v>74</v>
      </c>
      <c r="BP356" s="1" t="s">
        <v>74</v>
      </c>
      <c r="BQ356" s="1" t="s">
        <v>74</v>
      </c>
      <c r="BR356" s="1" t="s">
        <v>102</v>
      </c>
      <c r="BS356" s="1" t="s">
        <v>7515</v>
      </c>
      <c r="BT356" s="1" t="str">
        <f>HYPERLINK("https%3A%2F%2Fwww.webofscience.com%2Fwos%2Fwoscc%2Ffull-record%2FWOS:001239879400342","View Full Record in Web of Science")</f>
        <v>View Full Record in Web of Science</v>
      </c>
    </row>
    <row r="357" ht="12.75" customHeight="1">
      <c r="A357" s="1" t="s">
        <v>72</v>
      </c>
      <c r="B357" s="1" t="s">
        <v>7516</v>
      </c>
      <c r="C357" s="1" t="s">
        <v>74</v>
      </c>
      <c r="D357" s="1" t="s">
        <v>7517</v>
      </c>
      <c r="E357" s="1" t="s">
        <v>74</v>
      </c>
      <c r="F357" s="1" t="s">
        <v>7518</v>
      </c>
      <c r="G357" s="1" t="s">
        <v>74</v>
      </c>
      <c r="H357" s="1" t="s">
        <v>74</v>
      </c>
      <c r="I357" s="1" t="s">
        <v>7519</v>
      </c>
      <c r="J357" s="1" t="s">
        <v>7520</v>
      </c>
      <c r="K357" s="1" t="s">
        <v>7521</v>
      </c>
      <c r="L357" s="1" t="s">
        <v>74</v>
      </c>
      <c r="M357" s="1" t="s">
        <v>80</v>
      </c>
      <c r="N357" s="1" t="s">
        <v>81</v>
      </c>
      <c r="O357" s="1" t="s">
        <v>7522</v>
      </c>
      <c r="P357" s="1" t="s">
        <v>7523</v>
      </c>
      <c r="Q357" s="1" t="s">
        <v>812</v>
      </c>
      <c r="R357" s="1" t="s">
        <v>7524</v>
      </c>
      <c r="S357" s="1" t="s">
        <v>74</v>
      </c>
      <c r="T357" s="1" t="s">
        <v>7525</v>
      </c>
      <c r="U357" s="1" t="s">
        <v>74</v>
      </c>
      <c r="V357" s="1" t="s">
        <v>7526</v>
      </c>
      <c r="W357" s="1" t="s">
        <v>7527</v>
      </c>
      <c r="X357" s="1" t="s">
        <v>7528</v>
      </c>
      <c r="Y357" s="1" t="s">
        <v>7529</v>
      </c>
      <c r="Z357" s="1" t="s">
        <v>7530</v>
      </c>
      <c r="AA357" s="1" t="s">
        <v>7531</v>
      </c>
      <c r="AB357" s="1" t="s">
        <v>7532</v>
      </c>
      <c r="AC357" s="1" t="s">
        <v>74</v>
      </c>
      <c r="AD357" s="1" t="s">
        <v>74</v>
      </c>
      <c r="AE357" s="1" t="s">
        <v>74</v>
      </c>
      <c r="AF357" s="1" t="s">
        <v>74</v>
      </c>
      <c r="AG357" s="1">
        <v>22.0</v>
      </c>
      <c r="AH357" s="1">
        <v>1.0</v>
      </c>
      <c r="AI357" s="1">
        <v>2.0</v>
      </c>
      <c r="AJ357" s="1">
        <v>2.0</v>
      </c>
      <c r="AK357" s="1">
        <v>23.0</v>
      </c>
      <c r="AL357" s="1" t="s">
        <v>7533</v>
      </c>
      <c r="AM357" s="1" t="s">
        <v>2808</v>
      </c>
      <c r="AN357" s="1" t="s">
        <v>7534</v>
      </c>
      <c r="AO357" s="1" t="s">
        <v>7535</v>
      </c>
      <c r="AP357" s="1" t="s">
        <v>74</v>
      </c>
      <c r="AQ357" s="1" t="s">
        <v>74</v>
      </c>
      <c r="AR357" s="1" t="s">
        <v>7536</v>
      </c>
      <c r="AS357" s="1" t="s">
        <v>74</v>
      </c>
      <c r="AT357" s="1" t="s">
        <v>74</v>
      </c>
      <c r="AU357" s="1">
        <v>2019.0</v>
      </c>
      <c r="AV357" s="1" t="s">
        <v>74</v>
      </c>
      <c r="AW357" s="1" t="s">
        <v>74</v>
      </c>
      <c r="AX357" s="1" t="s">
        <v>74</v>
      </c>
      <c r="AY357" s="1" t="s">
        <v>74</v>
      </c>
      <c r="AZ357" s="1" t="s">
        <v>74</v>
      </c>
      <c r="BA357" s="1" t="s">
        <v>74</v>
      </c>
      <c r="BB357" s="1">
        <v>208.0</v>
      </c>
      <c r="BC357" s="1">
        <v>214.0</v>
      </c>
      <c r="BD357" s="1" t="s">
        <v>74</v>
      </c>
      <c r="BE357" s="1" t="s">
        <v>7537</v>
      </c>
      <c r="BF357" s="2" t="str">
        <f>HYPERLINK("http://dx.doi.org/10.12753/2066-026X-19-099","http://dx.doi.org/10.12753/2066-026X-19-099")</f>
        <v>http://dx.doi.org/10.12753/2066-026X-19-099</v>
      </c>
      <c r="BG357" s="1" t="s">
        <v>74</v>
      </c>
      <c r="BH357" s="1" t="s">
        <v>74</v>
      </c>
      <c r="BI357" s="1">
        <v>7.0</v>
      </c>
      <c r="BJ357" s="1" t="s">
        <v>171</v>
      </c>
      <c r="BK357" s="1" t="s">
        <v>99</v>
      </c>
      <c r="BL357" s="1" t="s">
        <v>171</v>
      </c>
      <c r="BM357" s="1" t="s">
        <v>7538</v>
      </c>
      <c r="BN357" s="1" t="s">
        <v>74</v>
      </c>
      <c r="BO357" s="1" t="s">
        <v>74</v>
      </c>
      <c r="BP357" s="1" t="s">
        <v>74</v>
      </c>
      <c r="BQ357" s="1" t="s">
        <v>74</v>
      </c>
      <c r="BR357" s="1" t="s">
        <v>102</v>
      </c>
      <c r="BS357" s="1" t="s">
        <v>7539</v>
      </c>
      <c r="BT357" s="1" t="str">
        <f>HYPERLINK("https%3A%2F%2Fwww.webofscience.com%2Fwos%2Fwoscc%2Ffull-record%2FWOS:000473324400030","View Full Record in Web of Science")</f>
        <v>View Full Record in Web of Science</v>
      </c>
    </row>
    <row r="358" ht="12.75" customHeight="1">
      <c r="A358" s="1" t="s">
        <v>132</v>
      </c>
      <c r="B358" s="1" t="s">
        <v>7540</v>
      </c>
      <c r="C358" s="1" t="s">
        <v>74</v>
      </c>
      <c r="D358" s="1" t="s">
        <v>74</v>
      </c>
      <c r="E358" s="1" t="s">
        <v>74</v>
      </c>
      <c r="F358" s="1" t="s">
        <v>7541</v>
      </c>
      <c r="G358" s="1" t="s">
        <v>74</v>
      </c>
      <c r="H358" s="1" t="s">
        <v>74</v>
      </c>
      <c r="I358" s="1" t="s">
        <v>7542</v>
      </c>
      <c r="J358" s="1" t="s">
        <v>7543</v>
      </c>
      <c r="K358" s="1" t="s">
        <v>74</v>
      </c>
      <c r="L358" s="1" t="s">
        <v>74</v>
      </c>
      <c r="M358" s="1" t="s">
        <v>80</v>
      </c>
      <c r="N358" s="1" t="s">
        <v>136</v>
      </c>
      <c r="O358" s="1" t="s">
        <v>74</v>
      </c>
      <c r="P358" s="1" t="s">
        <v>74</v>
      </c>
      <c r="Q358" s="1" t="s">
        <v>74</v>
      </c>
      <c r="R358" s="1" t="s">
        <v>74</v>
      </c>
      <c r="S358" s="1" t="s">
        <v>74</v>
      </c>
      <c r="T358" s="1" t="s">
        <v>7544</v>
      </c>
      <c r="U358" s="1" t="s">
        <v>6762</v>
      </c>
      <c r="V358" s="1" t="s">
        <v>7545</v>
      </c>
      <c r="W358" s="1" t="s">
        <v>7546</v>
      </c>
      <c r="X358" s="1" t="s">
        <v>7547</v>
      </c>
      <c r="Y358" s="1" t="s">
        <v>7548</v>
      </c>
      <c r="Z358" s="1" t="s">
        <v>7549</v>
      </c>
      <c r="AA358" s="1" t="s">
        <v>7550</v>
      </c>
      <c r="AB358" s="1" t="s">
        <v>7551</v>
      </c>
      <c r="AC358" s="1" t="s">
        <v>74</v>
      </c>
      <c r="AD358" s="1" t="s">
        <v>74</v>
      </c>
      <c r="AE358" s="1" t="s">
        <v>74</v>
      </c>
      <c r="AF358" s="1" t="s">
        <v>74</v>
      </c>
      <c r="AG358" s="1">
        <v>64.0</v>
      </c>
      <c r="AH358" s="1">
        <v>0.0</v>
      </c>
      <c r="AI358" s="1">
        <v>0.0</v>
      </c>
      <c r="AJ358" s="1">
        <v>34.0</v>
      </c>
      <c r="AK358" s="1">
        <v>34.0</v>
      </c>
      <c r="AL358" s="1" t="s">
        <v>1970</v>
      </c>
      <c r="AM358" s="1" t="s">
        <v>1658</v>
      </c>
      <c r="AN358" s="1" t="s">
        <v>1971</v>
      </c>
      <c r="AO358" s="1" t="s">
        <v>74</v>
      </c>
      <c r="AP358" s="1" t="s">
        <v>7552</v>
      </c>
      <c r="AQ358" s="1" t="s">
        <v>74</v>
      </c>
      <c r="AR358" s="1" t="s">
        <v>7553</v>
      </c>
      <c r="AS358" s="1" t="s">
        <v>7554</v>
      </c>
      <c r="AT358" s="1" t="s">
        <v>1709</v>
      </c>
      <c r="AU358" s="1">
        <v>2024.0</v>
      </c>
      <c r="AV358" s="1">
        <v>13.0</v>
      </c>
      <c r="AW358" s="1">
        <v>17.0</v>
      </c>
      <c r="AX358" s="1" t="s">
        <v>74</v>
      </c>
      <c r="AY358" s="1" t="s">
        <v>74</v>
      </c>
      <c r="AZ358" s="1" t="s">
        <v>74</v>
      </c>
      <c r="BA358" s="1" t="s">
        <v>74</v>
      </c>
      <c r="BB358" s="1" t="s">
        <v>74</v>
      </c>
      <c r="BC358" s="1" t="s">
        <v>74</v>
      </c>
      <c r="BD358" s="1">
        <v>3424.0</v>
      </c>
      <c r="BE358" s="1" t="s">
        <v>7555</v>
      </c>
      <c r="BF358" s="2" t="str">
        <f>HYPERLINK("http://dx.doi.org/10.3390/electronics13173424","http://dx.doi.org/10.3390/electronics13173424")</f>
        <v>http://dx.doi.org/10.3390/electronics13173424</v>
      </c>
      <c r="BG358" s="1" t="s">
        <v>74</v>
      </c>
      <c r="BH358" s="1" t="s">
        <v>74</v>
      </c>
      <c r="BI358" s="1">
        <v>19.0</v>
      </c>
      <c r="BJ358" s="1" t="s">
        <v>7556</v>
      </c>
      <c r="BK358" s="1" t="s">
        <v>149</v>
      </c>
      <c r="BL358" s="1" t="s">
        <v>7557</v>
      </c>
      <c r="BM358" s="1" t="s">
        <v>7558</v>
      </c>
      <c r="BN358" s="1" t="s">
        <v>74</v>
      </c>
      <c r="BO358" s="1" t="s">
        <v>3076</v>
      </c>
      <c r="BP358" s="1" t="s">
        <v>74</v>
      </c>
      <c r="BQ358" s="1" t="s">
        <v>74</v>
      </c>
      <c r="BR358" s="1" t="s">
        <v>102</v>
      </c>
      <c r="BS358" s="1" t="s">
        <v>7559</v>
      </c>
      <c r="BT358" s="1" t="str">
        <f>HYPERLINK("https%3A%2F%2Fwww.webofscience.com%2Fwos%2Fwoscc%2Ffull-record%2FWOS:001311240900001","View Full Record in Web of Science")</f>
        <v>View Full Record in Web of Science</v>
      </c>
    </row>
    <row r="359" ht="12.75" customHeight="1">
      <c r="A359" s="1" t="s">
        <v>132</v>
      </c>
      <c r="B359" s="1" t="s">
        <v>7560</v>
      </c>
      <c r="C359" s="1" t="s">
        <v>74</v>
      </c>
      <c r="D359" s="1" t="s">
        <v>74</v>
      </c>
      <c r="E359" s="1" t="s">
        <v>74</v>
      </c>
      <c r="F359" s="1" t="s">
        <v>7561</v>
      </c>
      <c r="G359" s="1" t="s">
        <v>74</v>
      </c>
      <c r="H359" s="1" t="s">
        <v>74</v>
      </c>
      <c r="I359" s="1" t="s">
        <v>7562</v>
      </c>
      <c r="J359" s="1" t="s">
        <v>7563</v>
      </c>
      <c r="K359" s="1" t="s">
        <v>74</v>
      </c>
      <c r="L359" s="1" t="s">
        <v>74</v>
      </c>
      <c r="M359" s="1" t="s">
        <v>80</v>
      </c>
      <c r="N359" s="1" t="s">
        <v>136</v>
      </c>
      <c r="O359" s="1" t="s">
        <v>74</v>
      </c>
      <c r="P359" s="1" t="s">
        <v>74</v>
      </c>
      <c r="Q359" s="1" t="s">
        <v>74</v>
      </c>
      <c r="R359" s="1" t="s">
        <v>74</v>
      </c>
      <c r="S359" s="1" t="s">
        <v>74</v>
      </c>
      <c r="T359" s="1" t="s">
        <v>7564</v>
      </c>
      <c r="U359" s="1" t="s">
        <v>7565</v>
      </c>
      <c r="V359" s="1" t="s">
        <v>7566</v>
      </c>
      <c r="W359" s="1" t="s">
        <v>7567</v>
      </c>
      <c r="X359" s="1" t="s">
        <v>7568</v>
      </c>
      <c r="Y359" s="1" t="s">
        <v>7569</v>
      </c>
      <c r="Z359" s="1" t="s">
        <v>7570</v>
      </c>
      <c r="AA359" s="1" t="s">
        <v>7571</v>
      </c>
      <c r="AB359" s="1" t="s">
        <v>7572</v>
      </c>
      <c r="AC359" s="1" t="s">
        <v>7573</v>
      </c>
      <c r="AD359" s="1" t="s">
        <v>7573</v>
      </c>
      <c r="AE359" s="1" t="s">
        <v>3018</v>
      </c>
      <c r="AF359" s="1" t="s">
        <v>74</v>
      </c>
      <c r="AG359" s="1">
        <v>23.0</v>
      </c>
      <c r="AH359" s="1">
        <v>2.0</v>
      </c>
      <c r="AI359" s="1">
        <v>2.0</v>
      </c>
      <c r="AJ359" s="1">
        <v>12.0</v>
      </c>
      <c r="AK359" s="1">
        <v>21.0</v>
      </c>
      <c r="AL359" s="1" t="s">
        <v>275</v>
      </c>
      <c r="AM359" s="1" t="s">
        <v>276</v>
      </c>
      <c r="AN359" s="1" t="s">
        <v>277</v>
      </c>
      <c r="AO359" s="1" t="s">
        <v>74</v>
      </c>
      <c r="AP359" s="1" t="s">
        <v>7574</v>
      </c>
      <c r="AQ359" s="1" t="s">
        <v>74</v>
      </c>
      <c r="AR359" s="1" t="s">
        <v>7575</v>
      </c>
      <c r="AS359" s="1" t="s">
        <v>7576</v>
      </c>
      <c r="AT359" s="1" t="s">
        <v>7577</v>
      </c>
      <c r="AU359" s="1">
        <v>2024.0</v>
      </c>
      <c r="AV359" s="1">
        <v>12.0</v>
      </c>
      <c r="AW359" s="1" t="s">
        <v>74</v>
      </c>
      <c r="AX359" s="1" t="s">
        <v>74</v>
      </c>
      <c r="AY359" s="1" t="s">
        <v>74</v>
      </c>
      <c r="AZ359" s="1" t="s">
        <v>74</v>
      </c>
      <c r="BA359" s="1" t="s">
        <v>74</v>
      </c>
      <c r="BB359" s="1" t="s">
        <v>74</v>
      </c>
      <c r="BC359" s="1" t="s">
        <v>74</v>
      </c>
      <c r="BD359" s="1">
        <v>1310437.0</v>
      </c>
      <c r="BE359" s="1" t="s">
        <v>7578</v>
      </c>
      <c r="BF359" s="2" t="str">
        <f>HYPERLINK("http://dx.doi.org/10.3389/fpubh.2024.1310437","http://dx.doi.org/10.3389/fpubh.2024.1310437")</f>
        <v>http://dx.doi.org/10.3389/fpubh.2024.1310437</v>
      </c>
      <c r="BG359" s="1" t="s">
        <v>74</v>
      </c>
      <c r="BH359" s="1" t="s">
        <v>74</v>
      </c>
      <c r="BI359" s="1">
        <v>4.0</v>
      </c>
      <c r="BJ359" s="1" t="s">
        <v>1837</v>
      </c>
      <c r="BK359" s="1" t="s">
        <v>783</v>
      </c>
      <c r="BL359" s="1" t="s">
        <v>1837</v>
      </c>
      <c r="BM359" s="1" t="s">
        <v>7579</v>
      </c>
      <c r="BN359" s="1">
        <v>3.8414895E7</v>
      </c>
      <c r="BO359" s="1" t="s">
        <v>284</v>
      </c>
      <c r="BP359" s="1" t="s">
        <v>74</v>
      </c>
      <c r="BQ359" s="1" t="s">
        <v>74</v>
      </c>
      <c r="BR359" s="1" t="s">
        <v>102</v>
      </c>
      <c r="BS359" s="1" t="s">
        <v>7580</v>
      </c>
      <c r="BT359" s="1" t="str">
        <f>HYPERLINK("https%3A%2F%2Fwww.webofscience.com%2Fwos%2Fwoscc%2Ffull-record%2FWOS:001170512400001","View Full Record in Web of Science")</f>
        <v>View Full Record in Web of Science</v>
      </c>
    </row>
    <row r="360" ht="12.75" customHeight="1">
      <c r="A360" s="1" t="s">
        <v>72</v>
      </c>
      <c r="B360" s="1" t="s">
        <v>7581</v>
      </c>
      <c r="C360" s="1" t="s">
        <v>74</v>
      </c>
      <c r="D360" s="1" t="s">
        <v>74</v>
      </c>
      <c r="E360" s="1" t="s">
        <v>296</v>
      </c>
      <c r="F360" s="1" t="s">
        <v>7582</v>
      </c>
      <c r="G360" s="1" t="s">
        <v>74</v>
      </c>
      <c r="H360" s="1" t="s">
        <v>74</v>
      </c>
      <c r="I360" s="1" t="s">
        <v>7583</v>
      </c>
      <c r="J360" s="1" t="s">
        <v>5117</v>
      </c>
      <c r="K360" s="1" t="s">
        <v>74</v>
      </c>
      <c r="L360" s="1" t="s">
        <v>74</v>
      </c>
      <c r="M360" s="1" t="s">
        <v>80</v>
      </c>
      <c r="N360" s="1" t="s">
        <v>81</v>
      </c>
      <c r="O360" s="1" t="s">
        <v>5118</v>
      </c>
      <c r="P360" s="1" t="s">
        <v>5119</v>
      </c>
      <c r="Q360" s="1" t="s">
        <v>5120</v>
      </c>
      <c r="R360" s="1" t="s">
        <v>5121</v>
      </c>
      <c r="S360" s="1" t="s">
        <v>74</v>
      </c>
      <c r="T360" s="1" t="s">
        <v>7584</v>
      </c>
      <c r="U360" s="1" t="s">
        <v>74</v>
      </c>
      <c r="V360" s="1" t="s">
        <v>7585</v>
      </c>
      <c r="W360" s="1" t="s">
        <v>7586</v>
      </c>
      <c r="X360" s="1" t="s">
        <v>7587</v>
      </c>
      <c r="Y360" s="1" t="s">
        <v>7588</v>
      </c>
      <c r="Z360" s="1" t="s">
        <v>7589</v>
      </c>
      <c r="AA360" s="1" t="s">
        <v>74</v>
      </c>
      <c r="AB360" s="1" t="s">
        <v>74</v>
      </c>
      <c r="AC360" s="1" t="s">
        <v>74</v>
      </c>
      <c r="AD360" s="1" t="s">
        <v>74</v>
      </c>
      <c r="AE360" s="1" t="s">
        <v>74</v>
      </c>
      <c r="AF360" s="1" t="s">
        <v>74</v>
      </c>
      <c r="AG360" s="1">
        <v>34.0</v>
      </c>
      <c r="AH360" s="1">
        <v>0.0</v>
      </c>
      <c r="AI360" s="1">
        <v>0.0</v>
      </c>
      <c r="AJ360" s="1">
        <v>0.0</v>
      </c>
      <c r="AK360" s="1">
        <v>0.0</v>
      </c>
      <c r="AL360" s="1" t="s">
        <v>296</v>
      </c>
      <c r="AM360" s="1" t="s">
        <v>297</v>
      </c>
      <c r="AN360" s="1" t="s">
        <v>800</v>
      </c>
      <c r="AO360" s="1" t="s">
        <v>74</v>
      </c>
      <c r="AP360" s="1" t="s">
        <v>74</v>
      </c>
      <c r="AQ360" s="1" t="s">
        <v>5128</v>
      </c>
      <c r="AR360" s="1" t="s">
        <v>74</v>
      </c>
      <c r="AS360" s="1" t="s">
        <v>74</v>
      </c>
      <c r="AT360" s="1" t="s">
        <v>74</v>
      </c>
      <c r="AU360" s="1">
        <v>2024.0</v>
      </c>
      <c r="AV360" s="1" t="s">
        <v>74</v>
      </c>
      <c r="AW360" s="1" t="s">
        <v>74</v>
      </c>
      <c r="AX360" s="1" t="s">
        <v>74</v>
      </c>
      <c r="AY360" s="1" t="s">
        <v>74</v>
      </c>
      <c r="AZ360" s="1" t="s">
        <v>74</v>
      </c>
      <c r="BA360" s="1" t="s">
        <v>74</v>
      </c>
      <c r="BB360" s="1">
        <v>44.0</v>
      </c>
      <c r="BC360" s="1">
        <v>51.0</v>
      </c>
      <c r="BD360" s="1" t="s">
        <v>74</v>
      </c>
      <c r="BE360" s="1" t="s">
        <v>7590</v>
      </c>
      <c r="BF360" s="2" t="str">
        <f>HYPERLINK("http://dx.doi.org/10.1109/CAI59869.2024.00018","http://dx.doi.org/10.1109/CAI59869.2024.00018")</f>
        <v>http://dx.doi.org/10.1109/CAI59869.2024.00018</v>
      </c>
      <c r="BG360" s="1" t="s">
        <v>74</v>
      </c>
      <c r="BH360" s="1" t="s">
        <v>74</v>
      </c>
      <c r="BI360" s="1">
        <v>8.0</v>
      </c>
      <c r="BJ360" s="1" t="s">
        <v>257</v>
      </c>
      <c r="BK360" s="1" t="s">
        <v>128</v>
      </c>
      <c r="BL360" s="1" t="s">
        <v>232</v>
      </c>
      <c r="BM360" s="1" t="s">
        <v>5130</v>
      </c>
      <c r="BN360" s="1" t="s">
        <v>74</v>
      </c>
      <c r="BO360" s="1" t="s">
        <v>74</v>
      </c>
      <c r="BP360" s="1" t="s">
        <v>74</v>
      </c>
      <c r="BQ360" s="1" t="s">
        <v>74</v>
      </c>
      <c r="BR360" s="1" t="s">
        <v>102</v>
      </c>
      <c r="BS360" s="1" t="s">
        <v>7591</v>
      </c>
      <c r="BT360" s="1" t="str">
        <f>HYPERLINK("https%3A%2F%2Fwww.webofscience.com%2Fwos%2Fwoscc%2Ffull-record%2FWOS:001289387700009","View Full Record in Web of Science")</f>
        <v>View Full Record in Web of Science</v>
      </c>
    </row>
    <row r="361" ht="12.75" customHeight="1">
      <c r="A361" s="1" t="s">
        <v>132</v>
      </c>
      <c r="B361" s="1" t="s">
        <v>7592</v>
      </c>
      <c r="C361" s="1" t="s">
        <v>74</v>
      </c>
      <c r="D361" s="1" t="s">
        <v>74</v>
      </c>
      <c r="E361" s="1" t="s">
        <v>74</v>
      </c>
      <c r="F361" s="1" t="s">
        <v>7593</v>
      </c>
      <c r="G361" s="1" t="s">
        <v>74</v>
      </c>
      <c r="H361" s="1" t="s">
        <v>74</v>
      </c>
      <c r="I361" s="1" t="s">
        <v>7594</v>
      </c>
      <c r="J361" s="1" t="s">
        <v>7595</v>
      </c>
      <c r="K361" s="1" t="s">
        <v>74</v>
      </c>
      <c r="L361" s="1" t="s">
        <v>74</v>
      </c>
      <c r="M361" s="1" t="s">
        <v>80</v>
      </c>
      <c r="N361" s="1" t="s">
        <v>1010</v>
      </c>
      <c r="O361" s="1" t="s">
        <v>74</v>
      </c>
      <c r="P361" s="1" t="s">
        <v>74</v>
      </c>
      <c r="Q361" s="1" t="s">
        <v>74</v>
      </c>
      <c r="R361" s="1" t="s">
        <v>74</v>
      </c>
      <c r="S361" s="1" t="s">
        <v>74</v>
      </c>
      <c r="T361" s="1" t="s">
        <v>7596</v>
      </c>
      <c r="U361" s="1" t="s">
        <v>7597</v>
      </c>
      <c r="V361" s="1" t="s">
        <v>7598</v>
      </c>
      <c r="W361" s="1" t="s">
        <v>7599</v>
      </c>
      <c r="X361" s="1" t="s">
        <v>7600</v>
      </c>
      <c r="Y361" s="1" t="s">
        <v>7601</v>
      </c>
      <c r="Z361" s="1" t="s">
        <v>7602</v>
      </c>
      <c r="AA361" s="1" t="s">
        <v>7603</v>
      </c>
      <c r="AB361" s="1" t="s">
        <v>7604</v>
      </c>
      <c r="AC361" s="1" t="s">
        <v>7605</v>
      </c>
      <c r="AD361" s="1" t="s">
        <v>7606</v>
      </c>
      <c r="AE361" s="1" t="s">
        <v>7607</v>
      </c>
      <c r="AF361" s="1" t="s">
        <v>74</v>
      </c>
      <c r="AG361" s="1">
        <v>226.0</v>
      </c>
      <c r="AH361" s="1">
        <v>64.0</v>
      </c>
      <c r="AI361" s="1">
        <v>65.0</v>
      </c>
      <c r="AJ361" s="1">
        <v>79.0</v>
      </c>
      <c r="AK361" s="1">
        <v>230.0</v>
      </c>
      <c r="AL361" s="1" t="s">
        <v>1528</v>
      </c>
      <c r="AM361" s="1" t="s">
        <v>1529</v>
      </c>
      <c r="AN361" s="1" t="s">
        <v>1530</v>
      </c>
      <c r="AO361" s="1" t="s">
        <v>7608</v>
      </c>
      <c r="AP361" s="1" t="s">
        <v>7609</v>
      </c>
      <c r="AQ361" s="1" t="s">
        <v>74</v>
      </c>
      <c r="AR361" s="1" t="s">
        <v>7610</v>
      </c>
      <c r="AS361" s="1" t="s">
        <v>7611</v>
      </c>
      <c r="AT361" s="1" t="s">
        <v>2469</v>
      </c>
      <c r="AU361" s="1">
        <v>2023.0</v>
      </c>
      <c r="AV361" s="1">
        <v>21.0</v>
      </c>
      <c r="AW361" s="1">
        <v>5.0</v>
      </c>
      <c r="AX361" s="1" t="s">
        <v>74</v>
      </c>
      <c r="AY361" s="1" t="s">
        <v>74</v>
      </c>
      <c r="AZ361" s="1" t="s">
        <v>74</v>
      </c>
      <c r="BA361" s="1" t="s">
        <v>74</v>
      </c>
      <c r="BB361" s="1">
        <v>2525.0</v>
      </c>
      <c r="BC361" s="1">
        <v>2557.0</v>
      </c>
      <c r="BD361" s="1" t="s">
        <v>74</v>
      </c>
      <c r="BE361" s="1" t="s">
        <v>7612</v>
      </c>
      <c r="BF361" s="2" t="str">
        <f>HYPERLINK("http://dx.doi.org/10.1007/s10311-023-01617-y","http://dx.doi.org/10.1007/s10311-023-01617-y")</f>
        <v>http://dx.doi.org/10.1007/s10311-023-01617-y</v>
      </c>
      <c r="BG361" s="1" t="s">
        <v>74</v>
      </c>
      <c r="BH361" s="1" t="s">
        <v>4124</v>
      </c>
      <c r="BI361" s="1">
        <v>33.0</v>
      </c>
      <c r="BJ361" s="1" t="s">
        <v>7613</v>
      </c>
      <c r="BK361" s="1" t="s">
        <v>149</v>
      </c>
      <c r="BL361" s="1" t="s">
        <v>7614</v>
      </c>
      <c r="BM361" s="1" t="s">
        <v>7615</v>
      </c>
      <c r="BN361" s="1" t="s">
        <v>74</v>
      </c>
      <c r="BO361" s="1" t="s">
        <v>306</v>
      </c>
      <c r="BP361" s="1" t="s">
        <v>74</v>
      </c>
      <c r="BQ361" s="1" t="s">
        <v>74</v>
      </c>
      <c r="BR361" s="1" t="s">
        <v>102</v>
      </c>
      <c r="BS361" s="1" t="s">
        <v>7616</v>
      </c>
      <c r="BT361" s="1" t="str">
        <f>HYPERLINK("https%3A%2F%2Fwww.webofscience.com%2Fwos%2Fwoscc%2Ffull-record%2FWOS:001005813800001","View Full Record in Web of Science")</f>
        <v>View Full Record in Web of Science</v>
      </c>
    </row>
    <row r="362" ht="12.75" customHeight="1">
      <c r="A362" s="1" t="s">
        <v>132</v>
      </c>
      <c r="B362" s="1" t="s">
        <v>7617</v>
      </c>
      <c r="C362" s="1" t="s">
        <v>74</v>
      </c>
      <c r="D362" s="1" t="s">
        <v>74</v>
      </c>
      <c r="E362" s="1" t="s">
        <v>74</v>
      </c>
      <c r="F362" s="1" t="s">
        <v>7618</v>
      </c>
      <c r="G362" s="1" t="s">
        <v>74</v>
      </c>
      <c r="H362" s="1" t="s">
        <v>74</v>
      </c>
      <c r="I362" s="1" t="s">
        <v>7619</v>
      </c>
      <c r="J362" s="1" t="s">
        <v>2145</v>
      </c>
      <c r="K362" s="1" t="s">
        <v>74</v>
      </c>
      <c r="L362" s="1" t="s">
        <v>74</v>
      </c>
      <c r="M362" s="1" t="s">
        <v>80</v>
      </c>
      <c r="N362" s="1" t="s">
        <v>338</v>
      </c>
      <c r="O362" s="1" t="s">
        <v>74</v>
      </c>
      <c r="P362" s="1" t="s">
        <v>74</v>
      </c>
      <c r="Q362" s="1" t="s">
        <v>74</v>
      </c>
      <c r="R362" s="1" t="s">
        <v>74</v>
      </c>
      <c r="S362" s="1" t="s">
        <v>74</v>
      </c>
      <c r="T362" s="1" t="s">
        <v>7620</v>
      </c>
      <c r="U362" s="1" t="s">
        <v>7621</v>
      </c>
      <c r="V362" s="1" t="s">
        <v>7622</v>
      </c>
      <c r="W362" s="1" t="s">
        <v>7623</v>
      </c>
      <c r="X362" s="1" t="s">
        <v>7624</v>
      </c>
      <c r="Y362" s="1" t="s">
        <v>7625</v>
      </c>
      <c r="Z362" s="1" t="s">
        <v>7626</v>
      </c>
      <c r="AA362" s="1" t="s">
        <v>7627</v>
      </c>
      <c r="AB362" s="1" t="s">
        <v>7628</v>
      </c>
      <c r="AC362" s="1" t="s">
        <v>74</v>
      </c>
      <c r="AD362" s="1" t="s">
        <v>74</v>
      </c>
      <c r="AE362" s="1" t="s">
        <v>74</v>
      </c>
      <c r="AF362" s="1" t="s">
        <v>74</v>
      </c>
      <c r="AG362" s="1">
        <v>70.0</v>
      </c>
      <c r="AH362" s="1">
        <v>0.0</v>
      </c>
      <c r="AI362" s="1">
        <v>0.0</v>
      </c>
      <c r="AJ362" s="1">
        <v>7.0</v>
      </c>
      <c r="AK362" s="1">
        <v>7.0</v>
      </c>
      <c r="AL362" s="1" t="s">
        <v>192</v>
      </c>
      <c r="AM362" s="1" t="s">
        <v>864</v>
      </c>
      <c r="AN362" s="1" t="s">
        <v>865</v>
      </c>
      <c r="AO362" s="1" t="s">
        <v>2155</v>
      </c>
      <c r="AP362" s="1" t="s">
        <v>2156</v>
      </c>
      <c r="AQ362" s="1" t="s">
        <v>74</v>
      </c>
      <c r="AR362" s="1" t="s">
        <v>2157</v>
      </c>
      <c r="AS362" s="1" t="s">
        <v>2158</v>
      </c>
      <c r="AT362" s="1" t="s">
        <v>5450</v>
      </c>
      <c r="AU362" s="1">
        <v>2024.0</v>
      </c>
      <c r="AV362" s="1" t="s">
        <v>74</v>
      </c>
      <c r="AW362" s="1" t="s">
        <v>74</v>
      </c>
      <c r="AX362" s="1" t="s">
        <v>74</v>
      </c>
      <c r="AY362" s="1" t="s">
        <v>74</v>
      </c>
      <c r="AZ362" s="1" t="s">
        <v>74</v>
      </c>
      <c r="BA362" s="1" t="s">
        <v>74</v>
      </c>
      <c r="BB362" s="1" t="s">
        <v>74</v>
      </c>
      <c r="BC362" s="1" t="s">
        <v>74</v>
      </c>
      <c r="BD362" s="1" t="s">
        <v>74</v>
      </c>
      <c r="BE362" s="1" t="s">
        <v>7629</v>
      </c>
      <c r="BF362" s="2" t="str">
        <f>HYPERLINK("http://dx.doi.org/10.1007/s11205-024-03493-7","http://dx.doi.org/10.1007/s11205-024-03493-7")</f>
        <v>http://dx.doi.org/10.1007/s11205-024-03493-7</v>
      </c>
      <c r="BG362" s="1" t="s">
        <v>74</v>
      </c>
      <c r="BH362" s="1" t="s">
        <v>2788</v>
      </c>
      <c r="BI362" s="1">
        <v>27.0</v>
      </c>
      <c r="BJ362" s="1" t="s">
        <v>2161</v>
      </c>
      <c r="BK362" s="1" t="s">
        <v>203</v>
      </c>
      <c r="BL362" s="1" t="s">
        <v>2162</v>
      </c>
      <c r="BM362" s="1" t="s">
        <v>7630</v>
      </c>
      <c r="BN362" s="1" t="s">
        <v>74</v>
      </c>
      <c r="BO362" s="1" t="s">
        <v>74</v>
      </c>
      <c r="BP362" s="1" t="s">
        <v>74</v>
      </c>
      <c r="BQ362" s="1" t="s">
        <v>74</v>
      </c>
      <c r="BR362" s="1" t="s">
        <v>102</v>
      </c>
      <c r="BS362" s="1" t="s">
        <v>7631</v>
      </c>
      <c r="BT362" s="1" t="str">
        <f>HYPERLINK("https%3A%2F%2Fwww.webofscience.com%2Fwos%2Fwoscc%2Ffull-record%2FWOS:001387223000001","View Full Record in Web of Science")</f>
        <v>View Full Record in Web of Science</v>
      </c>
    </row>
    <row r="363" ht="12.75" customHeight="1">
      <c r="A363" s="1" t="s">
        <v>72</v>
      </c>
      <c r="B363" s="1" t="s">
        <v>7632</v>
      </c>
      <c r="C363" s="1" t="s">
        <v>74</v>
      </c>
      <c r="D363" s="1" t="s">
        <v>7633</v>
      </c>
      <c r="E363" s="1" t="s">
        <v>74</v>
      </c>
      <c r="F363" s="1" t="s">
        <v>7634</v>
      </c>
      <c r="G363" s="1" t="s">
        <v>74</v>
      </c>
      <c r="H363" s="1" t="s">
        <v>74</v>
      </c>
      <c r="I363" s="1" t="s">
        <v>7635</v>
      </c>
      <c r="J363" s="1" t="s">
        <v>7636</v>
      </c>
      <c r="K363" s="1" t="s">
        <v>7637</v>
      </c>
      <c r="L363" s="1" t="s">
        <v>74</v>
      </c>
      <c r="M363" s="1" t="s">
        <v>80</v>
      </c>
      <c r="N363" s="1" t="s">
        <v>81</v>
      </c>
      <c r="O363" s="1" t="s">
        <v>7638</v>
      </c>
      <c r="P363" s="1" t="s">
        <v>7639</v>
      </c>
      <c r="Q363" s="1" t="s">
        <v>7640</v>
      </c>
      <c r="R363" s="1" t="s">
        <v>7641</v>
      </c>
      <c r="S363" s="1" t="s">
        <v>74</v>
      </c>
      <c r="T363" s="1" t="s">
        <v>7642</v>
      </c>
      <c r="U363" s="1" t="s">
        <v>7643</v>
      </c>
      <c r="V363" s="1" t="s">
        <v>7644</v>
      </c>
      <c r="W363" s="1" t="s">
        <v>7645</v>
      </c>
      <c r="X363" s="1" t="s">
        <v>7646</v>
      </c>
      <c r="Y363" s="1" t="s">
        <v>7647</v>
      </c>
      <c r="Z363" s="1" t="s">
        <v>7648</v>
      </c>
      <c r="AA363" s="1" t="s">
        <v>7649</v>
      </c>
      <c r="AB363" s="1" t="s">
        <v>7650</v>
      </c>
      <c r="AC363" s="1" t="s">
        <v>74</v>
      </c>
      <c r="AD363" s="1" t="s">
        <v>74</v>
      </c>
      <c r="AE363" s="1" t="s">
        <v>74</v>
      </c>
      <c r="AF363" s="1" t="s">
        <v>74</v>
      </c>
      <c r="AG363" s="1">
        <v>33.0</v>
      </c>
      <c r="AH363" s="1">
        <v>2.0</v>
      </c>
      <c r="AI363" s="1">
        <v>2.0</v>
      </c>
      <c r="AJ363" s="1">
        <v>13.0</v>
      </c>
      <c r="AK363" s="1">
        <v>72.0</v>
      </c>
      <c r="AL363" s="1" t="s">
        <v>236</v>
      </c>
      <c r="AM363" s="1" t="s">
        <v>193</v>
      </c>
      <c r="AN363" s="1" t="s">
        <v>252</v>
      </c>
      <c r="AO363" s="1" t="s">
        <v>7651</v>
      </c>
      <c r="AP363" s="1" t="s">
        <v>7652</v>
      </c>
      <c r="AQ363" s="1" t="s">
        <v>7653</v>
      </c>
      <c r="AR363" s="1" t="s">
        <v>7654</v>
      </c>
      <c r="AS363" s="1" t="s">
        <v>74</v>
      </c>
      <c r="AT363" s="1" t="s">
        <v>74</v>
      </c>
      <c r="AU363" s="1">
        <v>2022.0</v>
      </c>
      <c r="AV363" s="1" t="s">
        <v>74</v>
      </c>
      <c r="AW363" s="1" t="s">
        <v>74</v>
      </c>
      <c r="AX363" s="1" t="s">
        <v>74</v>
      </c>
      <c r="AY363" s="1" t="s">
        <v>74</v>
      </c>
      <c r="AZ363" s="1" t="s">
        <v>74</v>
      </c>
      <c r="BA363" s="1" t="s">
        <v>74</v>
      </c>
      <c r="BB363" s="1">
        <v>226.0</v>
      </c>
      <c r="BC363" s="1">
        <v>231.0</v>
      </c>
      <c r="BD363" s="1" t="s">
        <v>74</v>
      </c>
      <c r="BE363" s="1" t="s">
        <v>7655</v>
      </c>
      <c r="BF363" s="2" t="str">
        <f>HYPERLINK("http://dx.doi.org/10.1109/LOGISTIQUA55056.2022.9938119","http://dx.doi.org/10.1109/LOGISTIQUA55056.2022.9938119")</f>
        <v>http://dx.doi.org/10.1109/LOGISTIQUA55056.2022.9938119</v>
      </c>
      <c r="BG363" s="1" t="s">
        <v>74</v>
      </c>
      <c r="BH363" s="1" t="s">
        <v>74</v>
      </c>
      <c r="BI363" s="1">
        <v>6.0</v>
      </c>
      <c r="BJ363" s="1" t="s">
        <v>7656</v>
      </c>
      <c r="BK363" s="1" t="s">
        <v>128</v>
      </c>
      <c r="BL363" s="1" t="s">
        <v>6006</v>
      </c>
      <c r="BM363" s="1" t="s">
        <v>7657</v>
      </c>
      <c r="BN363" s="1" t="s">
        <v>74</v>
      </c>
      <c r="BO363" s="1" t="s">
        <v>74</v>
      </c>
      <c r="BP363" s="1" t="s">
        <v>74</v>
      </c>
      <c r="BQ363" s="1" t="s">
        <v>74</v>
      </c>
      <c r="BR363" s="1" t="s">
        <v>102</v>
      </c>
      <c r="BS363" s="1" t="s">
        <v>7658</v>
      </c>
      <c r="BT363" s="1" t="str">
        <f>HYPERLINK("https%3A%2F%2Fwww.webofscience.com%2Fwos%2Fwoscc%2Ffull-record%2FWOS:000899744300034","View Full Record in Web of Science")</f>
        <v>View Full Record in Web of Science</v>
      </c>
    </row>
    <row r="364" ht="12.75" customHeight="1">
      <c r="A364" s="1" t="s">
        <v>132</v>
      </c>
      <c r="B364" s="1" t="s">
        <v>7659</v>
      </c>
      <c r="C364" s="1" t="s">
        <v>74</v>
      </c>
      <c r="D364" s="1" t="s">
        <v>74</v>
      </c>
      <c r="E364" s="1" t="s">
        <v>74</v>
      </c>
      <c r="F364" s="1" t="s">
        <v>7660</v>
      </c>
      <c r="G364" s="1" t="s">
        <v>74</v>
      </c>
      <c r="H364" s="1" t="s">
        <v>74</v>
      </c>
      <c r="I364" s="1" t="s">
        <v>7661</v>
      </c>
      <c r="J364" s="1" t="s">
        <v>3728</v>
      </c>
      <c r="K364" s="1" t="s">
        <v>74</v>
      </c>
      <c r="L364" s="1" t="s">
        <v>74</v>
      </c>
      <c r="M364" s="1" t="s">
        <v>80</v>
      </c>
      <c r="N364" s="1" t="s">
        <v>136</v>
      </c>
      <c r="O364" s="1" t="s">
        <v>74</v>
      </c>
      <c r="P364" s="1" t="s">
        <v>74</v>
      </c>
      <c r="Q364" s="1" t="s">
        <v>74</v>
      </c>
      <c r="R364" s="1" t="s">
        <v>74</v>
      </c>
      <c r="S364" s="1" t="s">
        <v>74</v>
      </c>
      <c r="T364" s="1" t="s">
        <v>7662</v>
      </c>
      <c r="U364" s="1" t="s">
        <v>74</v>
      </c>
      <c r="V364" s="1" t="s">
        <v>7663</v>
      </c>
      <c r="W364" s="1" t="s">
        <v>7664</v>
      </c>
      <c r="X364" s="1" t="s">
        <v>7665</v>
      </c>
      <c r="Y364" s="1" t="s">
        <v>7666</v>
      </c>
      <c r="Z364" s="1" t="s">
        <v>7667</v>
      </c>
      <c r="AA364" s="1" t="s">
        <v>7668</v>
      </c>
      <c r="AB364" s="1" t="s">
        <v>7669</v>
      </c>
      <c r="AC364" s="1" t="s">
        <v>74</v>
      </c>
      <c r="AD364" s="1" t="s">
        <v>74</v>
      </c>
      <c r="AE364" s="1" t="s">
        <v>74</v>
      </c>
      <c r="AF364" s="1" t="s">
        <v>74</v>
      </c>
      <c r="AG364" s="1">
        <v>96.0</v>
      </c>
      <c r="AH364" s="1">
        <v>10.0</v>
      </c>
      <c r="AI364" s="1">
        <v>10.0</v>
      </c>
      <c r="AJ364" s="1">
        <v>63.0</v>
      </c>
      <c r="AK364" s="1">
        <v>67.0</v>
      </c>
      <c r="AL364" s="1" t="s">
        <v>2745</v>
      </c>
      <c r="AM364" s="1" t="s">
        <v>2746</v>
      </c>
      <c r="AN364" s="1" t="s">
        <v>2747</v>
      </c>
      <c r="AO364" s="1" t="s">
        <v>3741</v>
      </c>
      <c r="AP364" s="1" t="s">
        <v>3742</v>
      </c>
      <c r="AQ364" s="1" t="s">
        <v>74</v>
      </c>
      <c r="AR364" s="1" t="s">
        <v>3743</v>
      </c>
      <c r="AS364" s="1" t="s">
        <v>3744</v>
      </c>
      <c r="AT364" s="1" t="s">
        <v>7670</v>
      </c>
      <c r="AU364" s="1">
        <v>2024.0</v>
      </c>
      <c r="AV364" s="1">
        <v>468.0</v>
      </c>
      <c r="AW364" s="1" t="s">
        <v>74</v>
      </c>
      <c r="AX364" s="1" t="s">
        <v>74</v>
      </c>
      <c r="AY364" s="1" t="s">
        <v>74</v>
      </c>
      <c r="AZ364" s="1" t="s">
        <v>74</v>
      </c>
      <c r="BA364" s="1" t="s">
        <v>74</v>
      </c>
      <c r="BB364" s="1" t="s">
        <v>74</v>
      </c>
      <c r="BC364" s="1" t="s">
        <v>74</v>
      </c>
      <c r="BD364" s="1">
        <v>143090.0</v>
      </c>
      <c r="BE364" s="1" t="s">
        <v>7671</v>
      </c>
      <c r="BF364" s="2" t="str">
        <f>HYPERLINK("http://dx.doi.org/10.1016/j.jclepro.2024.143090","http://dx.doi.org/10.1016/j.jclepro.2024.143090")</f>
        <v>http://dx.doi.org/10.1016/j.jclepro.2024.143090</v>
      </c>
      <c r="BG364" s="1" t="s">
        <v>74</v>
      </c>
      <c r="BH364" s="1" t="s">
        <v>1929</v>
      </c>
      <c r="BI364" s="1">
        <v>25.0</v>
      </c>
      <c r="BJ364" s="1" t="s">
        <v>3747</v>
      </c>
      <c r="BK364" s="1" t="s">
        <v>149</v>
      </c>
      <c r="BL364" s="1" t="s">
        <v>3748</v>
      </c>
      <c r="BM364" s="1" t="s">
        <v>7672</v>
      </c>
      <c r="BN364" s="1" t="s">
        <v>74</v>
      </c>
      <c r="BO364" s="1" t="s">
        <v>306</v>
      </c>
      <c r="BP364" s="1" t="s">
        <v>74</v>
      </c>
      <c r="BQ364" s="1" t="s">
        <v>74</v>
      </c>
      <c r="BR364" s="1" t="s">
        <v>102</v>
      </c>
      <c r="BS364" s="1" t="s">
        <v>7673</v>
      </c>
      <c r="BT364" s="1" t="str">
        <f>HYPERLINK("https%3A%2F%2Fwww.webofscience.com%2Fwos%2Fwoscc%2Ffull-record%2FWOS:001267137900001","View Full Record in Web of Science")</f>
        <v>View Full Record in Web of Science</v>
      </c>
    </row>
    <row r="365" ht="12.75" customHeight="1">
      <c r="A365" s="1" t="s">
        <v>132</v>
      </c>
      <c r="B365" s="1" t="s">
        <v>7674</v>
      </c>
      <c r="C365" s="1" t="s">
        <v>74</v>
      </c>
      <c r="D365" s="1" t="s">
        <v>74</v>
      </c>
      <c r="E365" s="1" t="s">
        <v>74</v>
      </c>
      <c r="F365" s="1" t="s">
        <v>7675</v>
      </c>
      <c r="G365" s="1" t="s">
        <v>74</v>
      </c>
      <c r="H365" s="1" t="s">
        <v>74</v>
      </c>
      <c r="I365" s="1" t="s">
        <v>7676</v>
      </c>
      <c r="J365" s="1" t="s">
        <v>7677</v>
      </c>
      <c r="K365" s="1" t="s">
        <v>74</v>
      </c>
      <c r="L365" s="1" t="s">
        <v>74</v>
      </c>
      <c r="M365" s="1" t="s">
        <v>80</v>
      </c>
      <c r="N365" s="1" t="s">
        <v>1010</v>
      </c>
      <c r="O365" s="1" t="s">
        <v>74</v>
      </c>
      <c r="P365" s="1" t="s">
        <v>74</v>
      </c>
      <c r="Q365" s="1" t="s">
        <v>74</v>
      </c>
      <c r="R365" s="1" t="s">
        <v>74</v>
      </c>
      <c r="S365" s="1" t="s">
        <v>74</v>
      </c>
      <c r="T365" s="1" t="s">
        <v>7678</v>
      </c>
      <c r="U365" s="1" t="s">
        <v>7679</v>
      </c>
      <c r="V365" s="1" t="s">
        <v>7680</v>
      </c>
      <c r="W365" s="1" t="s">
        <v>7681</v>
      </c>
      <c r="X365" s="1" t="s">
        <v>7682</v>
      </c>
      <c r="Y365" s="1" t="s">
        <v>7683</v>
      </c>
      <c r="Z365" s="1" t="s">
        <v>7684</v>
      </c>
      <c r="AA365" s="1" t="s">
        <v>7685</v>
      </c>
      <c r="AB365" s="1" t="s">
        <v>7686</v>
      </c>
      <c r="AC365" s="1" t="s">
        <v>74</v>
      </c>
      <c r="AD365" s="1" t="s">
        <v>74</v>
      </c>
      <c r="AE365" s="1" t="s">
        <v>74</v>
      </c>
      <c r="AF365" s="1" t="s">
        <v>74</v>
      </c>
      <c r="AG365" s="1">
        <v>53.0</v>
      </c>
      <c r="AH365" s="1">
        <v>1.0</v>
      </c>
      <c r="AI365" s="1">
        <v>1.0</v>
      </c>
      <c r="AJ365" s="1">
        <v>6.0</v>
      </c>
      <c r="AK365" s="1">
        <v>8.0</v>
      </c>
      <c r="AL365" s="1" t="s">
        <v>7687</v>
      </c>
      <c r="AM365" s="1" t="s">
        <v>349</v>
      </c>
      <c r="AN365" s="1" t="s">
        <v>7688</v>
      </c>
      <c r="AO365" s="1" t="s">
        <v>7689</v>
      </c>
      <c r="AP365" s="1" t="s">
        <v>7690</v>
      </c>
      <c r="AQ365" s="1" t="s">
        <v>74</v>
      </c>
      <c r="AR365" s="1" t="s">
        <v>7691</v>
      </c>
      <c r="AS365" s="1" t="s">
        <v>7692</v>
      </c>
      <c r="AT365" s="1" t="s">
        <v>328</v>
      </c>
      <c r="AU365" s="1">
        <v>2024.0</v>
      </c>
      <c r="AV365" s="1">
        <v>13.0</v>
      </c>
      <c r="AW365" s="1">
        <v>2.0</v>
      </c>
      <c r="AX365" s="1" t="s">
        <v>74</v>
      </c>
      <c r="AY365" s="1" t="s">
        <v>74</v>
      </c>
      <c r="AZ365" s="1" t="s">
        <v>74</v>
      </c>
      <c r="BA365" s="1" t="s">
        <v>74</v>
      </c>
      <c r="BB365" s="1">
        <v>267.0</v>
      </c>
      <c r="BC365" s="1">
        <v>279.0</v>
      </c>
      <c r="BD365" s="1" t="s">
        <v>74</v>
      </c>
      <c r="BE365" s="1" t="s">
        <v>7693</v>
      </c>
      <c r="BF365" s="2" t="str">
        <f>HYPERLINK("http://dx.doi.org/10.1007/s40119-024-00368-3","http://dx.doi.org/10.1007/s40119-024-00368-3")</f>
        <v>http://dx.doi.org/10.1007/s40119-024-00368-3</v>
      </c>
      <c r="BG365" s="1" t="s">
        <v>74</v>
      </c>
      <c r="BH365" s="1" t="s">
        <v>3129</v>
      </c>
      <c r="BI365" s="1">
        <v>13.0</v>
      </c>
      <c r="BJ365" s="1" t="s">
        <v>2729</v>
      </c>
      <c r="BK365" s="1" t="s">
        <v>172</v>
      </c>
      <c r="BL365" s="1" t="s">
        <v>2730</v>
      </c>
      <c r="BM365" s="1" t="s">
        <v>7694</v>
      </c>
      <c r="BN365" s="1">
        <v>3.8703292E7</v>
      </c>
      <c r="BO365" s="1" t="s">
        <v>284</v>
      </c>
      <c r="BP365" s="1" t="s">
        <v>74</v>
      </c>
      <c r="BQ365" s="1" t="s">
        <v>74</v>
      </c>
      <c r="BR365" s="1" t="s">
        <v>102</v>
      </c>
      <c r="BS365" s="1" t="s">
        <v>7695</v>
      </c>
      <c r="BT365" s="1" t="str">
        <f>HYPERLINK("https%3A%2F%2Fwww.webofscience.com%2Fwos%2Fwoscc%2Ffull-record%2FWOS:001214172600001","View Full Record in Web of Science")</f>
        <v>View Full Record in Web of Science</v>
      </c>
    </row>
    <row r="366" ht="12.75" customHeight="1">
      <c r="A366" s="1" t="s">
        <v>132</v>
      </c>
      <c r="B366" s="1" t="s">
        <v>7696</v>
      </c>
      <c r="C366" s="1" t="s">
        <v>74</v>
      </c>
      <c r="D366" s="1" t="s">
        <v>74</v>
      </c>
      <c r="E366" s="1" t="s">
        <v>74</v>
      </c>
      <c r="F366" s="1" t="s">
        <v>7697</v>
      </c>
      <c r="G366" s="1" t="s">
        <v>74</v>
      </c>
      <c r="H366" s="1" t="s">
        <v>74</v>
      </c>
      <c r="I366" s="1" t="s">
        <v>7698</v>
      </c>
      <c r="J366" s="1" t="s">
        <v>7699</v>
      </c>
      <c r="K366" s="1" t="s">
        <v>74</v>
      </c>
      <c r="L366" s="1" t="s">
        <v>74</v>
      </c>
      <c r="M366" s="1" t="s">
        <v>80</v>
      </c>
      <c r="N366" s="1" t="s">
        <v>136</v>
      </c>
      <c r="O366" s="1" t="s">
        <v>74</v>
      </c>
      <c r="P366" s="1" t="s">
        <v>74</v>
      </c>
      <c r="Q366" s="1" t="s">
        <v>74</v>
      </c>
      <c r="R366" s="1" t="s">
        <v>74</v>
      </c>
      <c r="S366" s="1" t="s">
        <v>74</v>
      </c>
      <c r="T366" s="1" t="s">
        <v>7700</v>
      </c>
      <c r="U366" s="1" t="s">
        <v>7701</v>
      </c>
      <c r="V366" s="1" t="s">
        <v>7702</v>
      </c>
      <c r="W366" s="1" t="s">
        <v>7703</v>
      </c>
      <c r="X366" s="1" t="s">
        <v>74</v>
      </c>
      <c r="Y366" s="1" t="s">
        <v>7704</v>
      </c>
      <c r="Z366" s="1" t="s">
        <v>7705</v>
      </c>
      <c r="AA366" s="1" t="s">
        <v>74</v>
      </c>
      <c r="AB366" s="1" t="s">
        <v>7706</v>
      </c>
      <c r="AC366" s="1" t="s">
        <v>74</v>
      </c>
      <c r="AD366" s="1" t="s">
        <v>74</v>
      </c>
      <c r="AE366" s="1" t="s">
        <v>74</v>
      </c>
      <c r="AF366" s="1" t="s">
        <v>74</v>
      </c>
      <c r="AG366" s="1">
        <v>75.0</v>
      </c>
      <c r="AH366" s="1">
        <v>1.0</v>
      </c>
      <c r="AI366" s="1">
        <v>1.0</v>
      </c>
      <c r="AJ366" s="1">
        <v>2.0</v>
      </c>
      <c r="AK366" s="1">
        <v>21.0</v>
      </c>
      <c r="AL366" s="1" t="s">
        <v>7707</v>
      </c>
      <c r="AM366" s="1" t="s">
        <v>7708</v>
      </c>
      <c r="AN366" s="1" t="s">
        <v>7709</v>
      </c>
      <c r="AO366" s="1" t="s">
        <v>74</v>
      </c>
      <c r="AP366" s="1" t="s">
        <v>7710</v>
      </c>
      <c r="AQ366" s="1" t="s">
        <v>74</v>
      </c>
      <c r="AR366" s="1" t="s">
        <v>7711</v>
      </c>
      <c r="AS366" s="1" t="s">
        <v>7712</v>
      </c>
      <c r="AT366" s="1" t="s">
        <v>1051</v>
      </c>
      <c r="AU366" s="1">
        <v>2021.0</v>
      </c>
      <c r="AV366" s="1">
        <v>8.0</v>
      </c>
      <c r="AW366" s="1">
        <v>2.0</v>
      </c>
      <c r="AX366" s="1" t="s">
        <v>74</v>
      </c>
      <c r="AY366" s="1" t="s">
        <v>74</v>
      </c>
      <c r="AZ366" s="1" t="s">
        <v>74</v>
      </c>
      <c r="BA366" s="1" t="s">
        <v>74</v>
      </c>
      <c r="BB366" s="1">
        <v>315.0</v>
      </c>
      <c r="BC366" s="1">
        <v>331.0</v>
      </c>
      <c r="BD366" s="1" t="s">
        <v>74</v>
      </c>
      <c r="BE366" s="1" t="s">
        <v>74</v>
      </c>
      <c r="BF366" s="1" t="s">
        <v>74</v>
      </c>
      <c r="BG366" s="1" t="s">
        <v>74</v>
      </c>
      <c r="BH366" s="1" t="s">
        <v>74</v>
      </c>
      <c r="BI366" s="1">
        <v>17.0</v>
      </c>
      <c r="BJ366" s="1" t="s">
        <v>915</v>
      </c>
      <c r="BK366" s="1" t="s">
        <v>172</v>
      </c>
      <c r="BL366" s="1" t="s">
        <v>916</v>
      </c>
      <c r="BM366" s="1" t="s">
        <v>7713</v>
      </c>
      <c r="BN366" s="1" t="s">
        <v>74</v>
      </c>
      <c r="BO366" s="1" t="s">
        <v>74</v>
      </c>
      <c r="BP366" s="1" t="s">
        <v>74</v>
      </c>
      <c r="BQ366" s="1" t="s">
        <v>74</v>
      </c>
      <c r="BR366" s="1" t="s">
        <v>102</v>
      </c>
      <c r="BS366" s="1" t="s">
        <v>7714</v>
      </c>
      <c r="BT366" s="1" t="str">
        <f>HYPERLINK("https%3A%2F%2Fwww.webofscience.com%2Fwos%2Fwoscc%2Ffull-record%2FWOS:000734552100001","View Full Record in Web of Science")</f>
        <v>View Full Record in Web of Science</v>
      </c>
    </row>
    <row r="367" ht="12.75" customHeight="1">
      <c r="A367" s="1" t="s">
        <v>72</v>
      </c>
      <c r="B367" s="1" t="s">
        <v>7715</v>
      </c>
      <c r="C367" s="1" t="s">
        <v>74</v>
      </c>
      <c r="D367" s="1" t="s">
        <v>74</v>
      </c>
      <c r="E367" s="1" t="s">
        <v>74</v>
      </c>
      <c r="F367" s="1" t="s">
        <v>7716</v>
      </c>
      <c r="G367" s="1" t="s">
        <v>74</v>
      </c>
      <c r="H367" s="1" t="s">
        <v>74</v>
      </c>
      <c r="I367" s="1" t="s">
        <v>7717</v>
      </c>
      <c r="J367" s="1" t="s">
        <v>7718</v>
      </c>
      <c r="K367" s="1" t="s">
        <v>74</v>
      </c>
      <c r="L367" s="1" t="s">
        <v>74</v>
      </c>
      <c r="M367" s="1" t="s">
        <v>80</v>
      </c>
      <c r="N367" s="1" t="s">
        <v>81</v>
      </c>
      <c r="O367" s="1" t="s">
        <v>7719</v>
      </c>
      <c r="P367" s="1" t="s">
        <v>7720</v>
      </c>
      <c r="Q367" s="1" t="s">
        <v>667</v>
      </c>
      <c r="R367" s="1" t="s">
        <v>74</v>
      </c>
      <c r="S367" s="1" t="s">
        <v>74</v>
      </c>
      <c r="T367" s="1" t="s">
        <v>7721</v>
      </c>
      <c r="U367" s="1" t="s">
        <v>74</v>
      </c>
      <c r="V367" s="1" t="s">
        <v>7722</v>
      </c>
      <c r="W367" s="1" t="s">
        <v>7723</v>
      </c>
      <c r="X367" s="1" t="s">
        <v>7724</v>
      </c>
      <c r="Y367" s="1" t="s">
        <v>7725</v>
      </c>
      <c r="Z367" s="1" t="s">
        <v>7726</v>
      </c>
      <c r="AA367" s="1" t="s">
        <v>7727</v>
      </c>
      <c r="AB367" s="1" t="s">
        <v>7728</v>
      </c>
      <c r="AC367" s="1" t="s">
        <v>74</v>
      </c>
      <c r="AD367" s="1" t="s">
        <v>74</v>
      </c>
      <c r="AE367" s="1" t="s">
        <v>74</v>
      </c>
      <c r="AF367" s="1" t="s">
        <v>74</v>
      </c>
      <c r="AG367" s="1">
        <v>15.0</v>
      </c>
      <c r="AH367" s="1">
        <v>17.0</v>
      </c>
      <c r="AI367" s="1">
        <v>24.0</v>
      </c>
      <c r="AJ367" s="1">
        <v>21.0</v>
      </c>
      <c r="AK367" s="1">
        <v>105.0</v>
      </c>
      <c r="AL367" s="1" t="s">
        <v>321</v>
      </c>
      <c r="AM367" s="1" t="s">
        <v>322</v>
      </c>
      <c r="AN367" s="1" t="s">
        <v>323</v>
      </c>
      <c r="AO367" s="1" t="s">
        <v>7729</v>
      </c>
      <c r="AP367" s="1" t="s">
        <v>74</v>
      </c>
      <c r="AQ367" s="1" t="s">
        <v>74</v>
      </c>
      <c r="AR367" s="1" t="s">
        <v>7730</v>
      </c>
      <c r="AS367" s="1" t="s">
        <v>7731</v>
      </c>
      <c r="AT367" s="1" t="s">
        <v>74</v>
      </c>
      <c r="AU367" s="1">
        <v>2022.0</v>
      </c>
      <c r="AV367" s="1">
        <v>51.0</v>
      </c>
      <c r="AW367" s="1" t="s">
        <v>74</v>
      </c>
      <c r="AX367" s="1">
        <v>8.0</v>
      </c>
      <c r="AY367" s="1" t="s">
        <v>74</v>
      </c>
      <c r="AZ367" s="1" t="s">
        <v>74</v>
      </c>
      <c r="BA367" s="1" t="s">
        <v>74</v>
      </c>
      <c r="BB367" s="1">
        <v>2327.0</v>
      </c>
      <c r="BC367" s="1">
        <v>2331.0</v>
      </c>
      <c r="BD367" s="1" t="s">
        <v>74</v>
      </c>
      <c r="BE367" s="1" t="s">
        <v>7732</v>
      </c>
      <c r="BF367" s="2" t="str">
        <f>HYPERLINK("http://dx.doi.org/10.1016/j.matpr.2021.11.544","http://dx.doi.org/10.1016/j.matpr.2021.11.544")</f>
        <v>http://dx.doi.org/10.1016/j.matpr.2021.11.544</v>
      </c>
      <c r="BG367" s="1" t="s">
        <v>74</v>
      </c>
      <c r="BH367" s="1" t="s">
        <v>1482</v>
      </c>
      <c r="BI367" s="1">
        <v>5.0</v>
      </c>
      <c r="BJ367" s="1" t="s">
        <v>7733</v>
      </c>
      <c r="BK367" s="1" t="s">
        <v>128</v>
      </c>
      <c r="BL367" s="1" t="s">
        <v>7734</v>
      </c>
      <c r="BM367" s="1" t="s">
        <v>7735</v>
      </c>
      <c r="BN367" s="1" t="s">
        <v>74</v>
      </c>
      <c r="BO367" s="1" t="s">
        <v>74</v>
      </c>
      <c r="BP367" s="1" t="s">
        <v>74</v>
      </c>
      <c r="BQ367" s="1" t="s">
        <v>74</v>
      </c>
      <c r="BR367" s="1" t="s">
        <v>102</v>
      </c>
      <c r="BS367" s="1" t="s">
        <v>7736</v>
      </c>
      <c r="BT367" s="1" t="str">
        <f>HYPERLINK("https%3A%2F%2Fwww.webofscience.com%2Fwos%2Fwoscc%2Ffull-record%2FWOS:000820734700029","View Full Record in Web of Science")</f>
        <v>View Full Record in Web of Science</v>
      </c>
    </row>
    <row r="368" ht="12.75" customHeight="1">
      <c r="A368" s="1" t="s">
        <v>72</v>
      </c>
      <c r="B368" s="1" t="s">
        <v>7737</v>
      </c>
      <c r="C368" s="1" t="s">
        <v>74</v>
      </c>
      <c r="D368" s="1" t="s">
        <v>74</v>
      </c>
      <c r="E368" s="1" t="s">
        <v>236</v>
      </c>
      <c r="F368" s="1" t="s">
        <v>7738</v>
      </c>
      <c r="G368" s="1" t="s">
        <v>74</v>
      </c>
      <c r="H368" s="1" t="s">
        <v>74</v>
      </c>
      <c r="I368" s="1" t="s">
        <v>7739</v>
      </c>
      <c r="J368" s="1" t="s">
        <v>7740</v>
      </c>
      <c r="K368" s="1" t="s">
        <v>74</v>
      </c>
      <c r="L368" s="1" t="s">
        <v>74</v>
      </c>
      <c r="M368" s="1" t="s">
        <v>80</v>
      </c>
      <c r="N368" s="1" t="s">
        <v>81</v>
      </c>
      <c r="O368" s="1" t="s">
        <v>7741</v>
      </c>
      <c r="P368" s="1" t="s">
        <v>7742</v>
      </c>
      <c r="Q368" s="1" t="s">
        <v>7743</v>
      </c>
      <c r="R368" s="1" t="s">
        <v>7744</v>
      </c>
      <c r="S368" s="1" t="s">
        <v>7745</v>
      </c>
      <c r="T368" s="1" t="s">
        <v>7746</v>
      </c>
      <c r="U368" s="1" t="s">
        <v>74</v>
      </c>
      <c r="V368" s="1" t="s">
        <v>7747</v>
      </c>
      <c r="W368" s="1" t="s">
        <v>7748</v>
      </c>
      <c r="X368" s="1" t="s">
        <v>7749</v>
      </c>
      <c r="Y368" s="1" t="s">
        <v>7750</v>
      </c>
      <c r="Z368" s="1" t="s">
        <v>7751</v>
      </c>
      <c r="AA368" s="1" t="s">
        <v>7752</v>
      </c>
      <c r="AB368" s="1" t="s">
        <v>7753</v>
      </c>
      <c r="AC368" s="1" t="s">
        <v>74</v>
      </c>
      <c r="AD368" s="1" t="s">
        <v>74</v>
      </c>
      <c r="AE368" s="1" t="s">
        <v>74</v>
      </c>
      <c r="AF368" s="1" t="s">
        <v>74</v>
      </c>
      <c r="AG368" s="1">
        <v>41.0</v>
      </c>
      <c r="AH368" s="1">
        <v>0.0</v>
      </c>
      <c r="AI368" s="1">
        <v>0.0</v>
      </c>
      <c r="AJ368" s="1">
        <v>3.0</v>
      </c>
      <c r="AK368" s="1">
        <v>9.0</v>
      </c>
      <c r="AL368" s="1" t="s">
        <v>236</v>
      </c>
      <c r="AM368" s="1" t="s">
        <v>193</v>
      </c>
      <c r="AN368" s="1" t="s">
        <v>252</v>
      </c>
      <c r="AO368" s="1" t="s">
        <v>74</v>
      </c>
      <c r="AP368" s="1" t="s">
        <v>74</v>
      </c>
      <c r="AQ368" s="1" t="s">
        <v>7754</v>
      </c>
      <c r="AR368" s="1" t="s">
        <v>74</v>
      </c>
      <c r="AS368" s="1" t="s">
        <v>74</v>
      </c>
      <c r="AT368" s="1" t="s">
        <v>74</v>
      </c>
      <c r="AU368" s="1">
        <v>2023.0</v>
      </c>
      <c r="AV368" s="1" t="s">
        <v>74</v>
      </c>
      <c r="AW368" s="1" t="s">
        <v>74</v>
      </c>
      <c r="AX368" s="1" t="s">
        <v>74</v>
      </c>
      <c r="AY368" s="1" t="s">
        <v>74</v>
      </c>
      <c r="AZ368" s="1" t="s">
        <v>74</v>
      </c>
      <c r="BA368" s="1" t="s">
        <v>74</v>
      </c>
      <c r="BB368" s="1" t="s">
        <v>74</v>
      </c>
      <c r="BC368" s="1" t="s">
        <v>74</v>
      </c>
      <c r="BD368" s="1" t="s">
        <v>74</v>
      </c>
      <c r="BE368" s="1" t="s">
        <v>7755</v>
      </c>
      <c r="BF368" s="2" t="str">
        <f>HYPERLINK("http://dx.doi.org/10.1109/DCAS57389.2023.10130257","http://dx.doi.org/10.1109/DCAS57389.2023.10130257")</f>
        <v>http://dx.doi.org/10.1109/DCAS57389.2023.10130257</v>
      </c>
      <c r="BG368" s="1" t="s">
        <v>74</v>
      </c>
      <c r="BH368" s="1" t="s">
        <v>74</v>
      </c>
      <c r="BI368" s="1">
        <v>6.0</v>
      </c>
      <c r="BJ368" s="1" t="s">
        <v>7756</v>
      </c>
      <c r="BK368" s="1" t="s">
        <v>128</v>
      </c>
      <c r="BL368" s="1" t="s">
        <v>3052</v>
      </c>
      <c r="BM368" s="1" t="s">
        <v>7757</v>
      </c>
      <c r="BN368" s="1" t="s">
        <v>74</v>
      </c>
      <c r="BO368" s="1" t="s">
        <v>74</v>
      </c>
      <c r="BP368" s="1" t="s">
        <v>74</v>
      </c>
      <c r="BQ368" s="1" t="s">
        <v>74</v>
      </c>
      <c r="BR368" s="1" t="s">
        <v>102</v>
      </c>
      <c r="BS368" s="1" t="s">
        <v>7758</v>
      </c>
      <c r="BT368" s="1" t="str">
        <f>HYPERLINK("https%3A%2F%2Fwww.webofscience.com%2Fwos%2Fwoscc%2Ffull-record%2FWOS:001027182900030","View Full Record in Web of Science")</f>
        <v>View Full Record in Web of Science</v>
      </c>
    </row>
    <row r="369" ht="12.75" customHeight="1">
      <c r="A369" s="1" t="s">
        <v>72</v>
      </c>
      <c r="B369" s="1" t="s">
        <v>7759</v>
      </c>
      <c r="C369" s="1" t="s">
        <v>74</v>
      </c>
      <c r="D369" s="1" t="s">
        <v>74</v>
      </c>
      <c r="E369" s="1" t="s">
        <v>236</v>
      </c>
      <c r="F369" s="1" t="s">
        <v>7760</v>
      </c>
      <c r="G369" s="1" t="s">
        <v>74</v>
      </c>
      <c r="H369" s="1" t="s">
        <v>74</v>
      </c>
      <c r="I369" s="1" t="s">
        <v>7761</v>
      </c>
      <c r="J369" s="1" t="s">
        <v>7762</v>
      </c>
      <c r="K369" s="1" t="s">
        <v>74</v>
      </c>
      <c r="L369" s="1" t="s">
        <v>74</v>
      </c>
      <c r="M369" s="1" t="s">
        <v>80</v>
      </c>
      <c r="N369" s="1" t="s">
        <v>81</v>
      </c>
      <c r="O369" s="1" t="s">
        <v>7763</v>
      </c>
      <c r="P369" s="1" t="s">
        <v>7764</v>
      </c>
      <c r="Q369" s="1" t="s">
        <v>7765</v>
      </c>
      <c r="R369" s="1" t="s">
        <v>7766</v>
      </c>
      <c r="S369" s="1" t="s">
        <v>74</v>
      </c>
      <c r="T369" s="1" t="s">
        <v>7767</v>
      </c>
      <c r="U369" s="1" t="s">
        <v>74</v>
      </c>
      <c r="V369" s="1" t="s">
        <v>7768</v>
      </c>
      <c r="W369" s="1" t="s">
        <v>7769</v>
      </c>
      <c r="X369" s="1" t="s">
        <v>7770</v>
      </c>
      <c r="Y369" s="1" t="s">
        <v>7771</v>
      </c>
      <c r="Z369" s="1" t="s">
        <v>7772</v>
      </c>
      <c r="AA369" s="1" t="s">
        <v>7773</v>
      </c>
      <c r="AB369" s="1" t="s">
        <v>7774</v>
      </c>
      <c r="AC369" s="1" t="s">
        <v>74</v>
      </c>
      <c r="AD369" s="1" t="s">
        <v>74</v>
      </c>
      <c r="AE369" s="1" t="s">
        <v>74</v>
      </c>
      <c r="AF369" s="1" t="s">
        <v>74</v>
      </c>
      <c r="AG369" s="1">
        <v>47.0</v>
      </c>
      <c r="AH369" s="1">
        <v>4.0</v>
      </c>
      <c r="AI369" s="1">
        <v>4.0</v>
      </c>
      <c r="AJ369" s="1">
        <v>0.0</v>
      </c>
      <c r="AK369" s="1">
        <v>5.0</v>
      </c>
      <c r="AL369" s="1" t="s">
        <v>236</v>
      </c>
      <c r="AM369" s="1" t="s">
        <v>193</v>
      </c>
      <c r="AN369" s="1" t="s">
        <v>252</v>
      </c>
      <c r="AO369" s="1" t="s">
        <v>74</v>
      </c>
      <c r="AP369" s="1" t="s">
        <v>74</v>
      </c>
      <c r="AQ369" s="1" t="s">
        <v>7775</v>
      </c>
      <c r="AR369" s="1" t="s">
        <v>74</v>
      </c>
      <c r="AS369" s="1" t="s">
        <v>74</v>
      </c>
      <c r="AT369" s="1" t="s">
        <v>74</v>
      </c>
      <c r="AU369" s="1">
        <v>2021.0</v>
      </c>
      <c r="AV369" s="1" t="s">
        <v>74</v>
      </c>
      <c r="AW369" s="1" t="s">
        <v>74</v>
      </c>
      <c r="AX369" s="1" t="s">
        <v>74</v>
      </c>
      <c r="AY369" s="1" t="s">
        <v>74</v>
      </c>
      <c r="AZ369" s="1" t="s">
        <v>74</v>
      </c>
      <c r="BA369" s="1" t="s">
        <v>74</v>
      </c>
      <c r="BB369" s="1">
        <v>1.0</v>
      </c>
      <c r="BC369" s="1">
        <v>7.0</v>
      </c>
      <c r="BD369" s="1" t="s">
        <v>74</v>
      </c>
      <c r="BE369" s="1" t="s">
        <v>7776</v>
      </c>
      <c r="BF369" s="2" t="str">
        <f>HYPERLINK("http://dx.doi.org/10.1109/MTICTI53925.2021.9664762","http://dx.doi.org/10.1109/MTICTI53925.2021.9664762")</f>
        <v>http://dx.doi.org/10.1109/MTICTI53925.2021.9664762</v>
      </c>
      <c r="BG369" s="1" t="s">
        <v>74</v>
      </c>
      <c r="BH369" s="1" t="s">
        <v>74</v>
      </c>
      <c r="BI369" s="1">
        <v>7.0</v>
      </c>
      <c r="BJ369" s="1" t="s">
        <v>7777</v>
      </c>
      <c r="BK369" s="1" t="s">
        <v>128</v>
      </c>
      <c r="BL369" s="1" t="s">
        <v>846</v>
      </c>
      <c r="BM369" s="1" t="s">
        <v>7778</v>
      </c>
      <c r="BN369" s="1" t="s">
        <v>74</v>
      </c>
      <c r="BO369" s="1" t="s">
        <v>74</v>
      </c>
      <c r="BP369" s="1" t="s">
        <v>74</v>
      </c>
      <c r="BQ369" s="1" t="s">
        <v>74</v>
      </c>
      <c r="BR369" s="1" t="s">
        <v>102</v>
      </c>
      <c r="BS369" s="1" t="s">
        <v>7779</v>
      </c>
      <c r="BT369" s="1" t="str">
        <f>HYPERLINK("https%3A%2F%2Fwww.webofscience.com%2Fwos%2Fwoscc%2Ffull-record%2FWOS:000828142500001","View Full Record in Web of Science")</f>
        <v>View Full Record in Web of Science</v>
      </c>
    </row>
    <row r="370" ht="12.75" customHeight="1">
      <c r="A370" s="1" t="s">
        <v>132</v>
      </c>
      <c r="B370" s="1" t="s">
        <v>7780</v>
      </c>
      <c r="C370" s="1" t="s">
        <v>74</v>
      </c>
      <c r="D370" s="1" t="s">
        <v>74</v>
      </c>
      <c r="E370" s="1" t="s">
        <v>74</v>
      </c>
      <c r="F370" s="1" t="s">
        <v>7781</v>
      </c>
      <c r="G370" s="1" t="s">
        <v>74</v>
      </c>
      <c r="H370" s="1" t="s">
        <v>74</v>
      </c>
      <c r="I370" s="1" t="s">
        <v>7782</v>
      </c>
      <c r="J370" s="1" t="s">
        <v>7783</v>
      </c>
      <c r="K370" s="1" t="s">
        <v>74</v>
      </c>
      <c r="L370" s="1" t="s">
        <v>74</v>
      </c>
      <c r="M370" s="1" t="s">
        <v>80</v>
      </c>
      <c r="N370" s="1" t="s">
        <v>136</v>
      </c>
      <c r="O370" s="1" t="s">
        <v>74</v>
      </c>
      <c r="P370" s="1" t="s">
        <v>74</v>
      </c>
      <c r="Q370" s="1" t="s">
        <v>74</v>
      </c>
      <c r="R370" s="1" t="s">
        <v>74</v>
      </c>
      <c r="S370" s="1" t="s">
        <v>74</v>
      </c>
      <c r="T370" s="1" t="s">
        <v>7784</v>
      </c>
      <c r="U370" s="1" t="s">
        <v>74</v>
      </c>
      <c r="V370" s="1" t="s">
        <v>7785</v>
      </c>
      <c r="W370" s="1" t="s">
        <v>7786</v>
      </c>
      <c r="X370" s="1" t="s">
        <v>7787</v>
      </c>
      <c r="Y370" s="1" t="s">
        <v>7788</v>
      </c>
      <c r="Z370" s="1" t="s">
        <v>7789</v>
      </c>
      <c r="AA370" s="1" t="s">
        <v>74</v>
      </c>
      <c r="AB370" s="1" t="s">
        <v>74</v>
      </c>
      <c r="AC370" s="1" t="s">
        <v>74</v>
      </c>
      <c r="AD370" s="1" t="s">
        <v>74</v>
      </c>
      <c r="AE370" s="1" t="s">
        <v>74</v>
      </c>
      <c r="AF370" s="1" t="s">
        <v>74</v>
      </c>
      <c r="AG370" s="1">
        <v>47.0</v>
      </c>
      <c r="AH370" s="1">
        <v>0.0</v>
      </c>
      <c r="AI370" s="1">
        <v>0.0</v>
      </c>
      <c r="AJ370" s="1">
        <v>20.0</v>
      </c>
      <c r="AK370" s="1">
        <v>28.0</v>
      </c>
      <c r="AL370" s="1" t="s">
        <v>7790</v>
      </c>
      <c r="AM370" s="1" t="s">
        <v>7791</v>
      </c>
      <c r="AN370" s="1" t="s">
        <v>7792</v>
      </c>
      <c r="AO370" s="1" t="s">
        <v>7793</v>
      </c>
      <c r="AP370" s="1" t="s">
        <v>7794</v>
      </c>
      <c r="AQ370" s="1" t="s">
        <v>74</v>
      </c>
      <c r="AR370" s="1" t="s">
        <v>7795</v>
      </c>
      <c r="AS370" s="1" t="s">
        <v>7796</v>
      </c>
      <c r="AT370" s="1" t="s">
        <v>7797</v>
      </c>
      <c r="AU370" s="1">
        <v>2024.0</v>
      </c>
      <c r="AV370" s="1">
        <v>36.0</v>
      </c>
      <c r="AW370" s="1">
        <v>2.0</v>
      </c>
      <c r="AX370" s="1" t="s">
        <v>74</v>
      </c>
      <c r="AY370" s="1" t="s">
        <v>74</v>
      </c>
      <c r="AZ370" s="1" t="s">
        <v>74</v>
      </c>
      <c r="BA370" s="1" t="s">
        <v>74</v>
      </c>
      <c r="BB370" s="1">
        <v>79.0</v>
      </c>
      <c r="BC370" s="1">
        <v>98.0</v>
      </c>
      <c r="BD370" s="1" t="s">
        <v>74</v>
      </c>
      <c r="BE370" s="1" t="s">
        <v>7798</v>
      </c>
      <c r="BF370" s="2" t="str">
        <f>HYPERLINK("http://dx.doi.org/10.14201/teri.31821","http://dx.doi.org/10.14201/teri.31821")</f>
        <v>http://dx.doi.org/10.14201/teri.31821</v>
      </c>
      <c r="BG370" s="1" t="s">
        <v>74</v>
      </c>
      <c r="BH370" s="1" t="s">
        <v>74</v>
      </c>
      <c r="BI370" s="1">
        <v>20.0</v>
      </c>
      <c r="BJ370" s="1" t="s">
        <v>171</v>
      </c>
      <c r="BK370" s="1" t="s">
        <v>172</v>
      </c>
      <c r="BL370" s="1" t="s">
        <v>171</v>
      </c>
      <c r="BM370" s="1" t="s">
        <v>7799</v>
      </c>
      <c r="BN370" s="1" t="s">
        <v>74</v>
      </c>
      <c r="BO370" s="1" t="s">
        <v>174</v>
      </c>
      <c r="BP370" s="1" t="s">
        <v>74</v>
      </c>
      <c r="BQ370" s="1" t="s">
        <v>74</v>
      </c>
      <c r="BR370" s="1" t="s">
        <v>102</v>
      </c>
      <c r="BS370" s="1" t="s">
        <v>7800</v>
      </c>
      <c r="BT370" s="1" t="str">
        <f>HYPERLINK("https%3A%2F%2Fwww.webofscience.com%2Fwos%2Fwoscc%2Ffull-record%2FWOS:001252267700004","View Full Record in Web of Science")</f>
        <v>View Full Record in Web of Science</v>
      </c>
    </row>
    <row r="371" ht="12.75" customHeight="1">
      <c r="A371" s="1" t="s">
        <v>132</v>
      </c>
      <c r="B371" s="1" t="s">
        <v>7801</v>
      </c>
      <c r="C371" s="1" t="s">
        <v>74</v>
      </c>
      <c r="D371" s="1" t="s">
        <v>74</v>
      </c>
      <c r="E371" s="1" t="s">
        <v>74</v>
      </c>
      <c r="F371" s="1" t="s">
        <v>7802</v>
      </c>
      <c r="G371" s="1" t="s">
        <v>74</v>
      </c>
      <c r="H371" s="1" t="s">
        <v>74</v>
      </c>
      <c r="I371" s="1" t="s">
        <v>7803</v>
      </c>
      <c r="J371" s="1" t="s">
        <v>4596</v>
      </c>
      <c r="K371" s="1" t="s">
        <v>74</v>
      </c>
      <c r="L371" s="1" t="s">
        <v>74</v>
      </c>
      <c r="M371" s="1" t="s">
        <v>80</v>
      </c>
      <c r="N371" s="1" t="s">
        <v>136</v>
      </c>
      <c r="O371" s="1" t="s">
        <v>74</v>
      </c>
      <c r="P371" s="1" t="s">
        <v>74</v>
      </c>
      <c r="Q371" s="1" t="s">
        <v>74</v>
      </c>
      <c r="R371" s="1" t="s">
        <v>74</v>
      </c>
      <c r="S371" s="1" t="s">
        <v>74</v>
      </c>
      <c r="T371" s="1" t="s">
        <v>7804</v>
      </c>
      <c r="U371" s="1" t="s">
        <v>7805</v>
      </c>
      <c r="V371" s="1" t="s">
        <v>7806</v>
      </c>
      <c r="W371" s="1" t="s">
        <v>7807</v>
      </c>
      <c r="X371" s="1" t="s">
        <v>7808</v>
      </c>
      <c r="Y371" s="1" t="s">
        <v>6073</v>
      </c>
      <c r="Z371" s="1" t="s">
        <v>6074</v>
      </c>
      <c r="AA371" s="1" t="s">
        <v>7809</v>
      </c>
      <c r="AB371" s="1" t="s">
        <v>7810</v>
      </c>
      <c r="AC371" s="1" t="s">
        <v>6076</v>
      </c>
      <c r="AD371" s="1" t="s">
        <v>6077</v>
      </c>
      <c r="AE371" s="1" t="s">
        <v>7811</v>
      </c>
      <c r="AF371" s="1" t="s">
        <v>74</v>
      </c>
      <c r="AG371" s="1">
        <v>107.0</v>
      </c>
      <c r="AH371" s="1">
        <v>17.0</v>
      </c>
      <c r="AI371" s="1">
        <v>17.0</v>
      </c>
      <c r="AJ371" s="1">
        <v>73.0</v>
      </c>
      <c r="AK371" s="1">
        <v>135.0</v>
      </c>
      <c r="AL371" s="1" t="s">
        <v>3551</v>
      </c>
      <c r="AM371" s="1" t="s">
        <v>193</v>
      </c>
      <c r="AN371" s="1" t="s">
        <v>3552</v>
      </c>
      <c r="AO371" s="1" t="s">
        <v>4608</v>
      </c>
      <c r="AP371" s="1" t="s">
        <v>4609</v>
      </c>
      <c r="AQ371" s="1" t="s">
        <v>74</v>
      </c>
      <c r="AR371" s="1" t="s">
        <v>4610</v>
      </c>
      <c r="AS371" s="1" t="s">
        <v>4611</v>
      </c>
      <c r="AT371" s="1" t="s">
        <v>1301</v>
      </c>
      <c r="AU371" s="1">
        <v>2024.0</v>
      </c>
      <c r="AV371" s="1">
        <v>199.0</v>
      </c>
      <c r="AW371" s="1" t="s">
        <v>74</v>
      </c>
      <c r="AX371" s="1" t="s">
        <v>74</v>
      </c>
      <c r="AY371" s="1" t="s">
        <v>74</v>
      </c>
      <c r="AZ371" s="1" t="s">
        <v>74</v>
      </c>
      <c r="BA371" s="1" t="s">
        <v>74</v>
      </c>
      <c r="BB371" s="1" t="s">
        <v>74</v>
      </c>
      <c r="BC371" s="1" t="s">
        <v>74</v>
      </c>
      <c r="BD371" s="1">
        <v>123062.0</v>
      </c>
      <c r="BE371" s="1" t="s">
        <v>7812</v>
      </c>
      <c r="BF371" s="2" t="str">
        <f>HYPERLINK("http://dx.doi.org/10.1016/j.techfore.2023.123062","http://dx.doi.org/10.1016/j.techfore.2023.123062")</f>
        <v>http://dx.doi.org/10.1016/j.techfore.2023.123062</v>
      </c>
      <c r="BG371" s="1" t="s">
        <v>74</v>
      </c>
      <c r="BH371" s="1" t="s">
        <v>5056</v>
      </c>
      <c r="BI371" s="1">
        <v>15.0</v>
      </c>
      <c r="BJ371" s="1" t="s">
        <v>4614</v>
      </c>
      <c r="BK371" s="1" t="s">
        <v>203</v>
      </c>
      <c r="BL371" s="1" t="s">
        <v>4615</v>
      </c>
      <c r="BM371" s="1" t="s">
        <v>7813</v>
      </c>
      <c r="BN371" s="1" t="s">
        <v>74</v>
      </c>
      <c r="BO371" s="1" t="s">
        <v>74</v>
      </c>
      <c r="BP371" s="1" t="s">
        <v>74</v>
      </c>
      <c r="BQ371" s="1" t="s">
        <v>74</v>
      </c>
      <c r="BR371" s="1" t="s">
        <v>102</v>
      </c>
      <c r="BS371" s="1" t="s">
        <v>7814</v>
      </c>
      <c r="BT371" s="1" t="str">
        <f>HYPERLINK("https%3A%2F%2Fwww.webofscience.com%2Fwos%2Fwoscc%2Ffull-record%2FWOS:001138988700001","View Full Record in Web of Science")</f>
        <v>View Full Record in Web of Science</v>
      </c>
    </row>
    <row r="372" ht="12.75" customHeight="1">
      <c r="A372" s="1" t="s">
        <v>132</v>
      </c>
      <c r="B372" s="1" t="s">
        <v>7815</v>
      </c>
      <c r="C372" s="1" t="s">
        <v>74</v>
      </c>
      <c r="D372" s="1" t="s">
        <v>74</v>
      </c>
      <c r="E372" s="1" t="s">
        <v>74</v>
      </c>
      <c r="F372" s="1" t="s">
        <v>7816</v>
      </c>
      <c r="G372" s="1" t="s">
        <v>74</v>
      </c>
      <c r="H372" s="1" t="s">
        <v>74</v>
      </c>
      <c r="I372" s="1" t="s">
        <v>7817</v>
      </c>
      <c r="J372" s="1" t="s">
        <v>7818</v>
      </c>
      <c r="K372" s="1" t="s">
        <v>74</v>
      </c>
      <c r="L372" s="1" t="s">
        <v>74</v>
      </c>
      <c r="M372" s="1" t="s">
        <v>80</v>
      </c>
      <c r="N372" s="1" t="s">
        <v>136</v>
      </c>
      <c r="O372" s="1" t="s">
        <v>74</v>
      </c>
      <c r="P372" s="1" t="s">
        <v>74</v>
      </c>
      <c r="Q372" s="1" t="s">
        <v>74</v>
      </c>
      <c r="R372" s="1" t="s">
        <v>74</v>
      </c>
      <c r="S372" s="1" t="s">
        <v>74</v>
      </c>
      <c r="T372" s="1" t="s">
        <v>7819</v>
      </c>
      <c r="U372" s="1" t="s">
        <v>7820</v>
      </c>
      <c r="V372" s="1" t="s">
        <v>7821</v>
      </c>
      <c r="W372" s="1" t="s">
        <v>7822</v>
      </c>
      <c r="X372" s="1" t="s">
        <v>7823</v>
      </c>
      <c r="Y372" s="1" t="s">
        <v>7824</v>
      </c>
      <c r="Z372" s="1" t="s">
        <v>7825</v>
      </c>
      <c r="AA372" s="1" t="s">
        <v>74</v>
      </c>
      <c r="AB372" s="1" t="s">
        <v>74</v>
      </c>
      <c r="AC372" s="1" t="s">
        <v>7826</v>
      </c>
      <c r="AD372" s="1" t="s">
        <v>7827</v>
      </c>
      <c r="AE372" s="1" t="s">
        <v>7828</v>
      </c>
      <c r="AF372" s="1" t="s">
        <v>74</v>
      </c>
      <c r="AG372" s="1">
        <v>54.0</v>
      </c>
      <c r="AH372" s="1">
        <v>0.0</v>
      </c>
      <c r="AI372" s="1">
        <v>0.0</v>
      </c>
      <c r="AJ372" s="1">
        <v>0.0</v>
      </c>
      <c r="AK372" s="1">
        <v>0.0</v>
      </c>
      <c r="AL372" s="1" t="s">
        <v>5999</v>
      </c>
      <c r="AM372" s="1" t="s">
        <v>322</v>
      </c>
      <c r="AN372" s="1" t="s">
        <v>6000</v>
      </c>
      <c r="AO372" s="1" t="s">
        <v>7829</v>
      </c>
      <c r="AP372" s="1" t="s">
        <v>7830</v>
      </c>
      <c r="AQ372" s="1" t="s">
        <v>74</v>
      </c>
      <c r="AR372" s="1" t="s">
        <v>7831</v>
      </c>
      <c r="AS372" s="1" t="s">
        <v>7832</v>
      </c>
      <c r="AT372" s="1" t="s">
        <v>74</v>
      </c>
      <c r="AU372" s="1">
        <v>2024.0</v>
      </c>
      <c r="AV372" s="1">
        <v>32.0</v>
      </c>
      <c r="AW372" s="1">
        <v>6.0</v>
      </c>
      <c r="AX372" s="1" t="s">
        <v>74</v>
      </c>
      <c r="AY372" s="1" t="s">
        <v>74</v>
      </c>
      <c r="AZ372" s="1" t="s">
        <v>74</v>
      </c>
      <c r="BA372" s="1" t="s">
        <v>74</v>
      </c>
      <c r="BB372" s="1">
        <v>3801.0</v>
      </c>
      <c r="BC372" s="1">
        <v>3813.0</v>
      </c>
      <c r="BD372" s="1" t="s">
        <v>74</v>
      </c>
      <c r="BE372" s="1" t="s">
        <v>7833</v>
      </c>
      <c r="BF372" s="2" t="str">
        <f>HYPERLINK("http://dx.doi.org/10.3233/THC-232043","http://dx.doi.org/10.3233/THC-232043")</f>
        <v>http://dx.doi.org/10.3233/THC-232043</v>
      </c>
      <c r="BG372" s="1" t="s">
        <v>74</v>
      </c>
      <c r="BH372" s="1" t="s">
        <v>74</v>
      </c>
      <c r="BI372" s="1">
        <v>13.0</v>
      </c>
      <c r="BJ372" s="1" t="s">
        <v>7834</v>
      </c>
      <c r="BK372" s="1" t="s">
        <v>149</v>
      </c>
      <c r="BL372" s="1" t="s">
        <v>7835</v>
      </c>
      <c r="BM372" s="1" t="s">
        <v>7836</v>
      </c>
      <c r="BN372" s="1">
        <v>3.9093085E7</v>
      </c>
      <c r="BO372" s="1" t="s">
        <v>74</v>
      </c>
      <c r="BP372" s="1" t="s">
        <v>74</v>
      </c>
      <c r="BQ372" s="1" t="s">
        <v>74</v>
      </c>
      <c r="BR372" s="1" t="s">
        <v>102</v>
      </c>
      <c r="BS372" s="1" t="s">
        <v>7837</v>
      </c>
      <c r="BT372" s="1" t="str">
        <f>HYPERLINK("https%3A%2F%2Fwww.webofscience.com%2Fwos%2Fwoscc%2Ffull-record%2FWOS:001375449900001","View Full Record in Web of Science")</f>
        <v>View Full Record in Web of Science</v>
      </c>
    </row>
    <row r="373" ht="12.75" customHeight="1">
      <c r="A373" s="1" t="s">
        <v>72</v>
      </c>
      <c r="B373" s="1" t="s">
        <v>7838</v>
      </c>
      <c r="C373" s="1" t="s">
        <v>74</v>
      </c>
      <c r="D373" s="1" t="s">
        <v>7839</v>
      </c>
      <c r="E373" s="1" t="s">
        <v>74</v>
      </c>
      <c r="F373" s="1" t="s">
        <v>7840</v>
      </c>
      <c r="G373" s="1" t="s">
        <v>74</v>
      </c>
      <c r="H373" s="1" t="s">
        <v>74</v>
      </c>
      <c r="I373" s="1" t="s">
        <v>7841</v>
      </c>
      <c r="J373" s="1" t="s">
        <v>7842</v>
      </c>
      <c r="K373" s="1" t="s">
        <v>1464</v>
      </c>
      <c r="L373" s="1" t="s">
        <v>74</v>
      </c>
      <c r="M373" s="1" t="s">
        <v>80</v>
      </c>
      <c r="N373" s="1" t="s">
        <v>81</v>
      </c>
      <c r="O373" s="1" t="s">
        <v>7843</v>
      </c>
      <c r="P373" s="1" t="s">
        <v>7844</v>
      </c>
      <c r="Q373" s="1" t="s">
        <v>3757</v>
      </c>
      <c r="R373" s="1" t="s">
        <v>74</v>
      </c>
      <c r="S373" s="1" t="s">
        <v>74</v>
      </c>
      <c r="T373" s="1" t="s">
        <v>7845</v>
      </c>
      <c r="U373" s="1" t="s">
        <v>7846</v>
      </c>
      <c r="V373" s="1" t="s">
        <v>7847</v>
      </c>
      <c r="W373" s="1" t="s">
        <v>7848</v>
      </c>
      <c r="X373" s="1" t="s">
        <v>7849</v>
      </c>
      <c r="Y373" s="1" t="s">
        <v>7850</v>
      </c>
      <c r="Z373" s="1" t="s">
        <v>7851</v>
      </c>
      <c r="AA373" s="1" t="s">
        <v>74</v>
      </c>
      <c r="AB373" s="1" t="s">
        <v>7852</v>
      </c>
      <c r="AC373" s="1" t="s">
        <v>74</v>
      </c>
      <c r="AD373" s="1" t="s">
        <v>74</v>
      </c>
      <c r="AE373" s="1" t="s">
        <v>74</v>
      </c>
      <c r="AF373" s="1" t="s">
        <v>74</v>
      </c>
      <c r="AG373" s="1">
        <v>70.0</v>
      </c>
      <c r="AH373" s="1">
        <v>0.0</v>
      </c>
      <c r="AI373" s="1">
        <v>0.0</v>
      </c>
      <c r="AJ373" s="1">
        <v>30.0</v>
      </c>
      <c r="AK373" s="1">
        <v>30.0</v>
      </c>
      <c r="AL373" s="1" t="s">
        <v>1477</v>
      </c>
      <c r="AM373" s="1" t="s">
        <v>322</v>
      </c>
      <c r="AN373" s="1" t="s">
        <v>1478</v>
      </c>
      <c r="AO373" s="1" t="s">
        <v>1479</v>
      </c>
      <c r="AP373" s="1" t="s">
        <v>74</v>
      </c>
      <c r="AQ373" s="1" t="s">
        <v>74</v>
      </c>
      <c r="AR373" s="1" t="s">
        <v>1480</v>
      </c>
      <c r="AS373" s="1" t="s">
        <v>74</v>
      </c>
      <c r="AT373" s="1" t="s">
        <v>74</v>
      </c>
      <c r="AU373" s="1">
        <v>2024.0</v>
      </c>
      <c r="AV373" s="1">
        <v>232.0</v>
      </c>
      <c r="AW373" s="1" t="s">
        <v>74</v>
      </c>
      <c r="AX373" s="1" t="s">
        <v>74</v>
      </c>
      <c r="AY373" s="1" t="s">
        <v>74</v>
      </c>
      <c r="AZ373" s="1" t="s">
        <v>74</v>
      </c>
      <c r="BA373" s="1" t="s">
        <v>74</v>
      </c>
      <c r="BB373" s="1">
        <v>3268.0</v>
      </c>
      <c r="BC373" s="1">
        <v>3277.0</v>
      </c>
      <c r="BD373" s="1" t="s">
        <v>74</v>
      </c>
      <c r="BE373" s="1" t="s">
        <v>7853</v>
      </c>
      <c r="BF373" s="2" t="str">
        <f>HYPERLINK("http://dx.doi.org/10.1016/j.procs.2024.02.142","http://dx.doi.org/10.1016/j.procs.2024.02.142")</f>
        <v>http://dx.doi.org/10.1016/j.procs.2024.02.142</v>
      </c>
      <c r="BG373" s="1" t="s">
        <v>74</v>
      </c>
      <c r="BH373" s="1" t="s">
        <v>74</v>
      </c>
      <c r="BI373" s="1">
        <v>10.0</v>
      </c>
      <c r="BJ373" s="1" t="s">
        <v>1483</v>
      </c>
      <c r="BK373" s="1" t="s">
        <v>128</v>
      </c>
      <c r="BL373" s="1" t="s">
        <v>1325</v>
      </c>
      <c r="BM373" s="1" t="s">
        <v>7854</v>
      </c>
      <c r="BN373" s="1" t="s">
        <v>74</v>
      </c>
      <c r="BO373" s="1" t="s">
        <v>174</v>
      </c>
      <c r="BP373" s="1" t="s">
        <v>74</v>
      </c>
      <c r="BQ373" s="1" t="s">
        <v>74</v>
      </c>
      <c r="BR373" s="1" t="s">
        <v>102</v>
      </c>
      <c r="BS373" s="1" t="s">
        <v>7855</v>
      </c>
      <c r="BT373" s="1" t="str">
        <f>HYPERLINK("https%3A%2F%2Fwww.webofscience.com%2Fwos%2Fwoscc%2Ffull-record%2FWOS:001196800603031","View Full Record in Web of Science")</f>
        <v>View Full Record in Web of Science</v>
      </c>
    </row>
    <row r="374" ht="12.75" customHeight="1">
      <c r="A374" s="1" t="s">
        <v>132</v>
      </c>
      <c r="B374" s="1" t="s">
        <v>7856</v>
      </c>
      <c r="C374" s="1" t="s">
        <v>74</v>
      </c>
      <c r="D374" s="1" t="s">
        <v>74</v>
      </c>
      <c r="E374" s="1" t="s">
        <v>74</v>
      </c>
      <c r="F374" s="1" t="s">
        <v>7857</v>
      </c>
      <c r="G374" s="1" t="s">
        <v>74</v>
      </c>
      <c r="H374" s="1" t="s">
        <v>74</v>
      </c>
      <c r="I374" s="1" t="s">
        <v>7858</v>
      </c>
      <c r="J374" s="1" t="s">
        <v>7859</v>
      </c>
      <c r="K374" s="1" t="s">
        <v>74</v>
      </c>
      <c r="L374" s="1" t="s">
        <v>74</v>
      </c>
      <c r="M374" s="1" t="s">
        <v>80</v>
      </c>
      <c r="N374" s="1" t="s">
        <v>338</v>
      </c>
      <c r="O374" s="1" t="s">
        <v>74</v>
      </c>
      <c r="P374" s="1" t="s">
        <v>74</v>
      </c>
      <c r="Q374" s="1" t="s">
        <v>74</v>
      </c>
      <c r="R374" s="1" t="s">
        <v>74</v>
      </c>
      <c r="S374" s="1" t="s">
        <v>74</v>
      </c>
      <c r="T374" s="1" t="s">
        <v>7860</v>
      </c>
      <c r="U374" s="1" t="s">
        <v>7861</v>
      </c>
      <c r="V374" s="1" t="s">
        <v>7862</v>
      </c>
      <c r="W374" s="1" t="s">
        <v>7863</v>
      </c>
      <c r="X374" s="1" t="s">
        <v>7864</v>
      </c>
      <c r="Y374" s="1" t="s">
        <v>7865</v>
      </c>
      <c r="Z374" s="1" t="s">
        <v>7866</v>
      </c>
      <c r="AA374" s="1" t="s">
        <v>74</v>
      </c>
      <c r="AB374" s="1" t="s">
        <v>74</v>
      </c>
      <c r="AC374" s="1" t="s">
        <v>7867</v>
      </c>
      <c r="AD374" s="1" t="s">
        <v>7868</v>
      </c>
      <c r="AE374" s="1" t="s">
        <v>7869</v>
      </c>
      <c r="AF374" s="1" t="s">
        <v>74</v>
      </c>
      <c r="AG374" s="1">
        <v>75.0</v>
      </c>
      <c r="AH374" s="1">
        <v>0.0</v>
      </c>
      <c r="AI374" s="1">
        <v>0.0</v>
      </c>
      <c r="AJ374" s="1">
        <v>24.0</v>
      </c>
      <c r="AK374" s="1">
        <v>24.0</v>
      </c>
      <c r="AL374" s="1" t="s">
        <v>595</v>
      </c>
      <c r="AM374" s="1" t="s">
        <v>467</v>
      </c>
      <c r="AN374" s="1" t="s">
        <v>596</v>
      </c>
      <c r="AO374" s="1" t="s">
        <v>7870</v>
      </c>
      <c r="AP374" s="1" t="s">
        <v>7871</v>
      </c>
      <c r="AQ374" s="1" t="s">
        <v>74</v>
      </c>
      <c r="AR374" s="1" t="s">
        <v>7872</v>
      </c>
      <c r="AS374" s="1" t="s">
        <v>7873</v>
      </c>
      <c r="AT374" s="1" t="s">
        <v>7874</v>
      </c>
      <c r="AU374" s="1">
        <v>2024.0</v>
      </c>
      <c r="AV374" s="1" t="s">
        <v>74</v>
      </c>
      <c r="AW374" s="1" t="s">
        <v>74</v>
      </c>
      <c r="AX374" s="1" t="s">
        <v>74</v>
      </c>
      <c r="AY374" s="1" t="s">
        <v>74</v>
      </c>
      <c r="AZ374" s="1" t="s">
        <v>74</v>
      </c>
      <c r="BA374" s="1" t="s">
        <v>74</v>
      </c>
      <c r="BB374" s="1" t="s">
        <v>74</v>
      </c>
      <c r="BC374" s="1" t="s">
        <v>74</v>
      </c>
      <c r="BD374" s="1" t="s">
        <v>74</v>
      </c>
      <c r="BE374" s="1" t="s">
        <v>7875</v>
      </c>
      <c r="BF374" s="2" t="str">
        <f>HYPERLINK("http://dx.doi.org/10.1080/10494820.2024.2440877","http://dx.doi.org/10.1080/10494820.2024.2440877")</f>
        <v>http://dx.doi.org/10.1080/10494820.2024.2440877</v>
      </c>
      <c r="BG374" s="1" t="s">
        <v>74</v>
      </c>
      <c r="BH374" s="1" t="s">
        <v>2788</v>
      </c>
      <c r="BI374" s="1">
        <v>16.0</v>
      </c>
      <c r="BJ374" s="1" t="s">
        <v>171</v>
      </c>
      <c r="BK374" s="1" t="s">
        <v>203</v>
      </c>
      <c r="BL374" s="1" t="s">
        <v>171</v>
      </c>
      <c r="BM374" s="1" t="s">
        <v>7876</v>
      </c>
      <c r="BN374" s="1" t="s">
        <v>74</v>
      </c>
      <c r="BO374" s="1" t="s">
        <v>74</v>
      </c>
      <c r="BP374" s="1" t="s">
        <v>74</v>
      </c>
      <c r="BQ374" s="1" t="s">
        <v>74</v>
      </c>
      <c r="BR374" s="1" t="s">
        <v>102</v>
      </c>
      <c r="BS374" s="1" t="s">
        <v>7877</v>
      </c>
      <c r="BT374" s="1" t="str">
        <f>HYPERLINK("https%3A%2F%2Fwww.webofscience.com%2Fwos%2Fwoscc%2Ffull-record%2FWOS:001378960100001","View Full Record in Web of Science")</f>
        <v>View Full Record in Web of Science</v>
      </c>
    </row>
    <row r="375" ht="12.75" customHeight="1">
      <c r="A375" s="1" t="s">
        <v>132</v>
      </c>
      <c r="B375" s="1" t="s">
        <v>7878</v>
      </c>
      <c r="C375" s="1" t="s">
        <v>74</v>
      </c>
      <c r="D375" s="1" t="s">
        <v>74</v>
      </c>
      <c r="E375" s="1" t="s">
        <v>74</v>
      </c>
      <c r="F375" s="1" t="s">
        <v>7879</v>
      </c>
      <c r="G375" s="1" t="s">
        <v>74</v>
      </c>
      <c r="H375" s="1" t="s">
        <v>74</v>
      </c>
      <c r="I375" s="1" t="s">
        <v>7880</v>
      </c>
      <c r="J375" s="1" t="s">
        <v>7881</v>
      </c>
      <c r="K375" s="1" t="s">
        <v>74</v>
      </c>
      <c r="L375" s="1" t="s">
        <v>74</v>
      </c>
      <c r="M375" s="1" t="s">
        <v>80</v>
      </c>
      <c r="N375" s="1" t="s">
        <v>1010</v>
      </c>
      <c r="O375" s="1" t="s">
        <v>74</v>
      </c>
      <c r="P375" s="1" t="s">
        <v>74</v>
      </c>
      <c r="Q375" s="1" t="s">
        <v>74</v>
      </c>
      <c r="R375" s="1" t="s">
        <v>74</v>
      </c>
      <c r="S375" s="1" t="s">
        <v>74</v>
      </c>
      <c r="T375" s="1" t="s">
        <v>7882</v>
      </c>
      <c r="U375" s="1" t="s">
        <v>7883</v>
      </c>
      <c r="V375" s="1" t="s">
        <v>7884</v>
      </c>
      <c r="W375" s="1" t="s">
        <v>7885</v>
      </c>
      <c r="X375" s="1" t="s">
        <v>7886</v>
      </c>
      <c r="Y375" s="1" t="s">
        <v>7887</v>
      </c>
      <c r="Z375" s="1" t="s">
        <v>7888</v>
      </c>
      <c r="AA375" s="1" t="s">
        <v>7889</v>
      </c>
      <c r="AB375" s="1" t="s">
        <v>74</v>
      </c>
      <c r="AC375" s="1" t="s">
        <v>7890</v>
      </c>
      <c r="AD375" s="1" t="s">
        <v>7890</v>
      </c>
      <c r="AE375" s="1" t="s">
        <v>7891</v>
      </c>
      <c r="AF375" s="1" t="s">
        <v>74</v>
      </c>
      <c r="AG375" s="1">
        <v>67.0</v>
      </c>
      <c r="AH375" s="1">
        <v>13.0</v>
      </c>
      <c r="AI375" s="1">
        <v>13.0</v>
      </c>
      <c r="AJ375" s="1">
        <v>1.0</v>
      </c>
      <c r="AK375" s="1">
        <v>29.0</v>
      </c>
      <c r="AL375" s="1" t="s">
        <v>1020</v>
      </c>
      <c r="AM375" s="1" t="s">
        <v>1021</v>
      </c>
      <c r="AN375" s="1" t="s">
        <v>1022</v>
      </c>
      <c r="AO375" s="1" t="s">
        <v>7892</v>
      </c>
      <c r="AP375" s="1" t="s">
        <v>7893</v>
      </c>
      <c r="AQ375" s="1" t="s">
        <v>74</v>
      </c>
      <c r="AR375" s="1" t="s">
        <v>7894</v>
      </c>
      <c r="AS375" s="1" t="s">
        <v>7895</v>
      </c>
      <c r="AT375" s="1" t="s">
        <v>1051</v>
      </c>
      <c r="AU375" s="1">
        <v>2020.0</v>
      </c>
      <c r="AV375" s="1">
        <v>20.0</v>
      </c>
      <c r="AW375" s="1">
        <v>6.0</v>
      </c>
      <c r="AX375" s="1" t="s">
        <v>74</v>
      </c>
      <c r="AY375" s="1" t="s">
        <v>74</v>
      </c>
      <c r="AZ375" s="1" t="s">
        <v>74</v>
      </c>
      <c r="BA375" s="1" t="s">
        <v>74</v>
      </c>
      <c r="BB375" s="1">
        <v>565.0</v>
      </c>
      <c r="BC375" s="1">
        <v>573.0</v>
      </c>
      <c r="BD375" s="1" t="s">
        <v>74</v>
      </c>
      <c r="BE375" s="1" t="s">
        <v>7896</v>
      </c>
      <c r="BF375" s="2" t="str">
        <f>HYPERLINK("http://dx.doi.org/10.1097/ACI.0000000000000691","http://dx.doi.org/10.1097/ACI.0000000000000691")</f>
        <v>http://dx.doi.org/10.1097/ACI.0000000000000691</v>
      </c>
      <c r="BG375" s="1" t="s">
        <v>74</v>
      </c>
      <c r="BH375" s="1" t="s">
        <v>74</v>
      </c>
      <c r="BI375" s="1">
        <v>9.0</v>
      </c>
      <c r="BJ375" s="1" t="s">
        <v>7897</v>
      </c>
      <c r="BK375" s="1" t="s">
        <v>149</v>
      </c>
      <c r="BL375" s="1" t="s">
        <v>7897</v>
      </c>
      <c r="BM375" s="1" t="s">
        <v>7898</v>
      </c>
      <c r="BN375" s="1">
        <v>3.3002894E7</v>
      </c>
      <c r="BO375" s="1" t="s">
        <v>4126</v>
      </c>
      <c r="BP375" s="1" t="s">
        <v>74</v>
      </c>
      <c r="BQ375" s="1" t="s">
        <v>74</v>
      </c>
      <c r="BR375" s="1" t="s">
        <v>102</v>
      </c>
      <c r="BS375" s="1" t="s">
        <v>7899</v>
      </c>
      <c r="BT375" s="1" t="str">
        <f>HYPERLINK("https%3A%2F%2Fwww.webofscience.com%2Fwos%2Fwoscc%2Ffull-record%2FWOS:000587796100004","View Full Record in Web of Science")</f>
        <v>View Full Record in Web of Science</v>
      </c>
    </row>
    <row r="376" ht="12.75" customHeight="1">
      <c r="A376" s="1" t="s">
        <v>132</v>
      </c>
      <c r="B376" s="1" t="s">
        <v>7900</v>
      </c>
      <c r="C376" s="1" t="s">
        <v>74</v>
      </c>
      <c r="D376" s="1" t="s">
        <v>74</v>
      </c>
      <c r="E376" s="1" t="s">
        <v>74</v>
      </c>
      <c r="F376" s="1" t="s">
        <v>7901</v>
      </c>
      <c r="G376" s="1" t="s">
        <v>74</v>
      </c>
      <c r="H376" s="1" t="s">
        <v>74</v>
      </c>
      <c r="I376" s="1" t="s">
        <v>7902</v>
      </c>
      <c r="J376" s="1" t="s">
        <v>7903</v>
      </c>
      <c r="K376" s="1" t="s">
        <v>74</v>
      </c>
      <c r="L376" s="1" t="s">
        <v>74</v>
      </c>
      <c r="M376" s="1" t="s">
        <v>80</v>
      </c>
      <c r="N376" s="1" t="s">
        <v>136</v>
      </c>
      <c r="O376" s="1" t="s">
        <v>74</v>
      </c>
      <c r="P376" s="1" t="s">
        <v>74</v>
      </c>
      <c r="Q376" s="1" t="s">
        <v>74</v>
      </c>
      <c r="R376" s="1" t="s">
        <v>74</v>
      </c>
      <c r="S376" s="1" t="s">
        <v>74</v>
      </c>
      <c r="T376" s="1" t="s">
        <v>7904</v>
      </c>
      <c r="U376" s="1" t="s">
        <v>74</v>
      </c>
      <c r="V376" s="1" t="s">
        <v>7905</v>
      </c>
      <c r="W376" s="1" t="s">
        <v>7906</v>
      </c>
      <c r="X376" s="1" t="s">
        <v>7907</v>
      </c>
      <c r="Y376" s="1" t="s">
        <v>7908</v>
      </c>
      <c r="Z376" s="1" t="s">
        <v>7909</v>
      </c>
      <c r="AA376" s="1" t="s">
        <v>7910</v>
      </c>
      <c r="AB376" s="1" t="s">
        <v>7911</v>
      </c>
      <c r="AC376" s="1" t="s">
        <v>74</v>
      </c>
      <c r="AD376" s="1" t="s">
        <v>74</v>
      </c>
      <c r="AE376" s="1" t="s">
        <v>74</v>
      </c>
      <c r="AF376" s="1" t="s">
        <v>74</v>
      </c>
      <c r="AG376" s="1">
        <v>26.0</v>
      </c>
      <c r="AH376" s="1">
        <v>0.0</v>
      </c>
      <c r="AI376" s="1">
        <v>0.0</v>
      </c>
      <c r="AJ376" s="1">
        <v>1.0</v>
      </c>
      <c r="AK376" s="1">
        <v>7.0</v>
      </c>
      <c r="AL376" s="1" t="s">
        <v>7912</v>
      </c>
      <c r="AM376" s="1" t="s">
        <v>7913</v>
      </c>
      <c r="AN376" s="1" t="s">
        <v>7914</v>
      </c>
      <c r="AO376" s="1" t="s">
        <v>7915</v>
      </c>
      <c r="AP376" s="1" t="s">
        <v>7916</v>
      </c>
      <c r="AQ376" s="1" t="s">
        <v>74</v>
      </c>
      <c r="AR376" s="1" t="s">
        <v>7917</v>
      </c>
      <c r="AS376" s="1" t="s">
        <v>7918</v>
      </c>
      <c r="AT376" s="1" t="s">
        <v>74</v>
      </c>
      <c r="AU376" s="1">
        <v>2023.0</v>
      </c>
      <c r="AV376" s="1">
        <v>9.0</v>
      </c>
      <c r="AW376" s="1">
        <v>1.0</v>
      </c>
      <c r="AX376" s="1" t="s">
        <v>74</v>
      </c>
      <c r="AY376" s="1" t="s">
        <v>74</v>
      </c>
      <c r="AZ376" s="1" t="s">
        <v>74</v>
      </c>
      <c r="BA376" s="1" t="s">
        <v>74</v>
      </c>
      <c r="BB376" s="1">
        <v>61.0</v>
      </c>
      <c r="BC376" s="1">
        <v>70.0</v>
      </c>
      <c r="BD376" s="1" t="s">
        <v>74</v>
      </c>
      <c r="BE376" s="1" t="s">
        <v>7919</v>
      </c>
      <c r="BF376" s="2" t="str">
        <f>HYPERLINK("http://dx.doi.org/10.30525/2256-0742/2023-9-1-61-70","http://dx.doi.org/10.30525/2256-0742/2023-9-1-61-70")</f>
        <v>http://dx.doi.org/10.30525/2256-0742/2023-9-1-61-70</v>
      </c>
      <c r="BG376" s="1" t="s">
        <v>74</v>
      </c>
      <c r="BH376" s="1" t="s">
        <v>74</v>
      </c>
      <c r="BI376" s="1">
        <v>10.0</v>
      </c>
      <c r="BJ376" s="1" t="s">
        <v>202</v>
      </c>
      <c r="BK376" s="1" t="s">
        <v>172</v>
      </c>
      <c r="BL376" s="1" t="s">
        <v>204</v>
      </c>
      <c r="BM376" s="1" t="s">
        <v>7920</v>
      </c>
      <c r="BN376" s="1" t="s">
        <v>74</v>
      </c>
      <c r="BO376" s="1" t="s">
        <v>174</v>
      </c>
      <c r="BP376" s="1" t="s">
        <v>74</v>
      </c>
      <c r="BQ376" s="1" t="s">
        <v>74</v>
      </c>
      <c r="BR376" s="1" t="s">
        <v>102</v>
      </c>
      <c r="BS376" s="1" t="s">
        <v>7921</v>
      </c>
      <c r="BT376" s="1" t="str">
        <f>HYPERLINK("https%3A%2F%2Fwww.webofscience.com%2Fwos%2Fwoscc%2Ffull-record%2FWOS:001038040300008","View Full Record in Web of Science")</f>
        <v>View Full Record in Web of Science</v>
      </c>
    </row>
    <row r="377" ht="12.75" customHeight="1">
      <c r="A377" s="1" t="s">
        <v>132</v>
      </c>
      <c r="B377" s="1" t="s">
        <v>7922</v>
      </c>
      <c r="C377" s="1" t="s">
        <v>74</v>
      </c>
      <c r="D377" s="1" t="s">
        <v>74</v>
      </c>
      <c r="E377" s="1" t="s">
        <v>74</v>
      </c>
      <c r="F377" s="1" t="s">
        <v>7923</v>
      </c>
      <c r="G377" s="1" t="s">
        <v>74</v>
      </c>
      <c r="H377" s="1" t="s">
        <v>74</v>
      </c>
      <c r="I377" s="1" t="s">
        <v>7924</v>
      </c>
      <c r="J377" s="1" t="s">
        <v>7925</v>
      </c>
      <c r="K377" s="1" t="s">
        <v>74</v>
      </c>
      <c r="L377" s="1" t="s">
        <v>74</v>
      </c>
      <c r="M377" s="1" t="s">
        <v>80</v>
      </c>
      <c r="N377" s="1" t="s">
        <v>136</v>
      </c>
      <c r="O377" s="1" t="s">
        <v>74</v>
      </c>
      <c r="P377" s="1" t="s">
        <v>74</v>
      </c>
      <c r="Q377" s="1" t="s">
        <v>74</v>
      </c>
      <c r="R377" s="1" t="s">
        <v>74</v>
      </c>
      <c r="S377" s="1" t="s">
        <v>74</v>
      </c>
      <c r="T377" s="1" t="s">
        <v>7926</v>
      </c>
      <c r="U377" s="1" t="s">
        <v>7927</v>
      </c>
      <c r="V377" s="1" t="s">
        <v>7928</v>
      </c>
      <c r="W377" s="1" t="s">
        <v>7929</v>
      </c>
      <c r="X377" s="1" t="s">
        <v>7930</v>
      </c>
      <c r="Y377" s="1" t="s">
        <v>7931</v>
      </c>
      <c r="Z377" s="1" t="s">
        <v>7932</v>
      </c>
      <c r="AA377" s="1" t="s">
        <v>7933</v>
      </c>
      <c r="AB377" s="1" t="s">
        <v>7934</v>
      </c>
      <c r="AC377" s="1" t="s">
        <v>7935</v>
      </c>
      <c r="AD377" s="1" t="s">
        <v>7936</v>
      </c>
      <c r="AE377" s="1" t="s">
        <v>7937</v>
      </c>
      <c r="AF377" s="1" t="s">
        <v>74</v>
      </c>
      <c r="AG377" s="1">
        <v>45.0</v>
      </c>
      <c r="AH377" s="1">
        <v>8.0</v>
      </c>
      <c r="AI377" s="1">
        <v>8.0</v>
      </c>
      <c r="AJ377" s="1">
        <v>1.0</v>
      </c>
      <c r="AK377" s="1">
        <v>16.0</v>
      </c>
      <c r="AL377" s="1" t="s">
        <v>192</v>
      </c>
      <c r="AM377" s="1" t="s">
        <v>193</v>
      </c>
      <c r="AN377" s="1" t="s">
        <v>194</v>
      </c>
      <c r="AO377" s="1" t="s">
        <v>7938</v>
      </c>
      <c r="AP377" s="1" t="s">
        <v>74</v>
      </c>
      <c r="AQ377" s="1" t="s">
        <v>74</v>
      </c>
      <c r="AR377" s="1" t="s">
        <v>7939</v>
      </c>
      <c r="AS377" s="1" t="s">
        <v>7940</v>
      </c>
      <c r="AT377" s="1" t="s">
        <v>7941</v>
      </c>
      <c r="AU377" s="1">
        <v>2022.0</v>
      </c>
      <c r="AV377" s="1">
        <v>13.0</v>
      </c>
      <c r="AW377" s="1">
        <v>1.0</v>
      </c>
      <c r="AX377" s="1" t="s">
        <v>74</v>
      </c>
      <c r="AY377" s="1" t="s">
        <v>74</v>
      </c>
      <c r="AZ377" s="1" t="s">
        <v>74</v>
      </c>
      <c r="BA377" s="1" t="s">
        <v>74</v>
      </c>
      <c r="BB377" s="1" t="s">
        <v>74</v>
      </c>
      <c r="BC377" s="1" t="s">
        <v>74</v>
      </c>
      <c r="BD377" s="1">
        <v>89.0</v>
      </c>
      <c r="BE377" s="1" t="s">
        <v>7942</v>
      </c>
      <c r="BF377" s="2" t="str">
        <f>HYPERLINK("http://dx.doi.org/10.1186/s13244-022-01220-9","http://dx.doi.org/10.1186/s13244-022-01220-9")</f>
        <v>http://dx.doi.org/10.1186/s13244-022-01220-9</v>
      </c>
      <c r="BG377" s="1" t="s">
        <v>74</v>
      </c>
      <c r="BH377" s="1" t="s">
        <v>74</v>
      </c>
      <c r="BI377" s="1">
        <v>11.0</v>
      </c>
      <c r="BJ377" s="1" t="s">
        <v>656</v>
      </c>
      <c r="BK377" s="1" t="s">
        <v>149</v>
      </c>
      <c r="BL377" s="1" t="s">
        <v>656</v>
      </c>
      <c r="BM377" s="1" t="s">
        <v>7943</v>
      </c>
      <c r="BN377" s="1">
        <v>3.5536446E7</v>
      </c>
      <c r="BO377" s="1" t="s">
        <v>1161</v>
      </c>
      <c r="BP377" s="1" t="s">
        <v>74</v>
      </c>
      <c r="BQ377" s="1" t="s">
        <v>74</v>
      </c>
      <c r="BR377" s="1" t="s">
        <v>102</v>
      </c>
      <c r="BS377" s="1" t="s">
        <v>7944</v>
      </c>
      <c r="BT377" s="1" t="str">
        <f>HYPERLINK("https%3A%2F%2Fwww.webofscience.com%2Fwos%2Fwoscc%2Ffull-record%2FWOS:000793164700003","View Full Record in Web of Science")</f>
        <v>View Full Record in Web of Science</v>
      </c>
    </row>
    <row r="378" ht="12.75" customHeight="1">
      <c r="A378" s="1" t="s">
        <v>132</v>
      </c>
      <c r="B378" s="1" t="s">
        <v>7945</v>
      </c>
      <c r="C378" s="1" t="s">
        <v>74</v>
      </c>
      <c r="D378" s="1" t="s">
        <v>74</v>
      </c>
      <c r="E378" s="1" t="s">
        <v>74</v>
      </c>
      <c r="F378" s="1" t="s">
        <v>7946</v>
      </c>
      <c r="G378" s="1" t="s">
        <v>74</v>
      </c>
      <c r="H378" s="1" t="s">
        <v>74</v>
      </c>
      <c r="I378" s="1" t="s">
        <v>7947</v>
      </c>
      <c r="J378" s="1" t="s">
        <v>4035</v>
      </c>
      <c r="K378" s="1" t="s">
        <v>74</v>
      </c>
      <c r="L378" s="1" t="s">
        <v>74</v>
      </c>
      <c r="M378" s="1" t="s">
        <v>80</v>
      </c>
      <c r="N378" s="1" t="s">
        <v>1010</v>
      </c>
      <c r="O378" s="1" t="s">
        <v>74</v>
      </c>
      <c r="P378" s="1" t="s">
        <v>74</v>
      </c>
      <c r="Q378" s="1" t="s">
        <v>74</v>
      </c>
      <c r="R378" s="1" t="s">
        <v>74</v>
      </c>
      <c r="S378" s="1" t="s">
        <v>74</v>
      </c>
      <c r="T378" s="1" t="s">
        <v>7948</v>
      </c>
      <c r="U378" s="1" t="s">
        <v>7949</v>
      </c>
      <c r="V378" s="1" t="s">
        <v>7950</v>
      </c>
      <c r="W378" s="1" t="s">
        <v>7951</v>
      </c>
      <c r="X378" s="1" t="s">
        <v>74</v>
      </c>
      <c r="Y378" s="1" t="s">
        <v>4040</v>
      </c>
      <c r="Z378" s="1" t="s">
        <v>4041</v>
      </c>
      <c r="AA378" s="1" t="s">
        <v>7952</v>
      </c>
      <c r="AB378" s="1" t="s">
        <v>7953</v>
      </c>
      <c r="AC378" s="1" t="s">
        <v>7954</v>
      </c>
      <c r="AD378" s="1" t="s">
        <v>7954</v>
      </c>
      <c r="AE378" s="1" t="s">
        <v>7955</v>
      </c>
      <c r="AF378" s="1" t="s">
        <v>74</v>
      </c>
      <c r="AG378" s="1">
        <v>80.0</v>
      </c>
      <c r="AH378" s="1">
        <v>19.0</v>
      </c>
      <c r="AI378" s="1">
        <v>19.0</v>
      </c>
      <c r="AJ378" s="1">
        <v>32.0</v>
      </c>
      <c r="AK378" s="1">
        <v>187.0</v>
      </c>
      <c r="AL378" s="1" t="s">
        <v>275</v>
      </c>
      <c r="AM378" s="1" t="s">
        <v>276</v>
      </c>
      <c r="AN378" s="1" t="s">
        <v>277</v>
      </c>
      <c r="AO378" s="1" t="s">
        <v>4044</v>
      </c>
      <c r="AP378" s="1" t="s">
        <v>74</v>
      </c>
      <c r="AQ378" s="1" t="s">
        <v>74</v>
      </c>
      <c r="AR378" s="1" t="s">
        <v>4045</v>
      </c>
      <c r="AS378" s="1" t="s">
        <v>4046</v>
      </c>
      <c r="AT378" s="1" t="s">
        <v>7956</v>
      </c>
      <c r="AU378" s="1">
        <v>2021.0</v>
      </c>
      <c r="AV378" s="1">
        <v>12.0</v>
      </c>
      <c r="AW378" s="1" t="s">
        <v>74</v>
      </c>
      <c r="AX378" s="1" t="s">
        <v>74</v>
      </c>
      <c r="AY378" s="1" t="s">
        <v>74</v>
      </c>
      <c r="AZ378" s="1" t="s">
        <v>74</v>
      </c>
      <c r="BA378" s="1" t="s">
        <v>74</v>
      </c>
      <c r="BB378" s="1" t="s">
        <v>74</v>
      </c>
      <c r="BC378" s="1" t="s">
        <v>74</v>
      </c>
      <c r="BD378" s="1">
        <v>686624.0</v>
      </c>
      <c r="BE378" s="1" t="s">
        <v>7957</v>
      </c>
      <c r="BF378" s="2" t="str">
        <f>HYPERLINK("http://dx.doi.org/10.3389/fpsyg.2021.686624","http://dx.doi.org/10.3389/fpsyg.2021.686624")</f>
        <v>http://dx.doi.org/10.3389/fpsyg.2021.686624</v>
      </c>
      <c r="BG378" s="1" t="s">
        <v>74</v>
      </c>
      <c r="BH378" s="1" t="s">
        <v>74</v>
      </c>
      <c r="BI378" s="1">
        <v>15.0</v>
      </c>
      <c r="BJ378" s="1" t="s">
        <v>3260</v>
      </c>
      <c r="BK378" s="1" t="s">
        <v>203</v>
      </c>
      <c r="BL378" s="1" t="s">
        <v>3261</v>
      </c>
      <c r="BM378" s="1" t="s">
        <v>7958</v>
      </c>
      <c r="BN378" s="1">
        <v>3.4305744E7</v>
      </c>
      <c r="BO378" s="1" t="s">
        <v>1161</v>
      </c>
      <c r="BP378" s="1" t="s">
        <v>74</v>
      </c>
      <c r="BQ378" s="1" t="s">
        <v>74</v>
      </c>
      <c r="BR378" s="1" t="s">
        <v>102</v>
      </c>
      <c r="BS378" s="1" t="s">
        <v>7959</v>
      </c>
      <c r="BT378" s="1" t="str">
        <f>HYPERLINK("https%3A%2F%2Fwww.webofscience.com%2Fwos%2Fwoscc%2Ffull-record%2FWOS:000675377200001","View Full Record in Web of Science")</f>
        <v>View Full Record in Web of Science</v>
      </c>
    </row>
    <row r="379" ht="12.75" customHeight="1">
      <c r="A379" s="1" t="s">
        <v>132</v>
      </c>
      <c r="B379" s="1" t="s">
        <v>7960</v>
      </c>
      <c r="C379" s="1" t="s">
        <v>74</v>
      </c>
      <c r="D379" s="1" t="s">
        <v>74</v>
      </c>
      <c r="E379" s="1" t="s">
        <v>74</v>
      </c>
      <c r="F379" s="1" t="s">
        <v>7961</v>
      </c>
      <c r="G379" s="1" t="s">
        <v>74</v>
      </c>
      <c r="H379" s="1" t="s">
        <v>74</v>
      </c>
      <c r="I379" s="1" t="s">
        <v>7962</v>
      </c>
      <c r="J379" s="1" t="s">
        <v>7963</v>
      </c>
      <c r="K379" s="1" t="s">
        <v>74</v>
      </c>
      <c r="L379" s="1" t="s">
        <v>74</v>
      </c>
      <c r="M379" s="1" t="s">
        <v>80</v>
      </c>
      <c r="N379" s="1" t="s">
        <v>136</v>
      </c>
      <c r="O379" s="1" t="s">
        <v>74</v>
      </c>
      <c r="P379" s="1" t="s">
        <v>74</v>
      </c>
      <c r="Q379" s="1" t="s">
        <v>74</v>
      </c>
      <c r="R379" s="1" t="s">
        <v>74</v>
      </c>
      <c r="S379" s="1" t="s">
        <v>74</v>
      </c>
      <c r="T379" s="1" t="s">
        <v>7964</v>
      </c>
      <c r="U379" s="1" t="s">
        <v>74</v>
      </c>
      <c r="V379" s="1" t="s">
        <v>7965</v>
      </c>
      <c r="W379" s="1" t="s">
        <v>7966</v>
      </c>
      <c r="X379" s="1" t="s">
        <v>7967</v>
      </c>
      <c r="Y379" s="1" t="s">
        <v>7968</v>
      </c>
      <c r="Z379" s="1" t="s">
        <v>7969</v>
      </c>
      <c r="AA379" s="1" t="s">
        <v>74</v>
      </c>
      <c r="AB379" s="1" t="s">
        <v>74</v>
      </c>
      <c r="AC379" s="1" t="s">
        <v>74</v>
      </c>
      <c r="AD379" s="1" t="s">
        <v>74</v>
      </c>
      <c r="AE379" s="1" t="s">
        <v>74</v>
      </c>
      <c r="AF379" s="1" t="s">
        <v>74</v>
      </c>
      <c r="AG379" s="1">
        <v>4.0</v>
      </c>
      <c r="AH379" s="1">
        <v>1.0</v>
      </c>
      <c r="AI379" s="1">
        <v>1.0</v>
      </c>
      <c r="AJ379" s="1">
        <v>27.0</v>
      </c>
      <c r="AK379" s="1">
        <v>33.0</v>
      </c>
      <c r="AL379" s="1" t="s">
        <v>7970</v>
      </c>
      <c r="AM379" s="1" t="s">
        <v>7971</v>
      </c>
      <c r="AN379" s="1" t="s">
        <v>7972</v>
      </c>
      <c r="AO379" s="1" t="s">
        <v>7973</v>
      </c>
      <c r="AP379" s="1" t="s">
        <v>7974</v>
      </c>
      <c r="AQ379" s="1" t="s">
        <v>74</v>
      </c>
      <c r="AR379" s="1" t="s">
        <v>7975</v>
      </c>
      <c r="AS379" s="1" t="s">
        <v>7976</v>
      </c>
      <c r="AT379" s="1" t="s">
        <v>1027</v>
      </c>
      <c r="AU379" s="1">
        <v>2024.0</v>
      </c>
      <c r="AV379" s="1">
        <v>13.0</v>
      </c>
      <c r="AW379" s="1">
        <v>1.0</v>
      </c>
      <c r="AX379" s="1" t="s">
        <v>74</v>
      </c>
      <c r="AY379" s="1" t="s">
        <v>74</v>
      </c>
      <c r="AZ379" s="1" t="s">
        <v>74</v>
      </c>
      <c r="BA379" s="1" t="s">
        <v>74</v>
      </c>
      <c r="BB379" s="1">
        <v>35.0</v>
      </c>
      <c r="BC379" s="1">
        <v>42.0</v>
      </c>
      <c r="BD379" s="1" t="s">
        <v>74</v>
      </c>
      <c r="BE379" s="1" t="s">
        <v>7977</v>
      </c>
      <c r="BF379" s="2" t="str">
        <f>HYPERLINK("http://dx.doi.org/10.14622/JPMTR-2401","http://dx.doi.org/10.14622/JPMTR-2401")</f>
        <v>http://dx.doi.org/10.14622/JPMTR-2401</v>
      </c>
      <c r="BG379" s="1" t="s">
        <v>74</v>
      </c>
      <c r="BH379" s="1" t="s">
        <v>74</v>
      </c>
      <c r="BI379" s="1">
        <v>8.0</v>
      </c>
      <c r="BJ379" s="1" t="s">
        <v>7978</v>
      </c>
      <c r="BK379" s="1" t="s">
        <v>172</v>
      </c>
      <c r="BL379" s="1" t="s">
        <v>7978</v>
      </c>
      <c r="BM379" s="1" t="s">
        <v>7979</v>
      </c>
      <c r="BN379" s="1" t="s">
        <v>74</v>
      </c>
      <c r="BO379" s="1" t="s">
        <v>74</v>
      </c>
      <c r="BP379" s="1" t="s">
        <v>74</v>
      </c>
      <c r="BQ379" s="1" t="s">
        <v>74</v>
      </c>
      <c r="BR379" s="1" t="s">
        <v>102</v>
      </c>
      <c r="BS379" s="1" t="s">
        <v>7980</v>
      </c>
      <c r="BT379" s="1" t="str">
        <f>HYPERLINK("https%3A%2F%2Fwww.webofscience.com%2Fwos%2Fwoscc%2Ffull-record%2FWOS:001250086400003","View Full Record in Web of Science")</f>
        <v>View Full Record in Web of Science</v>
      </c>
    </row>
    <row r="380" ht="12.75" customHeight="1">
      <c r="A380" s="1" t="s">
        <v>132</v>
      </c>
      <c r="B380" s="1" t="s">
        <v>7981</v>
      </c>
      <c r="C380" s="1" t="s">
        <v>74</v>
      </c>
      <c r="D380" s="1" t="s">
        <v>74</v>
      </c>
      <c r="E380" s="1" t="s">
        <v>74</v>
      </c>
      <c r="F380" s="1" t="s">
        <v>7982</v>
      </c>
      <c r="G380" s="1" t="s">
        <v>74</v>
      </c>
      <c r="H380" s="1" t="s">
        <v>74</v>
      </c>
      <c r="I380" s="1" t="s">
        <v>7983</v>
      </c>
      <c r="J380" s="1" t="s">
        <v>7984</v>
      </c>
      <c r="K380" s="1" t="s">
        <v>74</v>
      </c>
      <c r="L380" s="1" t="s">
        <v>74</v>
      </c>
      <c r="M380" s="1" t="s">
        <v>80</v>
      </c>
      <c r="N380" s="1" t="s">
        <v>136</v>
      </c>
      <c r="O380" s="1" t="s">
        <v>74</v>
      </c>
      <c r="P380" s="1" t="s">
        <v>74</v>
      </c>
      <c r="Q380" s="1" t="s">
        <v>74</v>
      </c>
      <c r="R380" s="1" t="s">
        <v>74</v>
      </c>
      <c r="S380" s="1" t="s">
        <v>74</v>
      </c>
      <c r="T380" s="1" t="s">
        <v>7985</v>
      </c>
      <c r="U380" s="1" t="s">
        <v>74</v>
      </c>
      <c r="V380" s="1" t="s">
        <v>7986</v>
      </c>
      <c r="W380" s="1" t="s">
        <v>7987</v>
      </c>
      <c r="X380" s="1" t="s">
        <v>7988</v>
      </c>
      <c r="Y380" s="1" t="s">
        <v>7989</v>
      </c>
      <c r="Z380" s="1" t="s">
        <v>7990</v>
      </c>
      <c r="AA380" s="1" t="s">
        <v>7991</v>
      </c>
      <c r="AB380" s="1" t="s">
        <v>7992</v>
      </c>
      <c r="AC380" s="1" t="s">
        <v>74</v>
      </c>
      <c r="AD380" s="1" t="s">
        <v>74</v>
      </c>
      <c r="AE380" s="1" t="s">
        <v>74</v>
      </c>
      <c r="AF380" s="1" t="s">
        <v>74</v>
      </c>
      <c r="AG380" s="1">
        <v>20.0</v>
      </c>
      <c r="AH380" s="1">
        <v>0.0</v>
      </c>
      <c r="AI380" s="1">
        <v>0.0</v>
      </c>
      <c r="AJ380" s="1">
        <v>0.0</v>
      </c>
      <c r="AK380" s="1">
        <v>0.0</v>
      </c>
      <c r="AL380" s="1" t="s">
        <v>296</v>
      </c>
      <c r="AM380" s="1" t="s">
        <v>297</v>
      </c>
      <c r="AN380" s="1" t="s">
        <v>298</v>
      </c>
      <c r="AO380" s="1" t="s">
        <v>7993</v>
      </c>
      <c r="AP380" s="1" t="s">
        <v>7994</v>
      </c>
      <c r="AQ380" s="1" t="s">
        <v>74</v>
      </c>
      <c r="AR380" s="1" t="s">
        <v>7995</v>
      </c>
      <c r="AS380" s="1" t="s">
        <v>7996</v>
      </c>
      <c r="AT380" s="1" t="s">
        <v>1709</v>
      </c>
      <c r="AU380" s="1">
        <v>2024.0</v>
      </c>
      <c r="AV380" s="1">
        <v>28.0</v>
      </c>
      <c r="AW380" s="1">
        <v>5.0</v>
      </c>
      <c r="AX380" s="1" t="s">
        <v>74</v>
      </c>
      <c r="AY380" s="1" t="s">
        <v>74</v>
      </c>
      <c r="AZ380" s="1" t="s">
        <v>74</v>
      </c>
      <c r="BA380" s="1" t="s">
        <v>74</v>
      </c>
      <c r="BB380" s="1">
        <v>37.0</v>
      </c>
      <c r="BC380" s="1">
        <v>45.0</v>
      </c>
      <c r="BD380" s="1" t="s">
        <v>74</v>
      </c>
      <c r="BE380" s="1" t="s">
        <v>7997</v>
      </c>
      <c r="BF380" s="2" t="str">
        <f>HYPERLINK("http://dx.doi.org/10.1109/MIC.2024.3451351","http://dx.doi.org/10.1109/MIC.2024.3451351")</f>
        <v>http://dx.doi.org/10.1109/MIC.2024.3451351</v>
      </c>
      <c r="BG380" s="1" t="s">
        <v>74</v>
      </c>
      <c r="BH380" s="1" t="s">
        <v>74</v>
      </c>
      <c r="BI380" s="1">
        <v>9.0</v>
      </c>
      <c r="BJ380" s="1" t="s">
        <v>7998</v>
      </c>
      <c r="BK380" s="1" t="s">
        <v>149</v>
      </c>
      <c r="BL380" s="1" t="s">
        <v>232</v>
      </c>
      <c r="BM380" s="1" t="s">
        <v>7999</v>
      </c>
      <c r="BN380" s="1" t="s">
        <v>74</v>
      </c>
      <c r="BO380" s="1" t="s">
        <v>74</v>
      </c>
      <c r="BP380" s="1" t="s">
        <v>74</v>
      </c>
      <c r="BQ380" s="1" t="s">
        <v>74</v>
      </c>
      <c r="BR380" s="1" t="s">
        <v>102</v>
      </c>
      <c r="BS380" s="1" t="s">
        <v>8000</v>
      </c>
      <c r="BT380" s="1" t="str">
        <f>HYPERLINK("https%3A%2F%2Fwww.webofscience.com%2Fwos%2Fwoscc%2Ffull-record%2FWOS:001373822100002","View Full Record in Web of Science")</f>
        <v>View Full Record in Web of Science</v>
      </c>
    </row>
    <row r="381" ht="12.75" customHeight="1">
      <c r="A381" s="1" t="s">
        <v>132</v>
      </c>
      <c r="B381" s="1" t="s">
        <v>8001</v>
      </c>
      <c r="C381" s="1" t="s">
        <v>74</v>
      </c>
      <c r="D381" s="1" t="s">
        <v>74</v>
      </c>
      <c r="E381" s="1" t="s">
        <v>74</v>
      </c>
      <c r="F381" s="1" t="s">
        <v>8002</v>
      </c>
      <c r="G381" s="1" t="s">
        <v>74</v>
      </c>
      <c r="H381" s="1" t="s">
        <v>74</v>
      </c>
      <c r="I381" s="1" t="s">
        <v>8003</v>
      </c>
      <c r="J381" s="1" t="s">
        <v>8004</v>
      </c>
      <c r="K381" s="1" t="s">
        <v>74</v>
      </c>
      <c r="L381" s="1" t="s">
        <v>74</v>
      </c>
      <c r="M381" s="1" t="s">
        <v>80</v>
      </c>
      <c r="N381" s="1" t="s">
        <v>136</v>
      </c>
      <c r="O381" s="1" t="s">
        <v>74</v>
      </c>
      <c r="P381" s="1" t="s">
        <v>74</v>
      </c>
      <c r="Q381" s="1" t="s">
        <v>74</v>
      </c>
      <c r="R381" s="1" t="s">
        <v>74</v>
      </c>
      <c r="S381" s="1" t="s">
        <v>74</v>
      </c>
      <c r="T381" s="1" t="s">
        <v>8005</v>
      </c>
      <c r="U381" s="1" t="s">
        <v>8006</v>
      </c>
      <c r="V381" s="1" t="s">
        <v>8007</v>
      </c>
      <c r="W381" s="1" t="s">
        <v>8008</v>
      </c>
      <c r="X381" s="1" t="s">
        <v>8009</v>
      </c>
      <c r="Y381" s="1" t="s">
        <v>8010</v>
      </c>
      <c r="Z381" s="1" t="s">
        <v>8011</v>
      </c>
      <c r="AA381" s="1" t="s">
        <v>8012</v>
      </c>
      <c r="AB381" s="1" t="s">
        <v>8013</v>
      </c>
      <c r="AC381" s="1" t="s">
        <v>74</v>
      </c>
      <c r="AD381" s="1" t="s">
        <v>74</v>
      </c>
      <c r="AE381" s="1" t="s">
        <v>74</v>
      </c>
      <c r="AF381" s="1" t="s">
        <v>74</v>
      </c>
      <c r="AG381" s="1">
        <v>119.0</v>
      </c>
      <c r="AH381" s="1">
        <v>5.0</v>
      </c>
      <c r="AI381" s="1">
        <v>5.0</v>
      </c>
      <c r="AJ381" s="1">
        <v>30.0</v>
      </c>
      <c r="AK381" s="1">
        <v>52.0</v>
      </c>
      <c r="AL381" s="1" t="s">
        <v>1970</v>
      </c>
      <c r="AM381" s="1" t="s">
        <v>1658</v>
      </c>
      <c r="AN381" s="1" t="s">
        <v>1971</v>
      </c>
      <c r="AO381" s="1" t="s">
        <v>8014</v>
      </c>
      <c r="AP381" s="1" t="s">
        <v>74</v>
      </c>
      <c r="AQ381" s="1" t="s">
        <v>74</v>
      </c>
      <c r="AR381" s="1" t="s">
        <v>8015</v>
      </c>
      <c r="AS381" s="1" t="s">
        <v>8016</v>
      </c>
      <c r="AT381" s="1" t="s">
        <v>1709</v>
      </c>
      <c r="AU381" s="1">
        <v>2023.0</v>
      </c>
      <c r="AV381" s="1">
        <v>11.0</v>
      </c>
      <c r="AW381" s="1">
        <v>3.0</v>
      </c>
      <c r="AX381" s="1" t="s">
        <v>74</v>
      </c>
      <c r="AY381" s="1" t="s">
        <v>74</v>
      </c>
      <c r="AZ381" s="1" t="s">
        <v>74</v>
      </c>
      <c r="BA381" s="1" t="s">
        <v>74</v>
      </c>
      <c r="BB381" s="1" t="s">
        <v>74</v>
      </c>
      <c r="BC381" s="1" t="s">
        <v>74</v>
      </c>
      <c r="BD381" s="1">
        <v>115.0</v>
      </c>
      <c r="BE381" s="1" t="s">
        <v>8017</v>
      </c>
      <c r="BF381" s="2" t="str">
        <f>HYPERLINK("http://dx.doi.org/10.3390/ijfs11030115","http://dx.doi.org/10.3390/ijfs11030115")</f>
        <v>http://dx.doi.org/10.3390/ijfs11030115</v>
      </c>
      <c r="BG381" s="1" t="s">
        <v>74</v>
      </c>
      <c r="BH381" s="1" t="s">
        <v>74</v>
      </c>
      <c r="BI381" s="1">
        <v>25.0</v>
      </c>
      <c r="BJ381" s="1" t="s">
        <v>3350</v>
      </c>
      <c r="BK381" s="1" t="s">
        <v>172</v>
      </c>
      <c r="BL381" s="1" t="s">
        <v>204</v>
      </c>
      <c r="BM381" s="1" t="s">
        <v>8018</v>
      </c>
      <c r="BN381" s="1" t="s">
        <v>74</v>
      </c>
      <c r="BO381" s="1" t="s">
        <v>174</v>
      </c>
      <c r="BP381" s="1" t="s">
        <v>74</v>
      </c>
      <c r="BQ381" s="1" t="s">
        <v>74</v>
      </c>
      <c r="BR381" s="1" t="s">
        <v>102</v>
      </c>
      <c r="BS381" s="1" t="s">
        <v>8019</v>
      </c>
      <c r="BT381" s="1" t="str">
        <f>HYPERLINK("https%3A%2F%2Fwww.webofscience.com%2Fwos%2Fwoscc%2Ffull-record%2FWOS:001145275200001","View Full Record in Web of Science")</f>
        <v>View Full Record in Web of Science</v>
      </c>
    </row>
    <row r="382" ht="12.75" customHeight="1">
      <c r="A382" s="1" t="s">
        <v>132</v>
      </c>
      <c r="B382" s="1" t="s">
        <v>8020</v>
      </c>
      <c r="C382" s="1" t="s">
        <v>74</v>
      </c>
      <c r="D382" s="1" t="s">
        <v>74</v>
      </c>
      <c r="E382" s="1" t="s">
        <v>74</v>
      </c>
      <c r="F382" s="1" t="s">
        <v>8021</v>
      </c>
      <c r="G382" s="1" t="s">
        <v>74</v>
      </c>
      <c r="H382" s="1" t="s">
        <v>74</v>
      </c>
      <c r="I382" s="1" t="s">
        <v>8022</v>
      </c>
      <c r="J382" s="1" t="s">
        <v>8023</v>
      </c>
      <c r="K382" s="1" t="s">
        <v>74</v>
      </c>
      <c r="L382" s="1" t="s">
        <v>74</v>
      </c>
      <c r="M382" s="1" t="s">
        <v>80</v>
      </c>
      <c r="N382" s="1" t="s">
        <v>136</v>
      </c>
      <c r="O382" s="1" t="s">
        <v>74</v>
      </c>
      <c r="P382" s="1" t="s">
        <v>74</v>
      </c>
      <c r="Q382" s="1" t="s">
        <v>74</v>
      </c>
      <c r="R382" s="1" t="s">
        <v>74</v>
      </c>
      <c r="S382" s="1" t="s">
        <v>74</v>
      </c>
      <c r="T382" s="1" t="s">
        <v>8024</v>
      </c>
      <c r="U382" s="1" t="s">
        <v>8025</v>
      </c>
      <c r="V382" s="1" t="s">
        <v>8026</v>
      </c>
      <c r="W382" s="1" t="s">
        <v>8027</v>
      </c>
      <c r="X382" s="1" t="s">
        <v>8028</v>
      </c>
      <c r="Y382" s="1" t="s">
        <v>8029</v>
      </c>
      <c r="Z382" s="1" t="s">
        <v>8030</v>
      </c>
      <c r="AA382" s="1" t="s">
        <v>74</v>
      </c>
      <c r="AB382" s="1" t="s">
        <v>74</v>
      </c>
      <c r="AC382" s="1" t="s">
        <v>74</v>
      </c>
      <c r="AD382" s="1" t="s">
        <v>74</v>
      </c>
      <c r="AE382" s="1" t="s">
        <v>74</v>
      </c>
      <c r="AF382" s="1" t="s">
        <v>74</v>
      </c>
      <c r="AG382" s="1">
        <v>42.0</v>
      </c>
      <c r="AH382" s="1">
        <v>1.0</v>
      </c>
      <c r="AI382" s="1">
        <v>1.0</v>
      </c>
      <c r="AJ382" s="1">
        <v>8.0</v>
      </c>
      <c r="AK382" s="1">
        <v>8.0</v>
      </c>
      <c r="AL382" s="1" t="s">
        <v>1970</v>
      </c>
      <c r="AM382" s="1" t="s">
        <v>1658</v>
      </c>
      <c r="AN382" s="1" t="s">
        <v>1971</v>
      </c>
      <c r="AO382" s="1" t="s">
        <v>74</v>
      </c>
      <c r="AP382" s="1" t="s">
        <v>8031</v>
      </c>
      <c r="AQ382" s="1" t="s">
        <v>74</v>
      </c>
      <c r="AR382" s="1" t="s">
        <v>8032</v>
      </c>
      <c r="AS382" s="1" t="s">
        <v>8033</v>
      </c>
      <c r="AT382" s="1" t="s">
        <v>1709</v>
      </c>
      <c r="AU382" s="1">
        <v>2024.0</v>
      </c>
      <c r="AV382" s="1">
        <v>24.0</v>
      </c>
      <c r="AW382" s="1">
        <v>17.0</v>
      </c>
      <c r="AX382" s="1" t="s">
        <v>74</v>
      </c>
      <c r="AY382" s="1" t="s">
        <v>74</v>
      </c>
      <c r="AZ382" s="1" t="s">
        <v>74</v>
      </c>
      <c r="BA382" s="1" t="s">
        <v>74</v>
      </c>
      <c r="BB382" s="1" t="s">
        <v>74</v>
      </c>
      <c r="BC382" s="1" t="s">
        <v>74</v>
      </c>
      <c r="BD382" s="1">
        <v>5633.0</v>
      </c>
      <c r="BE382" s="1" t="s">
        <v>8034</v>
      </c>
      <c r="BF382" s="2" t="str">
        <f>HYPERLINK("http://dx.doi.org/10.3390/s24175633","http://dx.doi.org/10.3390/s24175633")</f>
        <v>http://dx.doi.org/10.3390/s24175633</v>
      </c>
      <c r="BG382" s="1" t="s">
        <v>74</v>
      </c>
      <c r="BH382" s="1" t="s">
        <v>74</v>
      </c>
      <c r="BI382" s="1">
        <v>14.0</v>
      </c>
      <c r="BJ382" s="1" t="s">
        <v>8035</v>
      </c>
      <c r="BK382" s="1" t="s">
        <v>149</v>
      </c>
      <c r="BL382" s="1" t="s">
        <v>8036</v>
      </c>
      <c r="BM382" s="1" t="s">
        <v>8037</v>
      </c>
      <c r="BN382" s="1">
        <v>3.9275541E7</v>
      </c>
      <c r="BO382" s="1" t="s">
        <v>8038</v>
      </c>
      <c r="BP382" s="1" t="s">
        <v>74</v>
      </c>
      <c r="BQ382" s="1" t="s">
        <v>74</v>
      </c>
      <c r="BR382" s="1" t="s">
        <v>102</v>
      </c>
      <c r="BS382" s="1" t="s">
        <v>8039</v>
      </c>
      <c r="BT382" s="1" t="str">
        <f>HYPERLINK("https%3A%2F%2Fwww.webofscience.com%2Fwos%2Fwoscc%2Ffull-record%2FWOS:001311754200001","View Full Record in Web of Science")</f>
        <v>View Full Record in Web of Science</v>
      </c>
    </row>
    <row r="383" ht="12.75" customHeight="1">
      <c r="A383" s="1" t="s">
        <v>132</v>
      </c>
      <c r="B383" s="1" t="s">
        <v>8040</v>
      </c>
      <c r="C383" s="1" t="s">
        <v>74</v>
      </c>
      <c r="D383" s="1" t="s">
        <v>74</v>
      </c>
      <c r="E383" s="1" t="s">
        <v>74</v>
      </c>
      <c r="F383" s="1" t="s">
        <v>8041</v>
      </c>
      <c r="G383" s="1" t="s">
        <v>74</v>
      </c>
      <c r="H383" s="1" t="s">
        <v>74</v>
      </c>
      <c r="I383" s="1" t="s">
        <v>8042</v>
      </c>
      <c r="J383" s="1" t="s">
        <v>8043</v>
      </c>
      <c r="K383" s="1" t="s">
        <v>74</v>
      </c>
      <c r="L383" s="1" t="s">
        <v>74</v>
      </c>
      <c r="M383" s="1" t="s">
        <v>80</v>
      </c>
      <c r="N383" s="1" t="s">
        <v>136</v>
      </c>
      <c r="O383" s="1" t="s">
        <v>74</v>
      </c>
      <c r="P383" s="1" t="s">
        <v>74</v>
      </c>
      <c r="Q383" s="1" t="s">
        <v>74</v>
      </c>
      <c r="R383" s="1" t="s">
        <v>74</v>
      </c>
      <c r="S383" s="1" t="s">
        <v>74</v>
      </c>
      <c r="T383" s="1" t="s">
        <v>8044</v>
      </c>
      <c r="U383" s="1" t="s">
        <v>74</v>
      </c>
      <c r="V383" s="1" t="s">
        <v>8045</v>
      </c>
      <c r="W383" s="1" t="s">
        <v>8046</v>
      </c>
      <c r="X383" s="1" t="s">
        <v>74</v>
      </c>
      <c r="Y383" s="1" t="s">
        <v>8047</v>
      </c>
      <c r="Z383" s="1" t="s">
        <v>8048</v>
      </c>
      <c r="AA383" s="1" t="s">
        <v>74</v>
      </c>
      <c r="AB383" s="1" t="s">
        <v>74</v>
      </c>
      <c r="AC383" s="1" t="s">
        <v>74</v>
      </c>
      <c r="AD383" s="1" t="s">
        <v>74</v>
      </c>
      <c r="AE383" s="1" t="s">
        <v>74</v>
      </c>
      <c r="AF383" s="1" t="s">
        <v>74</v>
      </c>
      <c r="AG383" s="1">
        <v>76.0</v>
      </c>
      <c r="AH383" s="1">
        <v>0.0</v>
      </c>
      <c r="AI383" s="1">
        <v>0.0</v>
      </c>
      <c r="AJ383" s="1">
        <v>11.0</v>
      </c>
      <c r="AK383" s="1">
        <v>32.0</v>
      </c>
      <c r="AL383" s="1" t="s">
        <v>8049</v>
      </c>
      <c r="AM383" s="1" t="s">
        <v>8050</v>
      </c>
      <c r="AN383" s="1" t="s">
        <v>8051</v>
      </c>
      <c r="AO383" s="1" t="s">
        <v>8052</v>
      </c>
      <c r="AP383" s="1" t="s">
        <v>74</v>
      </c>
      <c r="AQ383" s="1" t="s">
        <v>74</v>
      </c>
      <c r="AR383" s="1" t="s">
        <v>8053</v>
      </c>
      <c r="AS383" s="1" t="s">
        <v>8054</v>
      </c>
      <c r="AT383" s="1" t="s">
        <v>1051</v>
      </c>
      <c r="AU383" s="1">
        <v>2022.0</v>
      </c>
      <c r="AV383" s="1">
        <v>49.0</v>
      </c>
      <c r="AW383" s="1">
        <v>3.0</v>
      </c>
      <c r="AX383" s="1" t="s">
        <v>74</v>
      </c>
      <c r="AY383" s="1" t="s">
        <v>74</v>
      </c>
      <c r="AZ383" s="1" t="s">
        <v>74</v>
      </c>
      <c r="BA383" s="1" t="s">
        <v>74</v>
      </c>
      <c r="BB383" s="1">
        <v>31.0</v>
      </c>
      <c r="BC383" s="1">
        <v>62.0</v>
      </c>
      <c r="BD383" s="1" t="s">
        <v>74</v>
      </c>
      <c r="BE383" s="1" t="s">
        <v>8055</v>
      </c>
      <c r="BF383" s="2" t="str">
        <f>HYPERLINK("http://dx.doi.org/10.7764/R.493.2","http://dx.doi.org/10.7764/R.493.2")</f>
        <v>http://dx.doi.org/10.7764/R.493.2</v>
      </c>
      <c r="BG383" s="1" t="s">
        <v>74</v>
      </c>
      <c r="BH383" s="1" t="s">
        <v>74</v>
      </c>
      <c r="BI383" s="1">
        <v>32.0</v>
      </c>
      <c r="BJ383" s="1" t="s">
        <v>915</v>
      </c>
      <c r="BK383" s="1" t="s">
        <v>203</v>
      </c>
      <c r="BL383" s="1" t="s">
        <v>916</v>
      </c>
      <c r="BM383" s="1" t="s">
        <v>8056</v>
      </c>
      <c r="BN383" s="1" t="s">
        <v>74</v>
      </c>
      <c r="BO383" s="1" t="s">
        <v>8057</v>
      </c>
      <c r="BP383" s="1" t="s">
        <v>74</v>
      </c>
      <c r="BQ383" s="1" t="s">
        <v>74</v>
      </c>
      <c r="BR383" s="1" t="s">
        <v>102</v>
      </c>
      <c r="BS383" s="1" t="s">
        <v>8058</v>
      </c>
      <c r="BT383" s="1" t="str">
        <f>HYPERLINK("https%3A%2F%2Fwww.webofscience.com%2Fwos%2Fwoscc%2Ffull-record%2FWOS:000990009700003","View Full Record in Web of Science")</f>
        <v>View Full Record in Web of Science</v>
      </c>
    </row>
    <row r="384" ht="12.75" customHeight="1">
      <c r="A384" s="1" t="s">
        <v>72</v>
      </c>
      <c r="B384" s="1" t="s">
        <v>8059</v>
      </c>
      <c r="C384" s="1" t="s">
        <v>74</v>
      </c>
      <c r="D384" s="1" t="s">
        <v>1460</v>
      </c>
      <c r="E384" s="1" t="s">
        <v>74</v>
      </c>
      <c r="F384" s="1" t="s">
        <v>8060</v>
      </c>
      <c r="G384" s="1" t="s">
        <v>74</v>
      </c>
      <c r="H384" s="1" t="s">
        <v>74</v>
      </c>
      <c r="I384" s="1" t="s">
        <v>8061</v>
      </c>
      <c r="J384" s="1" t="s">
        <v>1463</v>
      </c>
      <c r="K384" s="1" t="s">
        <v>1464</v>
      </c>
      <c r="L384" s="1" t="s">
        <v>74</v>
      </c>
      <c r="M384" s="1" t="s">
        <v>80</v>
      </c>
      <c r="N384" s="1" t="s">
        <v>81</v>
      </c>
      <c r="O384" s="1" t="s">
        <v>1465</v>
      </c>
      <c r="P384" s="1" t="s">
        <v>1466</v>
      </c>
      <c r="Q384" s="1" t="s">
        <v>1467</v>
      </c>
      <c r="R384" s="1" t="s">
        <v>74</v>
      </c>
      <c r="S384" s="1" t="s">
        <v>1468</v>
      </c>
      <c r="T384" s="1" t="s">
        <v>8062</v>
      </c>
      <c r="U384" s="1" t="s">
        <v>74</v>
      </c>
      <c r="V384" s="1" t="s">
        <v>8063</v>
      </c>
      <c r="W384" s="1" t="s">
        <v>8064</v>
      </c>
      <c r="X384" s="1" t="s">
        <v>8065</v>
      </c>
      <c r="Y384" s="1" t="s">
        <v>8066</v>
      </c>
      <c r="Z384" s="1" t="s">
        <v>8067</v>
      </c>
      <c r="AA384" s="1" t="s">
        <v>74</v>
      </c>
      <c r="AB384" s="1" t="s">
        <v>74</v>
      </c>
      <c r="AC384" s="1" t="s">
        <v>74</v>
      </c>
      <c r="AD384" s="1" t="s">
        <v>74</v>
      </c>
      <c r="AE384" s="1" t="s">
        <v>74</v>
      </c>
      <c r="AF384" s="1" t="s">
        <v>74</v>
      </c>
      <c r="AG384" s="1">
        <v>38.0</v>
      </c>
      <c r="AH384" s="1">
        <v>8.0</v>
      </c>
      <c r="AI384" s="1">
        <v>8.0</v>
      </c>
      <c r="AJ384" s="1">
        <v>1.0</v>
      </c>
      <c r="AK384" s="1">
        <v>14.0</v>
      </c>
      <c r="AL384" s="1" t="s">
        <v>1477</v>
      </c>
      <c r="AM384" s="1" t="s">
        <v>322</v>
      </c>
      <c r="AN384" s="1" t="s">
        <v>1478</v>
      </c>
      <c r="AO384" s="1" t="s">
        <v>1479</v>
      </c>
      <c r="AP384" s="1" t="s">
        <v>74</v>
      </c>
      <c r="AQ384" s="1" t="s">
        <v>74</v>
      </c>
      <c r="AR384" s="1" t="s">
        <v>1480</v>
      </c>
      <c r="AS384" s="1" t="s">
        <v>74</v>
      </c>
      <c r="AT384" s="1" t="s">
        <v>74</v>
      </c>
      <c r="AU384" s="1">
        <v>2022.0</v>
      </c>
      <c r="AV384" s="1">
        <v>200.0</v>
      </c>
      <c r="AW384" s="1" t="s">
        <v>74</v>
      </c>
      <c r="AX384" s="1" t="s">
        <v>74</v>
      </c>
      <c r="AY384" s="1" t="s">
        <v>74</v>
      </c>
      <c r="AZ384" s="1" t="s">
        <v>74</v>
      </c>
      <c r="BA384" s="1" t="s">
        <v>74</v>
      </c>
      <c r="BB384" s="1">
        <v>1846.0</v>
      </c>
      <c r="BC384" s="1">
        <v>1856.0</v>
      </c>
      <c r="BD384" s="1" t="s">
        <v>74</v>
      </c>
      <c r="BE384" s="1" t="s">
        <v>8068</v>
      </c>
      <c r="BF384" s="2" t="str">
        <f>HYPERLINK("http://dx.doi.org/10.1016/j.procs.2022.01.385","http://dx.doi.org/10.1016/j.procs.2022.01.385")</f>
        <v>http://dx.doi.org/10.1016/j.procs.2022.01.385</v>
      </c>
      <c r="BG384" s="1" t="s">
        <v>74</v>
      </c>
      <c r="BH384" s="1" t="s">
        <v>1482</v>
      </c>
      <c r="BI384" s="1">
        <v>11.0</v>
      </c>
      <c r="BJ384" s="1" t="s">
        <v>1483</v>
      </c>
      <c r="BK384" s="1" t="s">
        <v>128</v>
      </c>
      <c r="BL384" s="1" t="s">
        <v>1325</v>
      </c>
      <c r="BM384" s="1" t="s">
        <v>1484</v>
      </c>
      <c r="BN384" s="1" t="s">
        <v>74</v>
      </c>
      <c r="BO384" s="1" t="s">
        <v>174</v>
      </c>
      <c r="BP384" s="1" t="s">
        <v>74</v>
      </c>
      <c r="BQ384" s="1" t="s">
        <v>74</v>
      </c>
      <c r="BR384" s="1" t="s">
        <v>102</v>
      </c>
      <c r="BS384" s="1" t="s">
        <v>8069</v>
      </c>
      <c r="BT384" s="1" t="str">
        <f>HYPERLINK("https%3A%2F%2Fwww.webofscience.com%2Fwos%2Fwoscc%2Ffull-record%2FWOS:000777601300188","View Full Record in Web of Science")</f>
        <v>View Full Record in Web of Science</v>
      </c>
    </row>
    <row r="385" ht="12.75" customHeight="1">
      <c r="A385" s="1" t="s">
        <v>132</v>
      </c>
      <c r="B385" s="1" t="s">
        <v>8070</v>
      </c>
      <c r="C385" s="1" t="s">
        <v>74</v>
      </c>
      <c r="D385" s="1" t="s">
        <v>74</v>
      </c>
      <c r="E385" s="1" t="s">
        <v>74</v>
      </c>
      <c r="F385" s="1" t="s">
        <v>8071</v>
      </c>
      <c r="G385" s="1" t="s">
        <v>74</v>
      </c>
      <c r="H385" s="1" t="s">
        <v>74</v>
      </c>
      <c r="I385" s="1" t="s">
        <v>8072</v>
      </c>
      <c r="J385" s="1" t="s">
        <v>8073</v>
      </c>
      <c r="K385" s="1" t="s">
        <v>74</v>
      </c>
      <c r="L385" s="1" t="s">
        <v>74</v>
      </c>
      <c r="M385" s="1" t="s">
        <v>80</v>
      </c>
      <c r="N385" s="1" t="s">
        <v>136</v>
      </c>
      <c r="O385" s="1" t="s">
        <v>74</v>
      </c>
      <c r="P385" s="1" t="s">
        <v>74</v>
      </c>
      <c r="Q385" s="1" t="s">
        <v>74</v>
      </c>
      <c r="R385" s="1" t="s">
        <v>74</v>
      </c>
      <c r="S385" s="1" t="s">
        <v>74</v>
      </c>
      <c r="T385" s="1" t="s">
        <v>8074</v>
      </c>
      <c r="U385" s="1" t="s">
        <v>8075</v>
      </c>
      <c r="V385" s="1" t="s">
        <v>8076</v>
      </c>
      <c r="W385" s="1" t="s">
        <v>8077</v>
      </c>
      <c r="X385" s="1" t="s">
        <v>8078</v>
      </c>
      <c r="Y385" s="1" t="s">
        <v>8079</v>
      </c>
      <c r="Z385" s="1" t="s">
        <v>8080</v>
      </c>
      <c r="AA385" s="1" t="s">
        <v>74</v>
      </c>
      <c r="AB385" s="1" t="s">
        <v>8081</v>
      </c>
      <c r="AC385" s="1" t="s">
        <v>74</v>
      </c>
      <c r="AD385" s="1" t="s">
        <v>74</v>
      </c>
      <c r="AE385" s="1" t="s">
        <v>74</v>
      </c>
      <c r="AF385" s="1" t="s">
        <v>74</v>
      </c>
      <c r="AG385" s="1">
        <v>71.0</v>
      </c>
      <c r="AH385" s="1">
        <v>18.0</v>
      </c>
      <c r="AI385" s="1">
        <v>20.0</v>
      </c>
      <c r="AJ385" s="1">
        <v>11.0</v>
      </c>
      <c r="AK385" s="1">
        <v>47.0</v>
      </c>
      <c r="AL385" s="1" t="s">
        <v>1571</v>
      </c>
      <c r="AM385" s="1" t="s">
        <v>1572</v>
      </c>
      <c r="AN385" s="1" t="s">
        <v>1573</v>
      </c>
      <c r="AO385" s="1" t="s">
        <v>8082</v>
      </c>
      <c r="AP385" s="1" t="s">
        <v>8083</v>
      </c>
      <c r="AQ385" s="1" t="s">
        <v>74</v>
      </c>
      <c r="AR385" s="1" t="s">
        <v>8084</v>
      </c>
      <c r="AS385" s="1" t="s">
        <v>8085</v>
      </c>
      <c r="AT385" s="1" t="s">
        <v>1364</v>
      </c>
      <c r="AU385" s="1">
        <v>2022.0</v>
      </c>
      <c r="AV385" s="1">
        <v>24.0</v>
      </c>
      <c r="AW385" s="1">
        <v>2.0</v>
      </c>
      <c r="AX385" s="1" t="s">
        <v>74</v>
      </c>
      <c r="AY385" s="1" t="s">
        <v>74</v>
      </c>
      <c r="AZ385" s="1" t="s">
        <v>74</v>
      </c>
      <c r="BA385" s="1" t="s">
        <v>74</v>
      </c>
      <c r="BB385" s="1">
        <v>78.0</v>
      </c>
      <c r="BC385" s="1">
        <v>98.0</v>
      </c>
      <c r="BD385" s="1" t="s">
        <v>74</v>
      </c>
      <c r="BE385" s="1" t="s">
        <v>8086</v>
      </c>
      <c r="BF385" s="2" t="str">
        <f>HYPERLINK("http://dx.doi.org/10.1177/15234223221077304","http://dx.doi.org/10.1177/15234223221077304")</f>
        <v>http://dx.doi.org/10.1177/15234223221077304</v>
      </c>
      <c r="BG385" s="1" t="s">
        <v>74</v>
      </c>
      <c r="BH385" s="1" t="s">
        <v>74</v>
      </c>
      <c r="BI385" s="1">
        <v>21.0</v>
      </c>
      <c r="BJ385" s="1" t="s">
        <v>8087</v>
      </c>
      <c r="BK385" s="1" t="s">
        <v>172</v>
      </c>
      <c r="BL385" s="1" t="s">
        <v>204</v>
      </c>
      <c r="BM385" s="1" t="s">
        <v>8088</v>
      </c>
      <c r="BN385" s="1" t="s">
        <v>74</v>
      </c>
      <c r="BO385" s="1" t="s">
        <v>74</v>
      </c>
      <c r="BP385" s="1" t="s">
        <v>74</v>
      </c>
      <c r="BQ385" s="1" t="s">
        <v>74</v>
      </c>
      <c r="BR385" s="1" t="s">
        <v>102</v>
      </c>
      <c r="BS385" s="1" t="s">
        <v>8089</v>
      </c>
      <c r="BT385" s="1" t="str">
        <f>HYPERLINK("https%3A%2F%2Fwww.webofscience.com%2Fwos%2Fwoscc%2Ffull-record%2FWOS:000779870700002","View Full Record in Web of Science")</f>
        <v>View Full Record in Web of Science</v>
      </c>
    </row>
    <row r="386" ht="12.75" customHeight="1">
      <c r="A386" s="1" t="s">
        <v>132</v>
      </c>
      <c r="B386" s="1" t="s">
        <v>8090</v>
      </c>
      <c r="C386" s="1" t="s">
        <v>74</v>
      </c>
      <c r="D386" s="1" t="s">
        <v>74</v>
      </c>
      <c r="E386" s="1" t="s">
        <v>74</v>
      </c>
      <c r="F386" s="1" t="s">
        <v>8091</v>
      </c>
      <c r="G386" s="1" t="s">
        <v>74</v>
      </c>
      <c r="H386" s="1" t="s">
        <v>74</v>
      </c>
      <c r="I386" s="1" t="s">
        <v>8092</v>
      </c>
      <c r="J386" s="1" t="s">
        <v>8093</v>
      </c>
      <c r="K386" s="1" t="s">
        <v>74</v>
      </c>
      <c r="L386" s="1" t="s">
        <v>74</v>
      </c>
      <c r="M386" s="1" t="s">
        <v>80</v>
      </c>
      <c r="N386" s="1" t="s">
        <v>1010</v>
      </c>
      <c r="O386" s="1" t="s">
        <v>74</v>
      </c>
      <c r="P386" s="1" t="s">
        <v>74</v>
      </c>
      <c r="Q386" s="1" t="s">
        <v>74</v>
      </c>
      <c r="R386" s="1" t="s">
        <v>74</v>
      </c>
      <c r="S386" s="1" t="s">
        <v>74</v>
      </c>
      <c r="T386" s="1" t="s">
        <v>8094</v>
      </c>
      <c r="U386" s="1" t="s">
        <v>8095</v>
      </c>
      <c r="V386" s="1" t="s">
        <v>8096</v>
      </c>
      <c r="W386" s="1" t="s">
        <v>8097</v>
      </c>
      <c r="X386" s="1" t="s">
        <v>8098</v>
      </c>
      <c r="Y386" s="1" t="s">
        <v>8099</v>
      </c>
      <c r="Z386" s="1" t="s">
        <v>8100</v>
      </c>
      <c r="AA386" s="1" t="s">
        <v>8101</v>
      </c>
      <c r="AB386" s="1" t="s">
        <v>8102</v>
      </c>
      <c r="AC386" s="1" t="s">
        <v>74</v>
      </c>
      <c r="AD386" s="1" t="s">
        <v>74</v>
      </c>
      <c r="AE386" s="1" t="s">
        <v>74</v>
      </c>
      <c r="AF386" s="1" t="s">
        <v>74</v>
      </c>
      <c r="AG386" s="1">
        <v>93.0</v>
      </c>
      <c r="AH386" s="1">
        <v>0.0</v>
      </c>
      <c r="AI386" s="1">
        <v>0.0</v>
      </c>
      <c r="AJ386" s="1">
        <v>7.0</v>
      </c>
      <c r="AK386" s="1">
        <v>7.0</v>
      </c>
      <c r="AL386" s="1" t="s">
        <v>8103</v>
      </c>
      <c r="AM386" s="1" t="s">
        <v>1021</v>
      </c>
      <c r="AN386" s="1" t="s">
        <v>8104</v>
      </c>
      <c r="AO386" s="1" t="s">
        <v>8105</v>
      </c>
      <c r="AP386" s="1" t="s">
        <v>8106</v>
      </c>
      <c r="AQ386" s="1" t="s">
        <v>74</v>
      </c>
      <c r="AR386" s="1" t="s">
        <v>8107</v>
      </c>
      <c r="AS386" s="1" t="s">
        <v>8108</v>
      </c>
      <c r="AT386" s="1" t="s">
        <v>1279</v>
      </c>
      <c r="AU386" s="1">
        <v>2024.0</v>
      </c>
      <c r="AV386" s="1">
        <v>24.0</v>
      </c>
      <c r="AW386" s="1">
        <v>7.0</v>
      </c>
      <c r="AX386" s="1" t="s">
        <v>74</v>
      </c>
      <c r="AY386" s="1" t="s">
        <v>74</v>
      </c>
      <c r="AZ386" s="1" t="s">
        <v>74</v>
      </c>
      <c r="BA386" s="1" t="s">
        <v>74</v>
      </c>
      <c r="BB386" s="1">
        <v>361.0</v>
      </c>
      <c r="BC386" s="1">
        <v>372.0</v>
      </c>
      <c r="BD386" s="1" t="s">
        <v>74</v>
      </c>
      <c r="BE386" s="1" t="s">
        <v>8109</v>
      </c>
      <c r="BF386" s="2" t="str">
        <f>HYPERLINK("http://dx.doi.org/10.1007/s11882-024-01152-y","http://dx.doi.org/10.1007/s11882-024-01152-y")</f>
        <v>http://dx.doi.org/10.1007/s11882-024-01152-y</v>
      </c>
      <c r="BG386" s="1" t="s">
        <v>74</v>
      </c>
      <c r="BH386" s="1" t="s">
        <v>1929</v>
      </c>
      <c r="BI386" s="1">
        <v>12.0</v>
      </c>
      <c r="BJ386" s="1" t="s">
        <v>7897</v>
      </c>
      <c r="BK386" s="1" t="s">
        <v>149</v>
      </c>
      <c r="BL386" s="1" t="s">
        <v>7897</v>
      </c>
      <c r="BM386" s="1" t="s">
        <v>8110</v>
      </c>
      <c r="BN386" s="1">
        <v>3.8954325E7</v>
      </c>
      <c r="BO386" s="1" t="s">
        <v>74</v>
      </c>
      <c r="BP386" s="1" t="s">
        <v>74</v>
      </c>
      <c r="BQ386" s="1" t="s">
        <v>74</v>
      </c>
      <c r="BR386" s="1" t="s">
        <v>102</v>
      </c>
      <c r="BS386" s="1" t="s">
        <v>8111</v>
      </c>
      <c r="BT386" s="1" t="str">
        <f>HYPERLINK("https%3A%2F%2Fwww.webofscience.com%2Fwos%2Fwoscc%2Ffull-record%2FWOS:001260428500001","View Full Record in Web of Science")</f>
        <v>View Full Record in Web of Science</v>
      </c>
    </row>
    <row r="387" ht="12.75" customHeight="1">
      <c r="A387" s="1" t="s">
        <v>132</v>
      </c>
      <c r="B387" s="1" t="s">
        <v>8112</v>
      </c>
      <c r="C387" s="1" t="s">
        <v>74</v>
      </c>
      <c r="D387" s="1" t="s">
        <v>74</v>
      </c>
      <c r="E387" s="1" t="s">
        <v>74</v>
      </c>
      <c r="F387" s="1" t="s">
        <v>8113</v>
      </c>
      <c r="G387" s="1" t="s">
        <v>74</v>
      </c>
      <c r="H387" s="1" t="s">
        <v>74</v>
      </c>
      <c r="I387" s="1" t="s">
        <v>8114</v>
      </c>
      <c r="J387" s="1" t="s">
        <v>6329</v>
      </c>
      <c r="K387" s="1" t="s">
        <v>74</v>
      </c>
      <c r="L387" s="1" t="s">
        <v>74</v>
      </c>
      <c r="M387" s="1" t="s">
        <v>80</v>
      </c>
      <c r="N387" s="1" t="s">
        <v>136</v>
      </c>
      <c r="O387" s="1" t="s">
        <v>74</v>
      </c>
      <c r="P387" s="1" t="s">
        <v>74</v>
      </c>
      <c r="Q387" s="1" t="s">
        <v>74</v>
      </c>
      <c r="R387" s="1" t="s">
        <v>74</v>
      </c>
      <c r="S387" s="1" t="s">
        <v>74</v>
      </c>
      <c r="T387" s="1" t="s">
        <v>8115</v>
      </c>
      <c r="U387" s="1" t="s">
        <v>8116</v>
      </c>
      <c r="V387" s="1" t="s">
        <v>8117</v>
      </c>
      <c r="W387" s="1" t="s">
        <v>8118</v>
      </c>
      <c r="X387" s="1" t="s">
        <v>8119</v>
      </c>
      <c r="Y387" s="1" t="s">
        <v>8120</v>
      </c>
      <c r="Z387" s="1" t="s">
        <v>8121</v>
      </c>
      <c r="AA387" s="1" t="s">
        <v>645</v>
      </c>
      <c r="AB387" s="1" t="s">
        <v>646</v>
      </c>
      <c r="AC387" s="1" t="s">
        <v>74</v>
      </c>
      <c r="AD387" s="1" t="s">
        <v>74</v>
      </c>
      <c r="AE387" s="1" t="s">
        <v>74</v>
      </c>
      <c r="AF387" s="1" t="s">
        <v>74</v>
      </c>
      <c r="AG387" s="1">
        <v>33.0</v>
      </c>
      <c r="AH387" s="1">
        <v>12.0</v>
      </c>
      <c r="AI387" s="1">
        <v>12.0</v>
      </c>
      <c r="AJ387" s="1">
        <v>5.0</v>
      </c>
      <c r="AK387" s="1">
        <v>14.0</v>
      </c>
      <c r="AL387" s="1" t="s">
        <v>1970</v>
      </c>
      <c r="AM387" s="1" t="s">
        <v>1658</v>
      </c>
      <c r="AN387" s="1" t="s">
        <v>1971</v>
      </c>
      <c r="AO387" s="1" t="s">
        <v>74</v>
      </c>
      <c r="AP387" s="1" t="s">
        <v>6342</v>
      </c>
      <c r="AQ387" s="1" t="s">
        <v>74</v>
      </c>
      <c r="AR387" s="1" t="s">
        <v>6343</v>
      </c>
      <c r="AS387" s="1" t="s">
        <v>6344</v>
      </c>
      <c r="AT387" s="1" t="s">
        <v>870</v>
      </c>
      <c r="AU387" s="1">
        <v>2023.0</v>
      </c>
      <c r="AV387" s="1">
        <v>20.0</v>
      </c>
      <c r="AW387" s="1">
        <v>2.0</v>
      </c>
      <c r="AX387" s="1" t="s">
        <v>74</v>
      </c>
      <c r="AY387" s="1" t="s">
        <v>74</v>
      </c>
      <c r="AZ387" s="1" t="s">
        <v>74</v>
      </c>
      <c r="BA387" s="1" t="s">
        <v>74</v>
      </c>
      <c r="BB387" s="1" t="s">
        <v>74</v>
      </c>
      <c r="BC387" s="1" t="s">
        <v>74</v>
      </c>
      <c r="BD387" s="1">
        <v>1589.0</v>
      </c>
      <c r="BE387" s="1" t="s">
        <v>8122</v>
      </c>
      <c r="BF387" s="2" t="str">
        <f>HYPERLINK("http://dx.doi.org/10.3390/ijerph20021589","http://dx.doi.org/10.3390/ijerph20021589")</f>
        <v>http://dx.doi.org/10.3390/ijerph20021589</v>
      </c>
      <c r="BG387" s="1" t="s">
        <v>74</v>
      </c>
      <c r="BH387" s="1" t="s">
        <v>74</v>
      </c>
      <c r="BI387" s="1">
        <v>11.0</v>
      </c>
      <c r="BJ387" s="1" t="s">
        <v>6346</v>
      </c>
      <c r="BK387" s="1" t="s">
        <v>783</v>
      </c>
      <c r="BL387" s="1" t="s">
        <v>6347</v>
      </c>
      <c r="BM387" s="1" t="s">
        <v>8123</v>
      </c>
      <c r="BN387" s="1">
        <v>3.6674348E7</v>
      </c>
      <c r="BO387" s="1" t="s">
        <v>1161</v>
      </c>
      <c r="BP387" s="1" t="s">
        <v>74</v>
      </c>
      <c r="BQ387" s="1" t="s">
        <v>74</v>
      </c>
      <c r="BR387" s="1" t="s">
        <v>102</v>
      </c>
      <c r="BS387" s="1" t="s">
        <v>8124</v>
      </c>
      <c r="BT387" s="1" t="str">
        <f>HYPERLINK("https%3A%2F%2Fwww.webofscience.com%2Fwos%2Fwoscc%2Ffull-record%2FWOS:000915358700001","View Full Record in Web of Science")</f>
        <v>View Full Record in Web of Science</v>
      </c>
    </row>
    <row r="388" ht="12.75" customHeight="1">
      <c r="A388" s="1" t="s">
        <v>132</v>
      </c>
      <c r="B388" s="1" t="s">
        <v>8125</v>
      </c>
      <c r="C388" s="1" t="s">
        <v>74</v>
      </c>
      <c r="D388" s="1" t="s">
        <v>74</v>
      </c>
      <c r="E388" s="1" t="s">
        <v>74</v>
      </c>
      <c r="F388" s="1" t="s">
        <v>8126</v>
      </c>
      <c r="G388" s="1" t="s">
        <v>74</v>
      </c>
      <c r="H388" s="1" t="s">
        <v>74</v>
      </c>
      <c r="I388" s="1" t="s">
        <v>8127</v>
      </c>
      <c r="J388" s="1" t="s">
        <v>5850</v>
      </c>
      <c r="K388" s="1" t="s">
        <v>74</v>
      </c>
      <c r="L388" s="1" t="s">
        <v>74</v>
      </c>
      <c r="M388" s="1" t="s">
        <v>80</v>
      </c>
      <c r="N388" s="1" t="s">
        <v>136</v>
      </c>
      <c r="O388" s="1" t="s">
        <v>74</v>
      </c>
      <c r="P388" s="1" t="s">
        <v>74</v>
      </c>
      <c r="Q388" s="1" t="s">
        <v>74</v>
      </c>
      <c r="R388" s="1" t="s">
        <v>74</v>
      </c>
      <c r="S388" s="1" t="s">
        <v>74</v>
      </c>
      <c r="T388" s="1" t="s">
        <v>8128</v>
      </c>
      <c r="U388" s="1" t="s">
        <v>74</v>
      </c>
      <c r="V388" s="1" t="s">
        <v>8129</v>
      </c>
      <c r="W388" s="1" t="s">
        <v>8130</v>
      </c>
      <c r="X388" s="1" t="s">
        <v>8131</v>
      </c>
      <c r="Y388" s="1" t="s">
        <v>8132</v>
      </c>
      <c r="Z388" s="1" t="s">
        <v>8133</v>
      </c>
      <c r="AA388" s="1" t="s">
        <v>8134</v>
      </c>
      <c r="AB388" s="1" t="s">
        <v>8135</v>
      </c>
      <c r="AC388" s="1" t="s">
        <v>8136</v>
      </c>
      <c r="AD388" s="1" t="s">
        <v>8137</v>
      </c>
      <c r="AE388" s="1" t="s">
        <v>8138</v>
      </c>
      <c r="AF388" s="1" t="s">
        <v>74</v>
      </c>
      <c r="AG388" s="1">
        <v>36.0</v>
      </c>
      <c r="AH388" s="1">
        <v>14.0</v>
      </c>
      <c r="AI388" s="1">
        <v>14.0</v>
      </c>
      <c r="AJ388" s="1">
        <v>26.0</v>
      </c>
      <c r="AK388" s="1">
        <v>112.0</v>
      </c>
      <c r="AL388" s="1" t="s">
        <v>192</v>
      </c>
      <c r="AM388" s="1" t="s">
        <v>193</v>
      </c>
      <c r="AN388" s="1" t="s">
        <v>194</v>
      </c>
      <c r="AO388" s="1" t="s">
        <v>5858</v>
      </c>
      <c r="AP388" s="1" t="s">
        <v>5859</v>
      </c>
      <c r="AQ388" s="1" t="s">
        <v>74</v>
      </c>
      <c r="AR388" s="1" t="s">
        <v>5860</v>
      </c>
      <c r="AS388" s="1" t="s">
        <v>5861</v>
      </c>
      <c r="AT388" s="1" t="s">
        <v>1051</v>
      </c>
      <c r="AU388" s="1">
        <v>2021.0</v>
      </c>
      <c r="AV388" s="1">
        <v>13.0</v>
      </c>
      <c r="AW388" s="1">
        <v>4.0</v>
      </c>
      <c r="AX388" s="1" t="s">
        <v>74</v>
      </c>
      <c r="AY388" s="1" t="s">
        <v>74</v>
      </c>
      <c r="AZ388" s="1" t="s">
        <v>74</v>
      </c>
      <c r="BA388" s="1" t="s">
        <v>74</v>
      </c>
      <c r="BB388" s="1">
        <v>421.0</v>
      </c>
      <c r="BC388" s="1">
        <v>433.0</v>
      </c>
      <c r="BD388" s="1" t="s">
        <v>74</v>
      </c>
      <c r="BE388" s="1" t="s">
        <v>8139</v>
      </c>
      <c r="BF388" s="2" t="str">
        <f>HYPERLINK("http://dx.doi.org/10.1007/s41649-021-00182-2","http://dx.doi.org/10.1007/s41649-021-00182-2")</f>
        <v>http://dx.doi.org/10.1007/s41649-021-00182-2</v>
      </c>
      <c r="BG388" s="1" t="s">
        <v>74</v>
      </c>
      <c r="BH388" s="1" t="s">
        <v>781</v>
      </c>
      <c r="BI388" s="1">
        <v>13.0</v>
      </c>
      <c r="BJ388" s="1" t="s">
        <v>5863</v>
      </c>
      <c r="BK388" s="1" t="s">
        <v>172</v>
      </c>
      <c r="BL388" s="1" t="s">
        <v>5864</v>
      </c>
      <c r="BM388" s="1" t="s">
        <v>8140</v>
      </c>
      <c r="BN388" s="1">
        <v>3.4616496E7</v>
      </c>
      <c r="BO388" s="1" t="s">
        <v>1997</v>
      </c>
      <c r="BP388" s="1" t="s">
        <v>74</v>
      </c>
      <c r="BQ388" s="1" t="s">
        <v>74</v>
      </c>
      <c r="BR388" s="1" t="s">
        <v>102</v>
      </c>
      <c r="BS388" s="1" t="s">
        <v>8141</v>
      </c>
      <c r="BT388" s="1" t="str">
        <f>HYPERLINK("https%3A%2F%2Fwww.webofscience.com%2Fwos%2Fwoscc%2Ffull-record%2FWOS:000692679400001","View Full Record in Web of Science")</f>
        <v>View Full Record in Web of Science</v>
      </c>
    </row>
    <row r="389" ht="12.75" customHeight="1">
      <c r="A389" s="1" t="s">
        <v>132</v>
      </c>
      <c r="B389" s="1" t="s">
        <v>8142</v>
      </c>
      <c r="C389" s="1" t="s">
        <v>74</v>
      </c>
      <c r="D389" s="1" t="s">
        <v>74</v>
      </c>
      <c r="E389" s="1" t="s">
        <v>74</v>
      </c>
      <c r="F389" s="1" t="s">
        <v>8143</v>
      </c>
      <c r="G389" s="1" t="s">
        <v>74</v>
      </c>
      <c r="H389" s="1" t="s">
        <v>74</v>
      </c>
      <c r="I389" s="1" t="s">
        <v>8144</v>
      </c>
      <c r="J389" s="1" t="s">
        <v>1009</v>
      </c>
      <c r="K389" s="1" t="s">
        <v>74</v>
      </c>
      <c r="L389" s="1" t="s">
        <v>74</v>
      </c>
      <c r="M389" s="1" t="s">
        <v>80</v>
      </c>
      <c r="N389" s="1" t="s">
        <v>1010</v>
      </c>
      <c r="O389" s="1" t="s">
        <v>74</v>
      </c>
      <c r="P389" s="1" t="s">
        <v>74</v>
      </c>
      <c r="Q389" s="1" t="s">
        <v>74</v>
      </c>
      <c r="R389" s="1" t="s">
        <v>74</v>
      </c>
      <c r="S389" s="1" t="s">
        <v>74</v>
      </c>
      <c r="T389" s="1" t="s">
        <v>8145</v>
      </c>
      <c r="U389" s="1" t="s">
        <v>8146</v>
      </c>
      <c r="V389" s="1" t="s">
        <v>8147</v>
      </c>
      <c r="W389" s="1" t="s">
        <v>8148</v>
      </c>
      <c r="X389" s="1" t="s">
        <v>8149</v>
      </c>
      <c r="Y389" s="1" t="s">
        <v>8150</v>
      </c>
      <c r="Z389" s="1" t="s">
        <v>8151</v>
      </c>
      <c r="AA389" s="1" t="s">
        <v>8152</v>
      </c>
      <c r="AB389" s="1" t="s">
        <v>8153</v>
      </c>
      <c r="AC389" s="1" t="s">
        <v>8154</v>
      </c>
      <c r="AD389" s="1" t="s">
        <v>8155</v>
      </c>
      <c r="AE389" s="1" t="s">
        <v>8156</v>
      </c>
      <c r="AF389" s="1" t="s">
        <v>74</v>
      </c>
      <c r="AG389" s="1">
        <v>48.0</v>
      </c>
      <c r="AH389" s="1">
        <v>21.0</v>
      </c>
      <c r="AI389" s="1">
        <v>21.0</v>
      </c>
      <c r="AJ389" s="1">
        <v>2.0</v>
      </c>
      <c r="AK389" s="1">
        <v>28.0</v>
      </c>
      <c r="AL389" s="1" t="s">
        <v>1020</v>
      </c>
      <c r="AM389" s="1" t="s">
        <v>1021</v>
      </c>
      <c r="AN389" s="1" t="s">
        <v>1022</v>
      </c>
      <c r="AO389" s="1" t="s">
        <v>1023</v>
      </c>
      <c r="AP389" s="1" t="s">
        <v>1024</v>
      </c>
      <c r="AQ389" s="1" t="s">
        <v>74</v>
      </c>
      <c r="AR389" s="1" t="s">
        <v>1025</v>
      </c>
      <c r="AS389" s="1" t="s">
        <v>1026</v>
      </c>
      <c r="AT389" s="1" t="s">
        <v>1709</v>
      </c>
      <c r="AU389" s="1">
        <v>2020.0</v>
      </c>
      <c r="AV389" s="1">
        <v>31.0</v>
      </c>
      <c r="AW389" s="1">
        <v>5.0</v>
      </c>
      <c r="AX389" s="1" t="s">
        <v>74</v>
      </c>
      <c r="AY389" s="1" t="s">
        <v>74</v>
      </c>
      <c r="AZ389" s="1" t="s">
        <v>74</v>
      </c>
      <c r="BA389" s="1" t="s">
        <v>74</v>
      </c>
      <c r="BB389" s="1">
        <v>329.0</v>
      </c>
      <c r="BC389" s="1">
        <v>336.0</v>
      </c>
      <c r="BD389" s="1" t="s">
        <v>74</v>
      </c>
      <c r="BE389" s="1" t="s">
        <v>8157</v>
      </c>
      <c r="BF389" s="2" t="str">
        <f>HYPERLINK("http://dx.doi.org/10.1097/ICU.0000000000000677","http://dx.doi.org/10.1097/ICU.0000000000000677")</f>
        <v>http://dx.doi.org/10.1097/ICU.0000000000000677</v>
      </c>
      <c r="BG389" s="1" t="s">
        <v>74</v>
      </c>
      <c r="BH389" s="1" t="s">
        <v>74</v>
      </c>
      <c r="BI389" s="1">
        <v>8.0</v>
      </c>
      <c r="BJ389" s="1" t="s">
        <v>1029</v>
      </c>
      <c r="BK389" s="1" t="s">
        <v>149</v>
      </c>
      <c r="BL389" s="1" t="s">
        <v>1029</v>
      </c>
      <c r="BM389" s="1" t="s">
        <v>4685</v>
      </c>
      <c r="BN389" s="1">
        <v>3.274006E7</v>
      </c>
      <c r="BO389" s="1" t="s">
        <v>7447</v>
      </c>
      <c r="BP389" s="1" t="s">
        <v>74</v>
      </c>
      <c r="BQ389" s="1" t="s">
        <v>74</v>
      </c>
      <c r="BR389" s="1" t="s">
        <v>102</v>
      </c>
      <c r="BS389" s="1" t="s">
        <v>8158</v>
      </c>
      <c r="BT389" s="1" t="str">
        <f>HYPERLINK("https%3A%2F%2Fwww.webofscience.com%2Fwos%2Fwoscc%2Ffull-record%2FWOS:000570190900005","View Full Record in Web of Science")</f>
        <v>View Full Record in Web of Science</v>
      </c>
    </row>
    <row r="390" ht="12.75" customHeight="1">
      <c r="A390" s="1" t="s">
        <v>72</v>
      </c>
      <c r="B390" s="1" t="s">
        <v>8159</v>
      </c>
      <c r="C390" s="1" t="s">
        <v>74</v>
      </c>
      <c r="D390" s="1" t="s">
        <v>74</v>
      </c>
      <c r="E390" s="1" t="s">
        <v>236</v>
      </c>
      <c r="F390" s="1" t="s">
        <v>8160</v>
      </c>
      <c r="G390" s="1" t="s">
        <v>74</v>
      </c>
      <c r="H390" s="1" t="s">
        <v>74</v>
      </c>
      <c r="I390" s="1" t="s">
        <v>8161</v>
      </c>
      <c r="J390" s="1" t="s">
        <v>239</v>
      </c>
      <c r="K390" s="1" t="s">
        <v>240</v>
      </c>
      <c r="L390" s="1" t="s">
        <v>74</v>
      </c>
      <c r="M390" s="1" t="s">
        <v>80</v>
      </c>
      <c r="N390" s="1" t="s">
        <v>81</v>
      </c>
      <c r="O390" s="1" t="s">
        <v>241</v>
      </c>
      <c r="P390" s="1" t="s">
        <v>242</v>
      </c>
      <c r="Q390" s="1" t="s">
        <v>243</v>
      </c>
      <c r="R390" s="1" t="s">
        <v>244</v>
      </c>
      <c r="S390" s="1" t="s">
        <v>74</v>
      </c>
      <c r="T390" s="1" t="s">
        <v>8162</v>
      </c>
      <c r="U390" s="1" t="s">
        <v>74</v>
      </c>
      <c r="V390" s="1" t="s">
        <v>8163</v>
      </c>
      <c r="W390" s="1" t="s">
        <v>8164</v>
      </c>
      <c r="X390" s="1" t="s">
        <v>8165</v>
      </c>
      <c r="Y390" s="1" t="s">
        <v>8166</v>
      </c>
      <c r="Z390" s="1" t="s">
        <v>8167</v>
      </c>
      <c r="AA390" s="1" t="s">
        <v>8168</v>
      </c>
      <c r="AB390" s="1" t="s">
        <v>74</v>
      </c>
      <c r="AC390" s="1" t="s">
        <v>74</v>
      </c>
      <c r="AD390" s="1" t="s">
        <v>74</v>
      </c>
      <c r="AE390" s="1" t="s">
        <v>74</v>
      </c>
      <c r="AF390" s="1" t="s">
        <v>74</v>
      </c>
      <c r="AG390" s="1">
        <v>6.0</v>
      </c>
      <c r="AH390" s="1">
        <v>0.0</v>
      </c>
      <c r="AI390" s="1">
        <v>0.0</v>
      </c>
      <c r="AJ390" s="1">
        <v>4.0</v>
      </c>
      <c r="AK390" s="1">
        <v>4.0</v>
      </c>
      <c r="AL390" s="1" t="s">
        <v>236</v>
      </c>
      <c r="AM390" s="1" t="s">
        <v>193</v>
      </c>
      <c r="AN390" s="1" t="s">
        <v>252</v>
      </c>
      <c r="AO390" s="1" t="s">
        <v>253</v>
      </c>
      <c r="AP390" s="1" t="s">
        <v>74</v>
      </c>
      <c r="AQ390" s="1" t="s">
        <v>254</v>
      </c>
      <c r="AR390" s="1" t="s">
        <v>255</v>
      </c>
      <c r="AS390" s="1" t="s">
        <v>74</v>
      </c>
      <c r="AT390" s="1" t="s">
        <v>74</v>
      </c>
      <c r="AU390" s="1">
        <v>2024.0</v>
      </c>
      <c r="AV390" s="1" t="s">
        <v>74</v>
      </c>
      <c r="AW390" s="1" t="s">
        <v>74</v>
      </c>
      <c r="AX390" s="1" t="s">
        <v>74</v>
      </c>
      <c r="AY390" s="1" t="s">
        <v>74</v>
      </c>
      <c r="AZ390" s="1" t="s">
        <v>74</v>
      </c>
      <c r="BA390" s="1" t="s">
        <v>74</v>
      </c>
      <c r="BB390" s="1">
        <v>94.0</v>
      </c>
      <c r="BC390" s="1">
        <v>98.0</v>
      </c>
      <c r="BD390" s="1" t="s">
        <v>74</v>
      </c>
      <c r="BE390" s="1" t="s">
        <v>8169</v>
      </c>
      <c r="BF390" s="2" t="str">
        <f>HYPERLINK("http://dx.doi.org/10.1109/ICAIBD62003.2024.10604633","http://dx.doi.org/10.1109/ICAIBD62003.2024.10604633")</f>
        <v>http://dx.doi.org/10.1109/ICAIBD62003.2024.10604633</v>
      </c>
      <c r="BG390" s="1" t="s">
        <v>74</v>
      </c>
      <c r="BH390" s="1" t="s">
        <v>74</v>
      </c>
      <c r="BI390" s="1">
        <v>5.0</v>
      </c>
      <c r="BJ390" s="1" t="s">
        <v>257</v>
      </c>
      <c r="BK390" s="1" t="s">
        <v>128</v>
      </c>
      <c r="BL390" s="1" t="s">
        <v>232</v>
      </c>
      <c r="BM390" s="1" t="s">
        <v>258</v>
      </c>
      <c r="BN390" s="1" t="s">
        <v>74</v>
      </c>
      <c r="BO390" s="1" t="s">
        <v>74</v>
      </c>
      <c r="BP390" s="1" t="s">
        <v>74</v>
      </c>
      <c r="BQ390" s="1" t="s">
        <v>74</v>
      </c>
      <c r="BR390" s="1" t="s">
        <v>102</v>
      </c>
      <c r="BS390" s="1" t="s">
        <v>8170</v>
      </c>
      <c r="BT390" s="1" t="str">
        <f>HYPERLINK("https%3A%2F%2Fwww.webofscience.com%2Fwos%2Fwoscc%2Ffull-record%2FWOS:001291266000017","View Full Record in Web of Science")</f>
        <v>View Full Record in Web of Science</v>
      </c>
    </row>
    <row r="391" ht="12.75" customHeight="1">
      <c r="A391" s="1" t="s">
        <v>132</v>
      </c>
      <c r="B391" s="1" t="s">
        <v>8171</v>
      </c>
      <c r="C391" s="1" t="s">
        <v>74</v>
      </c>
      <c r="D391" s="1" t="s">
        <v>74</v>
      </c>
      <c r="E391" s="1" t="s">
        <v>74</v>
      </c>
      <c r="F391" s="1" t="s">
        <v>8172</v>
      </c>
      <c r="G391" s="1" t="s">
        <v>74</v>
      </c>
      <c r="H391" s="1" t="s">
        <v>74</v>
      </c>
      <c r="I391" s="1" t="s">
        <v>8173</v>
      </c>
      <c r="J391" s="1" t="s">
        <v>8174</v>
      </c>
      <c r="K391" s="1" t="s">
        <v>74</v>
      </c>
      <c r="L391" s="1" t="s">
        <v>74</v>
      </c>
      <c r="M391" s="1" t="s">
        <v>80</v>
      </c>
      <c r="N391" s="1" t="s">
        <v>136</v>
      </c>
      <c r="O391" s="1" t="s">
        <v>74</v>
      </c>
      <c r="P391" s="1" t="s">
        <v>74</v>
      </c>
      <c r="Q391" s="1" t="s">
        <v>74</v>
      </c>
      <c r="R391" s="1" t="s">
        <v>74</v>
      </c>
      <c r="S391" s="1" t="s">
        <v>74</v>
      </c>
      <c r="T391" s="1" t="s">
        <v>8175</v>
      </c>
      <c r="U391" s="1" t="s">
        <v>8176</v>
      </c>
      <c r="V391" s="1" t="s">
        <v>8177</v>
      </c>
      <c r="W391" s="1" t="s">
        <v>8178</v>
      </c>
      <c r="X391" s="1" t="s">
        <v>8179</v>
      </c>
      <c r="Y391" s="1" t="s">
        <v>8180</v>
      </c>
      <c r="Z391" s="1" t="s">
        <v>8181</v>
      </c>
      <c r="AA391" s="1" t="s">
        <v>8182</v>
      </c>
      <c r="AB391" s="1" t="s">
        <v>8183</v>
      </c>
      <c r="AC391" s="1" t="s">
        <v>74</v>
      </c>
      <c r="AD391" s="1" t="s">
        <v>74</v>
      </c>
      <c r="AE391" s="1" t="s">
        <v>74</v>
      </c>
      <c r="AF391" s="1" t="s">
        <v>74</v>
      </c>
      <c r="AG391" s="1">
        <v>62.0</v>
      </c>
      <c r="AH391" s="1">
        <v>2.0</v>
      </c>
      <c r="AI391" s="1">
        <v>2.0</v>
      </c>
      <c r="AJ391" s="1">
        <v>43.0</v>
      </c>
      <c r="AK391" s="1">
        <v>43.0</v>
      </c>
      <c r="AL391" s="1" t="s">
        <v>321</v>
      </c>
      <c r="AM391" s="1" t="s">
        <v>322</v>
      </c>
      <c r="AN391" s="1" t="s">
        <v>323</v>
      </c>
      <c r="AO391" s="1" t="s">
        <v>8184</v>
      </c>
      <c r="AP391" s="1" t="s">
        <v>8185</v>
      </c>
      <c r="AQ391" s="1" t="s">
        <v>74</v>
      </c>
      <c r="AR391" s="1" t="s">
        <v>8186</v>
      </c>
      <c r="AS391" s="1" t="s">
        <v>8187</v>
      </c>
      <c r="AT391" s="1" t="s">
        <v>1709</v>
      </c>
      <c r="AU391" s="1">
        <v>2024.0</v>
      </c>
      <c r="AV391" s="1">
        <v>137.0</v>
      </c>
      <c r="AW391" s="1" t="s">
        <v>74</v>
      </c>
      <c r="AX391" s="1" t="s">
        <v>74</v>
      </c>
      <c r="AY391" s="1" t="s">
        <v>74</v>
      </c>
      <c r="AZ391" s="1" t="s">
        <v>74</v>
      </c>
      <c r="BA391" s="1" t="s">
        <v>74</v>
      </c>
      <c r="BB391" s="1" t="s">
        <v>74</v>
      </c>
      <c r="BC391" s="1" t="s">
        <v>74</v>
      </c>
      <c r="BD391" s="1">
        <v>107809.0</v>
      </c>
      <c r="BE391" s="1" t="s">
        <v>8188</v>
      </c>
      <c r="BF391" s="2" t="str">
        <f>HYPERLINK("http://dx.doi.org/10.1016/j.eneco.2024.107809","http://dx.doi.org/10.1016/j.eneco.2024.107809")</f>
        <v>http://dx.doi.org/10.1016/j.eneco.2024.107809</v>
      </c>
      <c r="BG391" s="1" t="s">
        <v>74</v>
      </c>
      <c r="BH391" s="1" t="s">
        <v>3349</v>
      </c>
      <c r="BI391" s="1">
        <v>13.0</v>
      </c>
      <c r="BJ391" s="1" t="s">
        <v>202</v>
      </c>
      <c r="BK391" s="1" t="s">
        <v>203</v>
      </c>
      <c r="BL391" s="1" t="s">
        <v>204</v>
      </c>
      <c r="BM391" s="1" t="s">
        <v>8189</v>
      </c>
      <c r="BN391" s="1" t="s">
        <v>74</v>
      </c>
      <c r="BO391" s="1" t="s">
        <v>74</v>
      </c>
      <c r="BP391" s="1" t="s">
        <v>74</v>
      </c>
      <c r="BQ391" s="1" t="s">
        <v>74</v>
      </c>
      <c r="BR391" s="1" t="s">
        <v>102</v>
      </c>
      <c r="BS391" s="1" t="s">
        <v>8190</v>
      </c>
      <c r="BT391" s="1" t="str">
        <f>HYPERLINK("https%3A%2F%2Fwww.webofscience.com%2Fwos%2Fwoscc%2Ffull-record%2FWOS:001288742000001","View Full Record in Web of Science")</f>
        <v>View Full Record in Web of Science</v>
      </c>
    </row>
    <row r="392" ht="12.75" customHeight="1">
      <c r="A392" s="1" t="s">
        <v>132</v>
      </c>
      <c r="B392" s="1" t="s">
        <v>8191</v>
      </c>
      <c r="C392" s="1" t="s">
        <v>74</v>
      </c>
      <c r="D392" s="1" t="s">
        <v>74</v>
      </c>
      <c r="E392" s="1" t="s">
        <v>74</v>
      </c>
      <c r="F392" s="1" t="s">
        <v>8192</v>
      </c>
      <c r="G392" s="1" t="s">
        <v>74</v>
      </c>
      <c r="H392" s="1" t="s">
        <v>74</v>
      </c>
      <c r="I392" s="1" t="s">
        <v>8193</v>
      </c>
      <c r="J392" s="1" t="s">
        <v>8194</v>
      </c>
      <c r="K392" s="1" t="s">
        <v>74</v>
      </c>
      <c r="L392" s="1" t="s">
        <v>74</v>
      </c>
      <c r="M392" s="1" t="s">
        <v>80</v>
      </c>
      <c r="N392" s="1" t="s">
        <v>136</v>
      </c>
      <c r="O392" s="1" t="s">
        <v>74</v>
      </c>
      <c r="P392" s="1" t="s">
        <v>74</v>
      </c>
      <c r="Q392" s="1" t="s">
        <v>74</v>
      </c>
      <c r="R392" s="1" t="s">
        <v>74</v>
      </c>
      <c r="S392" s="1" t="s">
        <v>74</v>
      </c>
      <c r="T392" s="1" t="s">
        <v>8195</v>
      </c>
      <c r="U392" s="1" t="s">
        <v>8196</v>
      </c>
      <c r="V392" s="1" t="s">
        <v>8197</v>
      </c>
      <c r="W392" s="1" t="s">
        <v>8198</v>
      </c>
      <c r="X392" s="1" t="s">
        <v>8199</v>
      </c>
      <c r="Y392" s="1" t="s">
        <v>8200</v>
      </c>
      <c r="Z392" s="1" t="s">
        <v>8201</v>
      </c>
      <c r="AA392" s="1" t="s">
        <v>8202</v>
      </c>
      <c r="AB392" s="1" t="s">
        <v>74</v>
      </c>
      <c r="AC392" s="1" t="s">
        <v>74</v>
      </c>
      <c r="AD392" s="1" t="s">
        <v>74</v>
      </c>
      <c r="AE392" s="1" t="s">
        <v>74</v>
      </c>
      <c r="AF392" s="1" t="s">
        <v>74</v>
      </c>
      <c r="AG392" s="1">
        <v>92.0</v>
      </c>
      <c r="AH392" s="1">
        <v>2.0</v>
      </c>
      <c r="AI392" s="1">
        <v>2.0</v>
      </c>
      <c r="AJ392" s="1">
        <v>10.0</v>
      </c>
      <c r="AK392" s="1">
        <v>30.0</v>
      </c>
      <c r="AL392" s="1" t="s">
        <v>1089</v>
      </c>
      <c r="AM392" s="1" t="s">
        <v>1090</v>
      </c>
      <c r="AN392" s="1" t="s">
        <v>1091</v>
      </c>
      <c r="AO392" s="1" t="s">
        <v>8203</v>
      </c>
      <c r="AP392" s="1" t="s">
        <v>8204</v>
      </c>
      <c r="AQ392" s="1" t="s">
        <v>74</v>
      </c>
      <c r="AR392" s="1" t="s">
        <v>8205</v>
      </c>
      <c r="AS392" s="1" t="s">
        <v>8206</v>
      </c>
      <c r="AT392" s="1" t="s">
        <v>302</v>
      </c>
      <c r="AU392" s="1">
        <v>2023.0</v>
      </c>
      <c r="AV392" s="1">
        <v>99.0</v>
      </c>
      <c r="AW392" s="1" t="s">
        <v>74</v>
      </c>
      <c r="AX392" s="1" t="s">
        <v>74</v>
      </c>
      <c r="AY392" s="1" t="s">
        <v>74</v>
      </c>
      <c r="AZ392" s="1" t="s">
        <v>74</v>
      </c>
      <c r="BA392" s="1" t="s">
        <v>74</v>
      </c>
      <c r="BB392" s="1" t="s">
        <v>74</v>
      </c>
      <c r="BC392" s="1" t="s">
        <v>74</v>
      </c>
      <c r="BD392" s="1">
        <v>102294.0</v>
      </c>
      <c r="BE392" s="1" t="s">
        <v>8207</v>
      </c>
      <c r="BF392" s="2" t="str">
        <f>HYPERLINK("http://dx.doi.org/10.1016/j.evalprogplan.2023.102294","http://dx.doi.org/10.1016/j.evalprogplan.2023.102294")</f>
        <v>http://dx.doi.org/10.1016/j.evalprogplan.2023.102294</v>
      </c>
      <c r="BG392" s="1" t="s">
        <v>74</v>
      </c>
      <c r="BH392" s="1" t="s">
        <v>8208</v>
      </c>
      <c r="BI392" s="1">
        <v>12.0</v>
      </c>
      <c r="BJ392" s="1" t="s">
        <v>98</v>
      </c>
      <c r="BK392" s="1" t="s">
        <v>203</v>
      </c>
      <c r="BL392" s="1" t="s">
        <v>100</v>
      </c>
      <c r="BM392" s="1" t="s">
        <v>8209</v>
      </c>
      <c r="BN392" s="1">
        <v>3.720964E7</v>
      </c>
      <c r="BO392" s="1" t="s">
        <v>74</v>
      </c>
      <c r="BP392" s="1" t="s">
        <v>74</v>
      </c>
      <c r="BQ392" s="1" t="s">
        <v>74</v>
      </c>
      <c r="BR392" s="1" t="s">
        <v>102</v>
      </c>
      <c r="BS392" s="1" t="s">
        <v>8210</v>
      </c>
      <c r="BT392" s="1" t="str">
        <f>HYPERLINK("https%3A%2F%2Fwww.webofscience.com%2Fwos%2Fwoscc%2Ffull-record%2FWOS:001001561000001","View Full Record in Web of Science")</f>
        <v>View Full Record in Web of Science</v>
      </c>
    </row>
    <row r="393" ht="12.75" customHeight="1">
      <c r="A393" s="1" t="s">
        <v>132</v>
      </c>
      <c r="B393" s="1" t="s">
        <v>8211</v>
      </c>
      <c r="C393" s="1" t="s">
        <v>74</v>
      </c>
      <c r="D393" s="1" t="s">
        <v>74</v>
      </c>
      <c r="E393" s="1" t="s">
        <v>74</v>
      </c>
      <c r="F393" s="1" t="s">
        <v>8212</v>
      </c>
      <c r="G393" s="1" t="s">
        <v>74</v>
      </c>
      <c r="H393" s="1" t="s">
        <v>74</v>
      </c>
      <c r="I393" s="1" t="s">
        <v>8213</v>
      </c>
      <c r="J393" s="1" t="s">
        <v>8214</v>
      </c>
      <c r="K393" s="1" t="s">
        <v>74</v>
      </c>
      <c r="L393" s="1" t="s">
        <v>74</v>
      </c>
      <c r="M393" s="1" t="s">
        <v>80</v>
      </c>
      <c r="N393" s="1" t="s">
        <v>136</v>
      </c>
      <c r="O393" s="1" t="s">
        <v>74</v>
      </c>
      <c r="P393" s="1" t="s">
        <v>74</v>
      </c>
      <c r="Q393" s="1" t="s">
        <v>74</v>
      </c>
      <c r="R393" s="1" t="s">
        <v>74</v>
      </c>
      <c r="S393" s="1" t="s">
        <v>74</v>
      </c>
      <c r="T393" s="1" t="s">
        <v>8215</v>
      </c>
      <c r="U393" s="1" t="s">
        <v>8216</v>
      </c>
      <c r="V393" s="1" t="s">
        <v>8217</v>
      </c>
      <c r="W393" s="1" t="s">
        <v>8218</v>
      </c>
      <c r="X393" s="1" t="s">
        <v>8219</v>
      </c>
      <c r="Y393" s="1" t="s">
        <v>8220</v>
      </c>
      <c r="Z393" s="1" t="s">
        <v>8221</v>
      </c>
      <c r="AA393" s="1" t="s">
        <v>74</v>
      </c>
      <c r="AB393" s="1" t="s">
        <v>8222</v>
      </c>
      <c r="AC393" s="1" t="s">
        <v>8223</v>
      </c>
      <c r="AD393" s="1" t="s">
        <v>8224</v>
      </c>
      <c r="AE393" s="1" t="s">
        <v>8225</v>
      </c>
      <c r="AF393" s="1" t="s">
        <v>74</v>
      </c>
      <c r="AG393" s="1">
        <v>133.0</v>
      </c>
      <c r="AH393" s="1">
        <v>45.0</v>
      </c>
      <c r="AI393" s="1">
        <v>46.0</v>
      </c>
      <c r="AJ393" s="1">
        <v>11.0</v>
      </c>
      <c r="AK393" s="1">
        <v>133.0</v>
      </c>
      <c r="AL393" s="1" t="s">
        <v>1612</v>
      </c>
      <c r="AM393" s="1" t="s">
        <v>1613</v>
      </c>
      <c r="AN393" s="1" t="s">
        <v>1614</v>
      </c>
      <c r="AO393" s="1" t="s">
        <v>8226</v>
      </c>
      <c r="AP393" s="1" t="s">
        <v>8227</v>
      </c>
      <c r="AQ393" s="1" t="s">
        <v>74</v>
      </c>
      <c r="AR393" s="1" t="s">
        <v>8228</v>
      </c>
      <c r="AS393" s="1" t="s">
        <v>8229</v>
      </c>
      <c r="AT393" s="1" t="s">
        <v>1279</v>
      </c>
      <c r="AU393" s="1">
        <v>2020.0</v>
      </c>
      <c r="AV393" s="1">
        <v>22.0</v>
      </c>
      <c r="AW393" s="1">
        <v>7.0</v>
      </c>
      <c r="AX393" s="1" t="s">
        <v>74</v>
      </c>
      <c r="AY393" s="1" t="s">
        <v>74</v>
      </c>
      <c r="AZ393" s="1" t="s">
        <v>74</v>
      </c>
      <c r="BA393" s="1" t="s">
        <v>74</v>
      </c>
      <c r="BB393" s="1">
        <v>1823.0</v>
      </c>
      <c r="BC393" s="1">
        <v>1835.0</v>
      </c>
      <c r="BD393" s="1" t="s">
        <v>74</v>
      </c>
      <c r="BE393" s="1" t="s">
        <v>8230</v>
      </c>
      <c r="BF393" s="2" t="str">
        <f>HYPERLINK("http://dx.doi.org/10.1109/TMM.2020.2969791","http://dx.doi.org/10.1109/TMM.2020.2969791")</f>
        <v>http://dx.doi.org/10.1109/TMM.2020.2969791</v>
      </c>
      <c r="BG393" s="1" t="s">
        <v>74</v>
      </c>
      <c r="BH393" s="1" t="s">
        <v>74</v>
      </c>
      <c r="BI393" s="1">
        <v>13.0</v>
      </c>
      <c r="BJ393" s="1" t="s">
        <v>845</v>
      </c>
      <c r="BK393" s="1" t="s">
        <v>149</v>
      </c>
      <c r="BL393" s="1" t="s">
        <v>846</v>
      </c>
      <c r="BM393" s="1" t="s">
        <v>8231</v>
      </c>
      <c r="BN393" s="1" t="s">
        <v>74</v>
      </c>
      <c r="BO393" s="1" t="s">
        <v>74</v>
      </c>
      <c r="BP393" s="1" t="s">
        <v>74</v>
      </c>
      <c r="BQ393" s="1" t="s">
        <v>74</v>
      </c>
      <c r="BR393" s="1" t="s">
        <v>102</v>
      </c>
      <c r="BS393" s="1" t="s">
        <v>8232</v>
      </c>
      <c r="BT393" s="1" t="str">
        <f>HYPERLINK("https%3A%2F%2Fwww.webofscience.com%2Fwos%2Fwoscc%2Ffull-record%2FWOS:000545990500014","View Full Record in Web of Science")</f>
        <v>View Full Record in Web of Science</v>
      </c>
    </row>
    <row r="394" ht="12.75" customHeight="1">
      <c r="A394" s="1" t="s">
        <v>132</v>
      </c>
      <c r="B394" s="1" t="s">
        <v>8233</v>
      </c>
      <c r="C394" s="1" t="s">
        <v>74</v>
      </c>
      <c r="D394" s="1" t="s">
        <v>74</v>
      </c>
      <c r="E394" s="1" t="s">
        <v>74</v>
      </c>
      <c r="F394" s="1" t="s">
        <v>8234</v>
      </c>
      <c r="G394" s="1" t="s">
        <v>74</v>
      </c>
      <c r="H394" s="1" t="s">
        <v>74</v>
      </c>
      <c r="I394" s="1" t="s">
        <v>8235</v>
      </c>
      <c r="J394" s="1" t="s">
        <v>3159</v>
      </c>
      <c r="K394" s="1" t="s">
        <v>74</v>
      </c>
      <c r="L394" s="1" t="s">
        <v>74</v>
      </c>
      <c r="M394" s="1" t="s">
        <v>80</v>
      </c>
      <c r="N394" s="1" t="s">
        <v>1010</v>
      </c>
      <c r="O394" s="1" t="s">
        <v>74</v>
      </c>
      <c r="P394" s="1" t="s">
        <v>74</v>
      </c>
      <c r="Q394" s="1" t="s">
        <v>74</v>
      </c>
      <c r="R394" s="1" t="s">
        <v>74</v>
      </c>
      <c r="S394" s="1" t="s">
        <v>74</v>
      </c>
      <c r="T394" s="1" t="s">
        <v>8236</v>
      </c>
      <c r="U394" s="1" t="s">
        <v>8237</v>
      </c>
      <c r="V394" s="1" t="s">
        <v>8238</v>
      </c>
      <c r="W394" s="1" t="s">
        <v>8239</v>
      </c>
      <c r="X394" s="1" t="s">
        <v>8240</v>
      </c>
      <c r="Y394" s="1" t="s">
        <v>8241</v>
      </c>
      <c r="Z394" s="1" t="s">
        <v>8242</v>
      </c>
      <c r="AA394" s="1" t="s">
        <v>8243</v>
      </c>
      <c r="AB394" s="1" t="s">
        <v>8244</v>
      </c>
      <c r="AC394" s="1" t="s">
        <v>8245</v>
      </c>
      <c r="AD394" s="1" t="s">
        <v>8246</v>
      </c>
      <c r="AE394" s="1" t="s">
        <v>8247</v>
      </c>
      <c r="AF394" s="1" t="s">
        <v>74</v>
      </c>
      <c r="AG394" s="1">
        <v>155.0</v>
      </c>
      <c r="AH394" s="1">
        <v>23.0</v>
      </c>
      <c r="AI394" s="1">
        <v>25.0</v>
      </c>
      <c r="AJ394" s="1">
        <v>2.0</v>
      </c>
      <c r="AK394" s="1">
        <v>70.0</v>
      </c>
      <c r="AL394" s="1" t="s">
        <v>192</v>
      </c>
      <c r="AM394" s="1" t="s">
        <v>864</v>
      </c>
      <c r="AN394" s="1" t="s">
        <v>865</v>
      </c>
      <c r="AO394" s="1" t="s">
        <v>3172</v>
      </c>
      <c r="AP394" s="1" t="s">
        <v>3173</v>
      </c>
      <c r="AQ394" s="1" t="s">
        <v>74</v>
      </c>
      <c r="AR394" s="1" t="s">
        <v>3174</v>
      </c>
      <c r="AS394" s="1" t="s">
        <v>3175</v>
      </c>
      <c r="AT394" s="1" t="s">
        <v>302</v>
      </c>
      <c r="AU394" s="1">
        <v>2022.0</v>
      </c>
      <c r="AV394" s="1">
        <v>55.0</v>
      </c>
      <c r="AW394" s="1">
        <v>6.0</v>
      </c>
      <c r="AX394" s="1" t="s">
        <v>74</v>
      </c>
      <c r="AY394" s="1" t="s">
        <v>74</v>
      </c>
      <c r="AZ394" s="1" t="s">
        <v>74</v>
      </c>
      <c r="BA394" s="1" t="s">
        <v>74</v>
      </c>
      <c r="BB394" s="1">
        <v>4941.0</v>
      </c>
      <c r="BC394" s="1">
        <v>4977.0</v>
      </c>
      <c r="BD394" s="1" t="s">
        <v>74</v>
      </c>
      <c r="BE394" s="1" t="s">
        <v>8248</v>
      </c>
      <c r="BF394" s="2" t="str">
        <f>HYPERLINK("http://dx.doi.org/10.1007/s10462-021-10106-z","http://dx.doi.org/10.1007/s10462-021-10106-z")</f>
        <v>http://dx.doi.org/10.1007/s10462-021-10106-z</v>
      </c>
      <c r="BG394" s="1" t="s">
        <v>74</v>
      </c>
      <c r="BH394" s="1" t="s">
        <v>8249</v>
      </c>
      <c r="BI394" s="1">
        <v>37.0</v>
      </c>
      <c r="BJ394" s="1" t="s">
        <v>1214</v>
      </c>
      <c r="BK394" s="1" t="s">
        <v>149</v>
      </c>
      <c r="BL394" s="1" t="s">
        <v>232</v>
      </c>
      <c r="BM394" s="1" t="s">
        <v>8250</v>
      </c>
      <c r="BN394" s="1">
        <v>3.500201E7</v>
      </c>
      <c r="BO394" s="1" t="s">
        <v>8251</v>
      </c>
      <c r="BP394" s="1" t="s">
        <v>74</v>
      </c>
      <c r="BQ394" s="1" t="s">
        <v>74</v>
      </c>
      <c r="BR394" s="1" t="s">
        <v>102</v>
      </c>
      <c r="BS394" s="1" t="s">
        <v>8252</v>
      </c>
      <c r="BT394" s="1" t="str">
        <f>HYPERLINK("https%3A%2F%2Fwww.webofscience.com%2Fwos%2Fwoscc%2Ffull-record%2FWOS:000737095700001","View Full Record in Web of Science")</f>
        <v>View Full Record in Web of Science</v>
      </c>
    </row>
    <row r="395" ht="12.75" customHeight="1">
      <c r="A395" s="1" t="s">
        <v>132</v>
      </c>
      <c r="B395" s="1" t="s">
        <v>8253</v>
      </c>
      <c r="C395" s="1" t="s">
        <v>74</v>
      </c>
      <c r="D395" s="1" t="s">
        <v>74</v>
      </c>
      <c r="E395" s="1" t="s">
        <v>74</v>
      </c>
      <c r="F395" s="1" t="s">
        <v>8253</v>
      </c>
      <c r="G395" s="1" t="s">
        <v>74</v>
      </c>
      <c r="H395" s="1" t="s">
        <v>74</v>
      </c>
      <c r="I395" s="1" t="s">
        <v>8254</v>
      </c>
      <c r="J395" s="1" t="s">
        <v>8255</v>
      </c>
      <c r="K395" s="1" t="s">
        <v>74</v>
      </c>
      <c r="L395" s="1" t="s">
        <v>74</v>
      </c>
      <c r="M395" s="1" t="s">
        <v>80</v>
      </c>
      <c r="N395" s="1" t="s">
        <v>1010</v>
      </c>
      <c r="O395" s="1" t="s">
        <v>74</v>
      </c>
      <c r="P395" s="1" t="s">
        <v>74</v>
      </c>
      <c r="Q395" s="1" t="s">
        <v>74</v>
      </c>
      <c r="R395" s="1" t="s">
        <v>74</v>
      </c>
      <c r="S395" s="1" t="s">
        <v>74</v>
      </c>
      <c r="T395" s="1" t="s">
        <v>8256</v>
      </c>
      <c r="U395" s="1" t="s">
        <v>8257</v>
      </c>
      <c r="V395" s="1" t="s">
        <v>8258</v>
      </c>
      <c r="W395" s="1" t="s">
        <v>8259</v>
      </c>
      <c r="X395" s="1" t="s">
        <v>8260</v>
      </c>
      <c r="Y395" s="1" t="s">
        <v>8261</v>
      </c>
      <c r="Z395" s="1" t="s">
        <v>8262</v>
      </c>
      <c r="AA395" s="1" t="s">
        <v>8263</v>
      </c>
      <c r="AB395" s="1" t="s">
        <v>8264</v>
      </c>
      <c r="AC395" s="1" t="s">
        <v>74</v>
      </c>
      <c r="AD395" s="1" t="s">
        <v>74</v>
      </c>
      <c r="AE395" s="1" t="s">
        <v>74</v>
      </c>
      <c r="AF395" s="1" t="s">
        <v>74</v>
      </c>
      <c r="AG395" s="1">
        <v>105.0</v>
      </c>
      <c r="AH395" s="1">
        <v>120.0</v>
      </c>
      <c r="AI395" s="1">
        <v>132.0</v>
      </c>
      <c r="AJ395" s="1">
        <v>8.0</v>
      </c>
      <c r="AK395" s="1">
        <v>96.0</v>
      </c>
      <c r="AL395" s="1" t="s">
        <v>192</v>
      </c>
      <c r="AM395" s="1" t="s">
        <v>864</v>
      </c>
      <c r="AN395" s="1" t="s">
        <v>865</v>
      </c>
      <c r="AO395" s="1" t="s">
        <v>8265</v>
      </c>
      <c r="AP395" s="1" t="s">
        <v>8266</v>
      </c>
      <c r="AQ395" s="1" t="s">
        <v>74</v>
      </c>
      <c r="AR395" s="1" t="s">
        <v>8267</v>
      </c>
      <c r="AS395" s="1" t="s">
        <v>8268</v>
      </c>
      <c r="AT395" s="1" t="s">
        <v>1279</v>
      </c>
      <c r="AU395" s="1">
        <v>2000.0</v>
      </c>
      <c r="AV395" s="1">
        <v>13.0</v>
      </c>
      <c r="AW395" s="1">
        <v>1.0</v>
      </c>
      <c r="AX395" s="1" t="s">
        <v>74</v>
      </c>
      <c r="AY395" s="1" t="s">
        <v>74</v>
      </c>
      <c r="AZ395" s="1" t="s">
        <v>74</v>
      </c>
      <c r="BA395" s="1" t="s">
        <v>74</v>
      </c>
      <c r="BB395" s="1">
        <v>77.0</v>
      </c>
      <c r="BC395" s="1">
        <v>91.0</v>
      </c>
      <c r="BD395" s="1" t="s">
        <v>74</v>
      </c>
      <c r="BE395" s="1" t="s">
        <v>8269</v>
      </c>
      <c r="BF395" s="2" t="str">
        <f>HYPERLINK("http://dx.doi.org/10.1023/A:1008331413864","http://dx.doi.org/10.1023/A:1008331413864")</f>
        <v>http://dx.doi.org/10.1023/A:1008331413864</v>
      </c>
      <c r="BG395" s="1" t="s">
        <v>74</v>
      </c>
      <c r="BH395" s="1" t="s">
        <v>74</v>
      </c>
      <c r="BI395" s="1">
        <v>15.0</v>
      </c>
      <c r="BJ395" s="1" t="s">
        <v>1214</v>
      </c>
      <c r="BK395" s="1" t="s">
        <v>149</v>
      </c>
      <c r="BL395" s="1" t="s">
        <v>232</v>
      </c>
      <c r="BM395" s="1" t="s">
        <v>8270</v>
      </c>
      <c r="BN395" s="1" t="s">
        <v>74</v>
      </c>
      <c r="BO395" s="1" t="s">
        <v>74</v>
      </c>
      <c r="BP395" s="1" t="s">
        <v>74</v>
      </c>
      <c r="BQ395" s="1" t="s">
        <v>74</v>
      </c>
      <c r="BR395" s="1" t="s">
        <v>102</v>
      </c>
      <c r="BS395" s="1" t="s">
        <v>8271</v>
      </c>
      <c r="BT395" s="1" t="str">
        <f>HYPERLINK("https%3A%2F%2Fwww.webofscience.com%2Fwos%2Fwoscc%2Ffull-record%2FWOS:000087705300006","View Full Record in Web of Science")</f>
        <v>View Full Record in Web of Science</v>
      </c>
    </row>
    <row r="396" ht="12.75" customHeight="1">
      <c r="A396" s="1" t="s">
        <v>72</v>
      </c>
      <c r="B396" s="1" t="s">
        <v>8272</v>
      </c>
      <c r="C396" s="1" t="s">
        <v>74</v>
      </c>
      <c r="D396" s="1" t="s">
        <v>74</v>
      </c>
      <c r="E396" s="1" t="s">
        <v>296</v>
      </c>
      <c r="F396" s="1" t="s">
        <v>8273</v>
      </c>
      <c r="G396" s="1" t="s">
        <v>74</v>
      </c>
      <c r="H396" s="1" t="s">
        <v>74</v>
      </c>
      <c r="I396" s="1" t="s">
        <v>8274</v>
      </c>
      <c r="J396" s="1" t="s">
        <v>8275</v>
      </c>
      <c r="K396" s="1" t="s">
        <v>8276</v>
      </c>
      <c r="L396" s="1" t="s">
        <v>74</v>
      </c>
      <c r="M396" s="1" t="s">
        <v>80</v>
      </c>
      <c r="N396" s="1" t="s">
        <v>81</v>
      </c>
      <c r="O396" s="1" t="s">
        <v>8277</v>
      </c>
      <c r="P396" s="1" t="s">
        <v>8278</v>
      </c>
      <c r="Q396" s="1" t="s">
        <v>8279</v>
      </c>
      <c r="R396" s="1" t="s">
        <v>8280</v>
      </c>
      <c r="S396" s="1" t="s">
        <v>74</v>
      </c>
      <c r="T396" s="1" t="s">
        <v>8281</v>
      </c>
      <c r="U396" s="1" t="s">
        <v>74</v>
      </c>
      <c r="V396" s="1" t="s">
        <v>8282</v>
      </c>
      <c r="W396" s="1" t="s">
        <v>8283</v>
      </c>
      <c r="X396" s="1" t="s">
        <v>8284</v>
      </c>
      <c r="Y396" s="1" t="s">
        <v>8285</v>
      </c>
      <c r="Z396" s="1" t="s">
        <v>8286</v>
      </c>
      <c r="AA396" s="1" t="s">
        <v>8287</v>
      </c>
      <c r="AB396" s="1" t="s">
        <v>8288</v>
      </c>
      <c r="AC396" s="1" t="s">
        <v>74</v>
      </c>
      <c r="AD396" s="1" t="s">
        <v>74</v>
      </c>
      <c r="AE396" s="1" t="s">
        <v>74</v>
      </c>
      <c r="AF396" s="1" t="s">
        <v>74</v>
      </c>
      <c r="AG396" s="1">
        <v>31.0</v>
      </c>
      <c r="AH396" s="1">
        <v>0.0</v>
      </c>
      <c r="AI396" s="1">
        <v>0.0</v>
      </c>
      <c r="AJ396" s="1">
        <v>11.0</v>
      </c>
      <c r="AK396" s="1">
        <v>11.0</v>
      </c>
      <c r="AL396" s="1" t="s">
        <v>296</v>
      </c>
      <c r="AM396" s="1" t="s">
        <v>297</v>
      </c>
      <c r="AN396" s="1" t="s">
        <v>800</v>
      </c>
      <c r="AO396" s="1" t="s">
        <v>8289</v>
      </c>
      <c r="AP396" s="1" t="s">
        <v>8290</v>
      </c>
      <c r="AQ396" s="1" t="s">
        <v>8291</v>
      </c>
      <c r="AR396" s="1" t="s">
        <v>8292</v>
      </c>
      <c r="AS396" s="1" t="s">
        <v>74</v>
      </c>
      <c r="AT396" s="1" t="s">
        <v>74</v>
      </c>
      <c r="AU396" s="1">
        <v>2024.0</v>
      </c>
      <c r="AV396" s="1" t="s">
        <v>74</v>
      </c>
      <c r="AW396" s="1" t="s">
        <v>74</v>
      </c>
      <c r="AX396" s="1" t="s">
        <v>74</v>
      </c>
      <c r="AY396" s="1" t="s">
        <v>74</v>
      </c>
      <c r="AZ396" s="1" t="s">
        <v>74</v>
      </c>
      <c r="BA396" s="1" t="s">
        <v>74</v>
      </c>
      <c r="BB396" s="1">
        <v>528.0</v>
      </c>
      <c r="BC396" s="1">
        <v>530.0</v>
      </c>
      <c r="BD396" s="1" t="s">
        <v>74</v>
      </c>
      <c r="BE396" s="1" t="s">
        <v>8293</v>
      </c>
      <c r="BF396" s="2" t="str">
        <f>HYPERLINK("http://dx.doi.org/10.1109/ICHI61247.2024.00077","http://dx.doi.org/10.1109/ICHI61247.2024.00077")</f>
        <v>http://dx.doi.org/10.1109/ICHI61247.2024.00077</v>
      </c>
      <c r="BG396" s="1" t="s">
        <v>74</v>
      </c>
      <c r="BH396" s="1" t="s">
        <v>74</v>
      </c>
      <c r="BI396" s="1">
        <v>3.0</v>
      </c>
      <c r="BJ396" s="1" t="s">
        <v>8294</v>
      </c>
      <c r="BK396" s="1" t="s">
        <v>128</v>
      </c>
      <c r="BL396" s="1" t="s">
        <v>8295</v>
      </c>
      <c r="BM396" s="1" t="s">
        <v>8296</v>
      </c>
      <c r="BN396" s="1" t="s">
        <v>74</v>
      </c>
      <c r="BO396" s="1" t="s">
        <v>74</v>
      </c>
      <c r="BP396" s="1" t="s">
        <v>74</v>
      </c>
      <c r="BQ396" s="1" t="s">
        <v>74</v>
      </c>
      <c r="BR396" s="1" t="s">
        <v>102</v>
      </c>
      <c r="BS396" s="1" t="s">
        <v>8297</v>
      </c>
      <c r="BT396" s="1" t="str">
        <f>HYPERLINK("https%3A%2F%2Fwww.webofscience.com%2Fwos%2Fwoscc%2Ffull-record%2FWOS:001304501700069","View Full Record in Web of Science")</f>
        <v>View Full Record in Web of Science</v>
      </c>
    </row>
    <row r="397" ht="12.75" customHeight="1">
      <c r="A397" s="1" t="s">
        <v>132</v>
      </c>
      <c r="B397" s="1" t="s">
        <v>8298</v>
      </c>
      <c r="C397" s="1" t="s">
        <v>74</v>
      </c>
      <c r="D397" s="1" t="s">
        <v>74</v>
      </c>
      <c r="E397" s="1" t="s">
        <v>74</v>
      </c>
      <c r="F397" s="1" t="s">
        <v>8299</v>
      </c>
      <c r="G397" s="1" t="s">
        <v>74</v>
      </c>
      <c r="H397" s="1" t="s">
        <v>74</v>
      </c>
      <c r="I397" s="1" t="s">
        <v>8300</v>
      </c>
      <c r="J397" s="1" t="s">
        <v>8301</v>
      </c>
      <c r="K397" s="1" t="s">
        <v>74</v>
      </c>
      <c r="L397" s="1" t="s">
        <v>74</v>
      </c>
      <c r="M397" s="1" t="s">
        <v>80</v>
      </c>
      <c r="N397" s="1" t="s">
        <v>136</v>
      </c>
      <c r="O397" s="1" t="s">
        <v>74</v>
      </c>
      <c r="P397" s="1" t="s">
        <v>74</v>
      </c>
      <c r="Q397" s="1" t="s">
        <v>74</v>
      </c>
      <c r="R397" s="1" t="s">
        <v>74</v>
      </c>
      <c r="S397" s="1" t="s">
        <v>74</v>
      </c>
      <c r="T397" s="1" t="s">
        <v>8302</v>
      </c>
      <c r="U397" s="1" t="s">
        <v>8303</v>
      </c>
      <c r="V397" s="1" t="s">
        <v>8304</v>
      </c>
      <c r="W397" s="1" t="s">
        <v>8305</v>
      </c>
      <c r="X397" s="1" t="s">
        <v>8306</v>
      </c>
      <c r="Y397" s="1" t="s">
        <v>8307</v>
      </c>
      <c r="Z397" s="1" t="s">
        <v>8308</v>
      </c>
      <c r="AA397" s="1" t="s">
        <v>8309</v>
      </c>
      <c r="AB397" s="1" t="s">
        <v>8310</v>
      </c>
      <c r="AC397" s="1" t="s">
        <v>74</v>
      </c>
      <c r="AD397" s="1" t="s">
        <v>74</v>
      </c>
      <c r="AE397" s="1" t="s">
        <v>74</v>
      </c>
      <c r="AF397" s="1" t="s">
        <v>74</v>
      </c>
      <c r="AG397" s="1">
        <v>117.0</v>
      </c>
      <c r="AH397" s="1">
        <v>0.0</v>
      </c>
      <c r="AI397" s="1">
        <v>0.0</v>
      </c>
      <c r="AJ397" s="1">
        <v>32.0</v>
      </c>
      <c r="AK397" s="1">
        <v>32.0</v>
      </c>
      <c r="AL397" s="1" t="s">
        <v>8311</v>
      </c>
      <c r="AM397" s="1" t="s">
        <v>8312</v>
      </c>
      <c r="AN397" s="1" t="s">
        <v>8313</v>
      </c>
      <c r="AO397" s="1" t="s">
        <v>8314</v>
      </c>
      <c r="AP397" s="1" t="s">
        <v>8315</v>
      </c>
      <c r="AQ397" s="1" t="s">
        <v>74</v>
      </c>
      <c r="AR397" s="1" t="s">
        <v>8316</v>
      </c>
      <c r="AS397" s="1" t="s">
        <v>8317</v>
      </c>
      <c r="AT397" s="1" t="s">
        <v>328</v>
      </c>
      <c r="AU397" s="1">
        <v>2024.0</v>
      </c>
      <c r="AV397" s="1">
        <v>76.0</v>
      </c>
      <c r="AW397" s="1">
        <v>2.0</v>
      </c>
      <c r="AX397" s="1" t="s">
        <v>74</v>
      </c>
      <c r="AY397" s="1" t="s">
        <v>74</v>
      </c>
      <c r="AZ397" s="1" t="s">
        <v>74</v>
      </c>
      <c r="BA397" s="1" t="s">
        <v>74</v>
      </c>
      <c r="BB397" s="1">
        <v>137.0</v>
      </c>
      <c r="BC397" s="1">
        <v>162.0</v>
      </c>
      <c r="BD397" s="1" t="s">
        <v>74</v>
      </c>
      <c r="BE397" s="1" t="s">
        <v>8318</v>
      </c>
      <c r="BF397" s="2" t="str">
        <f>HYPERLINK("http://dx.doi.org/10.1037/cpb0000274","http://dx.doi.org/10.1037/cpb0000274")</f>
        <v>http://dx.doi.org/10.1037/cpb0000274</v>
      </c>
      <c r="BG397" s="1" t="s">
        <v>74</v>
      </c>
      <c r="BH397" s="1" t="s">
        <v>74</v>
      </c>
      <c r="BI397" s="1">
        <v>26.0</v>
      </c>
      <c r="BJ397" s="1" t="s">
        <v>8319</v>
      </c>
      <c r="BK397" s="1" t="s">
        <v>172</v>
      </c>
      <c r="BL397" s="1" t="s">
        <v>3261</v>
      </c>
      <c r="BM397" s="1" t="s">
        <v>8320</v>
      </c>
      <c r="BN397" s="1" t="s">
        <v>74</v>
      </c>
      <c r="BO397" s="1" t="s">
        <v>306</v>
      </c>
      <c r="BP397" s="1" t="s">
        <v>74</v>
      </c>
      <c r="BQ397" s="1" t="s">
        <v>74</v>
      </c>
      <c r="BR397" s="1" t="s">
        <v>102</v>
      </c>
      <c r="BS397" s="1" t="s">
        <v>8321</v>
      </c>
      <c r="BT397" s="1" t="str">
        <f>HYPERLINK("https%3A%2F%2Fwww.webofscience.com%2Fwos%2Fwoscc%2Ffull-record%2FWOS:001327916000004","View Full Record in Web of Science")</f>
        <v>View Full Record in Web of Science</v>
      </c>
    </row>
    <row r="398" ht="12.75" customHeight="1">
      <c r="A398" s="1" t="s">
        <v>132</v>
      </c>
      <c r="B398" s="1" t="s">
        <v>8322</v>
      </c>
      <c r="C398" s="1" t="s">
        <v>74</v>
      </c>
      <c r="D398" s="1" t="s">
        <v>74</v>
      </c>
      <c r="E398" s="1" t="s">
        <v>74</v>
      </c>
      <c r="F398" s="1" t="s">
        <v>8323</v>
      </c>
      <c r="G398" s="1" t="s">
        <v>74</v>
      </c>
      <c r="H398" s="1" t="s">
        <v>74</v>
      </c>
      <c r="I398" s="1" t="s">
        <v>8324</v>
      </c>
      <c r="J398" s="1" t="s">
        <v>8325</v>
      </c>
      <c r="K398" s="1" t="s">
        <v>74</v>
      </c>
      <c r="L398" s="1" t="s">
        <v>74</v>
      </c>
      <c r="M398" s="1" t="s">
        <v>80</v>
      </c>
      <c r="N398" s="1" t="s">
        <v>136</v>
      </c>
      <c r="O398" s="1" t="s">
        <v>74</v>
      </c>
      <c r="P398" s="1" t="s">
        <v>74</v>
      </c>
      <c r="Q398" s="1" t="s">
        <v>74</v>
      </c>
      <c r="R398" s="1" t="s">
        <v>74</v>
      </c>
      <c r="S398" s="1" t="s">
        <v>74</v>
      </c>
      <c r="T398" s="1" t="s">
        <v>8326</v>
      </c>
      <c r="U398" s="1" t="s">
        <v>8327</v>
      </c>
      <c r="V398" s="1" t="s">
        <v>8328</v>
      </c>
      <c r="W398" s="1" t="s">
        <v>8329</v>
      </c>
      <c r="X398" s="1" t="s">
        <v>8330</v>
      </c>
      <c r="Y398" s="1" t="s">
        <v>8331</v>
      </c>
      <c r="Z398" s="1" t="s">
        <v>8332</v>
      </c>
      <c r="AA398" s="1" t="s">
        <v>74</v>
      </c>
      <c r="AB398" s="1" t="s">
        <v>74</v>
      </c>
      <c r="AC398" s="1" t="s">
        <v>74</v>
      </c>
      <c r="AD398" s="1" t="s">
        <v>74</v>
      </c>
      <c r="AE398" s="1" t="s">
        <v>74</v>
      </c>
      <c r="AF398" s="1" t="s">
        <v>74</v>
      </c>
      <c r="AG398" s="1">
        <v>27.0</v>
      </c>
      <c r="AH398" s="1">
        <v>10.0</v>
      </c>
      <c r="AI398" s="1">
        <v>10.0</v>
      </c>
      <c r="AJ398" s="1">
        <v>5.0</v>
      </c>
      <c r="AK398" s="1">
        <v>31.0</v>
      </c>
      <c r="AL398" s="1" t="s">
        <v>1357</v>
      </c>
      <c r="AM398" s="1" t="s">
        <v>1358</v>
      </c>
      <c r="AN398" s="1" t="s">
        <v>1359</v>
      </c>
      <c r="AO398" s="1" t="s">
        <v>8333</v>
      </c>
      <c r="AP398" s="1" t="s">
        <v>8334</v>
      </c>
      <c r="AQ398" s="1" t="s">
        <v>74</v>
      </c>
      <c r="AR398" s="1" t="s">
        <v>8335</v>
      </c>
      <c r="AS398" s="1" t="s">
        <v>8336</v>
      </c>
      <c r="AT398" s="1" t="s">
        <v>2469</v>
      </c>
      <c r="AU398" s="1">
        <v>2020.0</v>
      </c>
      <c r="AV398" s="1">
        <v>50.0</v>
      </c>
      <c r="AW398" s="1">
        <v>10.0</v>
      </c>
      <c r="AX398" s="1" t="s">
        <v>74</v>
      </c>
      <c r="AY398" s="1" t="s">
        <v>74</v>
      </c>
      <c r="AZ398" s="1" t="s">
        <v>74</v>
      </c>
      <c r="BA398" s="1" t="s">
        <v>74</v>
      </c>
      <c r="BB398" s="1">
        <v>1278.0</v>
      </c>
      <c r="BC398" s="1">
        <v>1281.0</v>
      </c>
      <c r="BD398" s="1" t="s">
        <v>74</v>
      </c>
      <c r="BE398" s="1" t="s">
        <v>8337</v>
      </c>
      <c r="BF398" s="2" t="str">
        <f>HYPERLINK("http://dx.doi.org/10.1111/imj.15017","http://dx.doi.org/10.1111/imj.15017")</f>
        <v>http://dx.doi.org/10.1111/imj.15017</v>
      </c>
      <c r="BG398" s="1" t="s">
        <v>74</v>
      </c>
      <c r="BH398" s="1" t="s">
        <v>74</v>
      </c>
      <c r="BI398" s="1">
        <v>4.0</v>
      </c>
      <c r="BJ398" s="1" t="s">
        <v>1158</v>
      </c>
      <c r="BK398" s="1" t="s">
        <v>149</v>
      </c>
      <c r="BL398" s="1" t="s">
        <v>1159</v>
      </c>
      <c r="BM398" s="1" t="s">
        <v>8338</v>
      </c>
      <c r="BN398" s="1">
        <v>3.3111408E7</v>
      </c>
      <c r="BO398" s="1" t="s">
        <v>74</v>
      </c>
      <c r="BP398" s="1" t="s">
        <v>74</v>
      </c>
      <c r="BQ398" s="1" t="s">
        <v>74</v>
      </c>
      <c r="BR398" s="1" t="s">
        <v>102</v>
      </c>
      <c r="BS398" s="1" t="s">
        <v>8339</v>
      </c>
      <c r="BT398" s="1" t="str">
        <f>HYPERLINK("https%3A%2F%2Fwww.webofscience.com%2Fwos%2Fwoscc%2Ffull-record%2FWOS:000586348000017","View Full Record in Web of Science")</f>
        <v>View Full Record in Web of Science</v>
      </c>
    </row>
    <row r="399" ht="12.75" customHeight="1">
      <c r="A399" s="1" t="s">
        <v>132</v>
      </c>
      <c r="B399" s="1" t="s">
        <v>8340</v>
      </c>
      <c r="C399" s="1" t="s">
        <v>74</v>
      </c>
      <c r="D399" s="1" t="s">
        <v>74</v>
      </c>
      <c r="E399" s="1" t="s">
        <v>74</v>
      </c>
      <c r="F399" s="1" t="s">
        <v>8341</v>
      </c>
      <c r="G399" s="1" t="s">
        <v>74</v>
      </c>
      <c r="H399" s="1" t="s">
        <v>74</v>
      </c>
      <c r="I399" s="1" t="s">
        <v>8342</v>
      </c>
      <c r="J399" s="1" t="s">
        <v>5018</v>
      </c>
      <c r="K399" s="1" t="s">
        <v>74</v>
      </c>
      <c r="L399" s="1" t="s">
        <v>74</v>
      </c>
      <c r="M399" s="1" t="s">
        <v>80</v>
      </c>
      <c r="N399" s="1" t="s">
        <v>1010</v>
      </c>
      <c r="O399" s="1" t="s">
        <v>74</v>
      </c>
      <c r="P399" s="1" t="s">
        <v>74</v>
      </c>
      <c r="Q399" s="1" t="s">
        <v>74</v>
      </c>
      <c r="R399" s="1" t="s">
        <v>74</v>
      </c>
      <c r="S399" s="1" t="s">
        <v>74</v>
      </c>
      <c r="T399" s="1" t="s">
        <v>8343</v>
      </c>
      <c r="U399" s="1" t="s">
        <v>8344</v>
      </c>
      <c r="V399" s="1" t="s">
        <v>8345</v>
      </c>
      <c r="W399" s="1" t="s">
        <v>8346</v>
      </c>
      <c r="X399" s="1" t="s">
        <v>8347</v>
      </c>
      <c r="Y399" s="1" t="s">
        <v>8348</v>
      </c>
      <c r="Z399" s="1" t="s">
        <v>8349</v>
      </c>
      <c r="AA399" s="1" t="s">
        <v>74</v>
      </c>
      <c r="AB399" s="1" t="s">
        <v>8350</v>
      </c>
      <c r="AC399" s="1" t="s">
        <v>74</v>
      </c>
      <c r="AD399" s="1" t="s">
        <v>74</v>
      </c>
      <c r="AE399" s="1" t="s">
        <v>74</v>
      </c>
      <c r="AF399" s="1" t="s">
        <v>74</v>
      </c>
      <c r="AG399" s="1">
        <v>65.0</v>
      </c>
      <c r="AH399" s="1">
        <v>24.0</v>
      </c>
      <c r="AI399" s="1">
        <v>25.0</v>
      </c>
      <c r="AJ399" s="1">
        <v>63.0</v>
      </c>
      <c r="AK399" s="1">
        <v>275.0</v>
      </c>
      <c r="AL399" s="1" t="s">
        <v>1970</v>
      </c>
      <c r="AM399" s="1" t="s">
        <v>1658</v>
      </c>
      <c r="AN399" s="1" t="s">
        <v>1971</v>
      </c>
      <c r="AO399" s="1" t="s">
        <v>74</v>
      </c>
      <c r="AP399" s="1" t="s">
        <v>5029</v>
      </c>
      <c r="AQ399" s="1" t="s">
        <v>74</v>
      </c>
      <c r="AR399" s="1" t="s">
        <v>5030</v>
      </c>
      <c r="AS399" s="1" t="s">
        <v>5031</v>
      </c>
      <c r="AT399" s="1" t="s">
        <v>870</v>
      </c>
      <c r="AU399" s="1">
        <v>2023.0</v>
      </c>
      <c r="AV399" s="1">
        <v>15.0</v>
      </c>
      <c r="AW399" s="1">
        <v>2.0</v>
      </c>
      <c r="AX399" s="1" t="s">
        <v>74</v>
      </c>
      <c r="AY399" s="1" t="s">
        <v>74</v>
      </c>
      <c r="AZ399" s="1" t="s">
        <v>74</v>
      </c>
      <c r="BA399" s="1" t="s">
        <v>74</v>
      </c>
      <c r="BB399" s="1" t="s">
        <v>74</v>
      </c>
      <c r="BC399" s="1" t="s">
        <v>74</v>
      </c>
      <c r="BD399" s="1">
        <v>1481.0</v>
      </c>
      <c r="BE399" s="1" t="s">
        <v>8351</v>
      </c>
      <c r="BF399" s="2" t="str">
        <f>HYPERLINK("http://dx.doi.org/10.3390/su15021481","http://dx.doi.org/10.3390/su15021481")</f>
        <v>http://dx.doi.org/10.3390/su15021481</v>
      </c>
      <c r="BG399" s="1" t="s">
        <v>74</v>
      </c>
      <c r="BH399" s="1" t="s">
        <v>74</v>
      </c>
      <c r="BI399" s="1">
        <v>25.0</v>
      </c>
      <c r="BJ399" s="1" t="s">
        <v>5033</v>
      </c>
      <c r="BK399" s="1" t="s">
        <v>783</v>
      </c>
      <c r="BL399" s="1" t="s">
        <v>3612</v>
      </c>
      <c r="BM399" s="1" t="s">
        <v>8352</v>
      </c>
      <c r="BN399" s="1" t="s">
        <v>74</v>
      </c>
      <c r="BO399" s="1" t="s">
        <v>174</v>
      </c>
      <c r="BP399" s="1" t="s">
        <v>74</v>
      </c>
      <c r="BQ399" s="1" t="s">
        <v>74</v>
      </c>
      <c r="BR399" s="1" t="s">
        <v>102</v>
      </c>
      <c r="BS399" s="1" t="s">
        <v>8353</v>
      </c>
      <c r="BT399" s="1" t="str">
        <f>HYPERLINK("https%3A%2F%2Fwww.webofscience.com%2Fwos%2Fwoscc%2Ffull-record%2FWOS:000916381600001","View Full Record in Web of Science")</f>
        <v>View Full Record in Web of Science</v>
      </c>
    </row>
    <row r="400" ht="12.75" customHeight="1">
      <c r="A400" s="1" t="s">
        <v>72</v>
      </c>
      <c r="B400" s="1" t="s">
        <v>8354</v>
      </c>
      <c r="C400" s="1" t="s">
        <v>74</v>
      </c>
      <c r="D400" s="1" t="s">
        <v>8355</v>
      </c>
      <c r="E400" s="1" t="s">
        <v>74</v>
      </c>
      <c r="F400" s="1" t="s">
        <v>8356</v>
      </c>
      <c r="G400" s="1" t="s">
        <v>74</v>
      </c>
      <c r="H400" s="1" t="s">
        <v>74</v>
      </c>
      <c r="I400" s="1" t="s">
        <v>8357</v>
      </c>
      <c r="J400" s="1" t="s">
        <v>8358</v>
      </c>
      <c r="K400" s="1" t="s">
        <v>385</v>
      </c>
      <c r="L400" s="1" t="s">
        <v>74</v>
      </c>
      <c r="M400" s="1" t="s">
        <v>80</v>
      </c>
      <c r="N400" s="1" t="s">
        <v>81</v>
      </c>
      <c r="O400" s="1" t="s">
        <v>8359</v>
      </c>
      <c r="P400" s="1" t="s">
        <v>8360</v>
      </c>
      <c r="Q400" s="1" t="s">
        <v>667</v>
      </c>
      <c r="R400" s="1" t="s">
        <v>74</v>
      </c>
      <c r="S400" s="1" t="s">
        <v>74</v>
      </c>
      <c r="T400" s="1" t="s">
        <v>8361</v>
      </c>
      <c r="U400" s="1" t="s">
        <v>74</v>
      </c>
      <c r="V400" s="1" t="s">
        <v>8362</v>
      </c>
      <c r="W400" s="1" t="s">
        <v>8363</v>
      </c>
      <c r="X400" s="1" t="s">
        <v>8364</v>
      </c>
      <c r="Y400" s="1" t="s">
        <v>8365</v>
      </c>
      <c r="Z400" s="1" t="s">
        <v>8366</v>
      </c>
      <c r="AA400" s="1" t="s">
        <v>74</v>
      </c>
      <c r="AB400" s="1" t="s">
        <v>8367</v>
      </c>
      <c r="AC400" s="1" t="s">
        <v>8368</v>
      </c>
      <c r="AD400" s="1" t="s">
        <v>8369</v>
      </c>
      <c r="AE400" s="1" t="s">
        <v>8370</v>
      </c>
      <c r="AF400" s="1" t="s">
        <v>74</v>
      </c>
      <c r="AG400" s="1">
        <v>36.0</v>
      </c>
      <c r="AH400" s="1">
        <v>0.0</v>
      </c>
      <c r="AI400" s="1">
        <v>0.0</v>
      </c>
      <c r="AJ400" s="1">
        <v>3.0</v>
      </c>
      <c r="AK400" s="1">
        <v>4.0</v>
      </c>
      <c r="AL400" s="1" t="s">
        <v>223</v>
      </c>
      <c r="AM400" s="1" t="s">
        <v>224</v>
      </c>
      <c r="AN400" s="1" t="s">
        <v>225</v>
      </c>
      <c r="AO400" s="1" t="s">
        <v>399</v>
      </c>
      <c r="AP400" s="1" t="s">
        <v>400</v>
      </c>
      <c r="AQ400" s="1" t="s">
        <v>8371</v>
      </c>
      <c r="AR400" s="1" t="s">
        <v>402</v>
      </c>
      <c r="AS400" s="1" t="s">
        <v>74</v>
      </c>
      <c r="AT400" s="1" t="s">
        <v>74</v>
      </c>
      <c r="AU400" s="1">
        <v>2023.0</v>
      </c>
      <c r="AV400" s="1">
        <v>464.0</v>
      </c>
      <c r="AW400" s="1" t="s">
        <v>74</v>
      </c>
      <c r="AX400" s="1" t="s">
        <v>74</v>
      </c>
      <c r="AY400" s="1" t="s">
        <v>74</v>
      </c>
      <c r="AZ400" s="1" t="s">
        <v>74</v>
      </c>
      <c r="BA400" s="1" t="s">
        <v>74</v>
      </c>
      <c r="BB400" s="1">
        <v>3.0</v>
      </c>
      <c r="BC400" s="1">
        <v>16.0</v>
      </c>
      <c r="BD400" s="1" t="s">
        <v>74</v>
      </c>
      <c r="BE400" s="1" t="s">
        <v>8372</v>
      </c>
      <c r="BF400" s="2" t="str">
        <f>HYPERLINK("http://dx.doi.org/10.1007/978-3-031-30694-5_1","http://dx.doi.org/10.1007/978-3-031-30694-5_1")</f>
        <v>http://dx.doi.org/10.1007/978-3-031-30694-5_1</v>
      </c>
      <c r="BG400" s="1" t="s">
        <v>74</v>
      </c>
      <c r="BH400" s="1" t="s">
        <v>74</v>
      </c>
      <c r="BI400" s="1">
        <v>14.0</v>
      </c>
      <c r="BJ400" s="1" t="s">
        <v>6199</v>
      </c>
      <c r="BK400" s="1" t="s">
        <v>128</v>
      </c>
      <c r="BL400" s="1" t="s">
        <v>232</v>
      </c>
      <c r="BM400" s="1" t="s">
        <v>8373</v>
      </c>
      <c r="BN400" s="1" t="s">
        <v>74</v>
      </c>
      <c r="BO400" s="1" t="s">
        <v>74</v>
      </c>
      <c r="BP400" s="1" t="s">
        <v>74</v>
      </c>
      <c r="BQ400" s="1" t="s">
        <v>74</v>
      </c>
      <c r="BR400" s="1" t="s">
        <v>102</v>
      </c>
      <c r="BS400" s="1" t="s">
        <v>8374</v>
      </c>
      <c r="BT400" s="1" t="str">
        <f>HYPERLINK("https%3A%2F%2Fwww.webofscience.com%2Fwos%2Fwoscc%2Ffull-record%2FWOS:001308340700001","View Full Record in Web of Science")</f>
        <v>View Full Record in Web of Science</v>
      </c>
    </row>
    <row r="401" ht="12.75" customHeight="1">
      <c r="A401" s="1" t="s">
        <v>132</v>
      </c>
      <c r="B401" s="1" t="s">
        <v>8375</v>
      </c>
      <c r="C401" s="1" t="s">
        <v>74</v>
      </c>
      <c r="D401" s="1" t="s">
        <v>74</v>
      </c>
      <c r="E401" s="1" t="s">
        <v>74</v>
      </c>
      <c r="F401" s="1" t="s">
        <v>8376</v>
      </c>
      <c r="G401" s="1" t="s">
        <v>74</v>
      </c>
      <c r="H401" s="1" t="s">
        <v>74</v>
      </c>
      <c r="I401" s="1" t="s">
        <v>8377</v>
      </c>
      <c r="J401" s="1" t="s">
        <v>5018</v>
      </c>
      <c r="K401" s="1" t="s">
        <v>74</v>
      </c>
      <c r="L401" s="1" t="s">
        <v>74</v>
      </c>
      <c r="M401" s="1" t="s">
        <v>80</v>
      </c>
      <c r="N401" s="1" t="s">
        <v>136</v>
      </c>
      <c r="O401" s="1" t="s">
        <v>74</v>
      </c>
      <c r="P401" s="1" t="s">
        <v>74</v>
      </c>
      <c r="Q401" s="1" t="s">
        <v>74</v>
      </c>
      <c r="R401" s="1" t="s">
        <v>74</v>
      </c>
      <c r="S401" s="1" t="s">
        <v>74</v>
      </c>
      <c r="T401" s="1" t="s">
        <v>8378</v>
      </c>
      <c r="U401" s="1" t="s">
        <v>8379</v>
      </c>
      <c r="V401" s="1" t="s">
        <v>8380</v>
      </c>
      <c r="W401" s="1" t="s">
        <v>8381</v>
      </c>
      <c r="X401" s="1" t="s">
        <v>8382</v>
      </c>
      <c r="Y401" s="1" t="s">
        <v>8383</v>
      </c>
      <c r="Z401" s="1" t="s">
        <v>8384</v>
      </c>
      <c r="AA401" s="1" t="s">
        <v>74</v>
      </c>
      <c r="AB401" s="1" t="s">
        <v>8385</v>
      </c>
      <c r="AC401" s="1" t="s">
        <v>8386</v>
      </c>
      <c r="AD401" s="1" t="s">
        <v>8387</v>
      </c>
      <c r="AE401" s="1" t="s">
        <v>8388</v>
      </c>
      <c r="AF401" s="1" t="s">
        <v>74</v>
      </c>
      <c r="AG401" s="1">
        <v>79.0</v>
      </c>
      <c r="AH401" s="1">
        <v>35.0</v>
      </c>
      <c r="AI401" s="1">
        <v>36.0</v>
      </c>
      <c r="AJ401" s="1">
        <v>30.0</v>
      </c>
      <c r="AK401" s="1">
        <v>187.0</v>
      </c>
      <c r="AL401" s="1" t="s">
        <v>1970</v>
      </c>
      <c r="AM401" s="1" t="s">
        <v>1658</v>
      </c>
      <c r="AN401" s="1" t="s">
        <v>1971</v>
      </c>
      <c r="AO401" s="1" t="s">
        <v>74</v>
      </c>
      <c r="AP401" s="1" t="s">
        <v>5029</v>
      </c>
      <c r="AQ401" s="1" t="s">
        <v>74</v>
      </c>
      <c r="AR401" s="1" t="s">
        <v>5030</v>
      </c>
      <c r="AS401" s="1" t="s">
        <v>5031</v>
      </c>
      <c r="AT401" s="1" t="s">
        <v>1279</v>
      </c>
      <c r="AU401" s="1">
        <v>2021.0</v>
      </c>
      <c r="AV401" s="1">
        <v>13.0</v>
      </c>
      <c r="AW401" s="1">
        <v>14.0</v>
      </c>
      <c r="AX401" s="1" t="s">
        <v>74</v>
      </c>
      <c r="AY401" s="1" t="s">
        <v>74</v>
      </c>
      <c r="AZ401" s="1" t="s">
        <v>74</v>
      </c>
      <c r="BA401" s="1" t="s">
        <v>74</v>
      </c>
      <c r="BB401" s="1" t="s">
        <v>74</v>
      </c>
      <c r="BC401" s="1" t="s">
        <v>74</v>
      </c>
      <c r="BD401" s="1">
        <v>7941.0</v>
      </c>
      <c r="BE401" s="1" t="s">
        <v>8389</v>
      </c>
      <c r="BF401" s="2" t="str">
        <f>HYPERLINK("http://dx.doi.org/10.3390/su13147941","http://dx.doi.org/10.3390/su13147941")</f>
        <v>http://dx.doi.org/10.3390/su13147941</v>
      </c>
      <c r="BG401" s="1" t="s">
        <v>74</v>
      </c>
      <c r="BH401" s="1" t="s">
        <v>74</v>
      </c>
      <c r="BI401" s="1">
        <v>20.0</v>
      </c>
      <c r="BJ401" s="1" t="s">
        <v>5033</v>
      </c>
      <c r="BK401" s="1" t="s">
        <v>783</v>
      </c>
      <c r="BL401" s="1" t="s">
        <v>3612</v>
      </c>
      <c r="BM401" s="1" t="s">
        <v>8390</v>
      </c>
      <c r="BN401" s="1" t="s">
        <v>74</v>
      </c>
      <c r="BO401" s="1" t="s">
        <v>174</v>
      </c>
      <c r="BP401" s="1" t="s">
        <v>74</v>
      </c>
      <c r="BQ401" s="1" t="s">
        <v>74</v>
      </c>
      <c r="BR401" s="1" t="s">
        <v>102</v>
      </c>
      <c r="BS401" s="1" t="s">
        <v>8391</v>
      </c>
      <c r="BT401" s="1" t="str">
        <f>HYPERLINK("https%3A%2F%2Fwww.webofscience.com%2Fwos%2Fwoscc%2Ffull-record%2FWOS:000676864100001","View Full Record in Web of Science")</f>
        <v>View Full Record in Web of Science</v>
      </c>
    </row>
    <row r="402" ht="12.75" customHeight="1">
      <c r="A402" s="1" t="s">
        <v>132</v>
      </c>
      <c r="B402" s="1" t="s">
        <v>8392</v>
      </c>
      <c r="C402" s="1" t="s">
        <v>74</v>
      </c>
      <c r="D402" s="1" t="s">
        <v>74</v>
      </c>
      <c r="E402" s="1" t="s">
        <v>74</v>
      </c>
      <c r="F402" s="1" t="s">
        <v>8393</v>
      </c>
      <c r="G402" s="1" t="s">
        <v>74</v>
      </c>
      <c r="H402" s="1" t="s">
        <v>74</v>
      </c>
      <c r="I402" s="1" t="s">
        <v>8394</v>
      </c>
      <c r="J402" s="1" t="s">
        <v>2893</v>
      </c>
      <c r="K402" s="1" t="s">
        <v>74</v>
      </c>
      <c r="L402" s="1" t="s">
        <v>74</v>
      </c>
      <c r="M402" s="1" t="s">
        <v>80</v>
      </c>
      <c r="N402" s="1" t="s">
        <v>136</v>
      </c>
      <c r="O402" s="1" t="s">
        <v>74</v>
      </c>
      <c r="P402" s="1" t="s">
        <v>74</v>
      </c>
      <c r="Q402" s="1" t="s">
        <v>74</v>
      </c>
      <c r="R402" s="1" t="s">
        <v>74</v>
      </c>
      <c r="S402" s="1" t="s">
        <v>74</v>
      </c>
      <c r="T402" s="1" t="s">
        <v>8395</v>
      </c>
      <c r="U402" s="1" t="s">
        <v>8396</v>
      </c>
      <c r="V402" s="1" t="s">
        <v>8397</v>
      </c>
      <c r="W402" s="1" t="s">
        <v>8398</v>
      </c>
      <c r="X402" s="1" t="s">
        <v>8399</v>
      </c>
      <c r="Y402" s="1" t="s">
        <v>8400</v>
      </c>
      <c r="Z402" s="1" t="s">
        <v>8401</v>
      </c>
      <c r="AA402" s="1" t="s">
        <v>8402</v>
      </c>
      <c r="AB402" s="1" t="s">
        <v>8403</v>
      </c>
      <c r="AC402" s="1" t="s">
        <v>8404</v>
      </c>
      <c r="AD402" s="1" t="s">
        <v>8405</v>
      </c>
      <c r="AE402" s="1" t="s">
        <v>8406</v>
      </c>
      <c r="AF402" s="1" t="s">
        <v>74</v>
      </c>
      <c r="AG402" s="1">
        <v>130.0</v>
      </c>
      <c r="AH402" s="1">
        <v>143.0</v>
      </c>
      <c r="AI402" s="1">
        <v>142.0</v>
      </c>
      <c r="AJ402" s="1">
        <v>94.0</v>
      </c>
      <c r="AK402" s="1">
        <v>499.0</v>
      </c>
      <c r="AL402" s="1" t="s">
        <v>2745</v>
      </c>
      <c r="AM402" s="1" t="s">
        <v>1090</v>
      </c>
      <c r="AN402" s="1" t="s">
        <v>2903</v>
      </c>
      <c r="AO402" s="1" t="s">
        <v>2904</v>
      </c>
      <c r="AP402" s="1" t="s">
        <v>2905</v>
      </c>
      <c r="AQ402" s="1" t="s">
        <v>74</v>
      </c>
      <c r="AR402" s="1" t="s">
        <v>2906</v>
      </c>
      <c r="AS402" s="1" t="s">
        <v>2907</v>
      </c>
      <c r="AT402" s="1" t="s">
        <v>199</v>
      </c>
      <c r="AU402" s="1">
        <v>2021.0</v>
      </c>
      <c r="AV402" s="1">
        <v>67.0</v>
      </c>
      <c r="AW402" s="1" t="s">
        <v>74</v>
      </c>
      <c r="AX402" s="1" t="s">
        <v>74</v>
      </c>
      <c r="AY402" s="1" t="s">
        <v>74</v>
      </c>
      <c r="AZ402" s="1" t="s">
        <v>74</v>
      </c>
      <c r="BA402" s="1" t="s">
        <v>74</v>
      </c>
      <c r="BB402" s="1" t="s">
        <v>74</v>
      </c>
      <c r="BC402" s="1" t="s">
        <v>74</v>
      </c>
      <c r="BD402" s="1">
        <v>101741.0</v>
      </c>
      <c r="BE402" s="1" t="s">
        <v>8407</v>
      </c>
      <c r="BF402" s="2" t="str">
        <f>HYPERLINK("http://dx.doi.org/10.1016/j.techsoc.2021.101741","http://dx.doi.org/10.1016/j.techsoc.2021.101741")</f>
        <v>http://dx.doi.org/10.1016/j.techsoc.2021.101741</v>
      </c>
      <c r="BG402" s="1" t="s">
        <v>74</v>
      </c>
      <c r="BH402" s="1" t="s">
        <v>781</v>
      </c>
      <c r="BI402" s="1">
        <v>10.0</v>
      </c>
      <c r="BJ402" s="1" t="s">
        <v>2909</v>
      </c>
      <c r="BK402" s="1" t="s">
        <v>203</v>
      </c>
      <c r="BL402" s="1" t="s">
        <v>2910</v>
      </c>
      <c r="BM402" s="1" t="s">
        <v>2911</v>
      </c>
      <c r="BN402" s="1" t="s">
        <v>74</v>
      </c>
      <c r="BO402" s="1" t="s">
        <v>7447</v>
      </c>
      <c r="BP402" s="1" t="s">
        <v>74</v>
      </c>
      <c r="BQ402" s="1" t="s">
        <v>74</v>
      </c>
      <c r="BR402" s="1" t="s">
        <v>102</v>
      </c>
      <c r="BS402" s="1" t="s">
        <v>8408</v>
      </c>
      <c r="BT402" s="1" t="str">
        <f>HYPERLINK("https%3A%2F%2Fwww.webofscience.com%2Fwos%2Fwoscc%2Ffull-record%2FWOS:000704511300023","View Full Record in Web of Science")</f>
        <v>View Full Record in Web of Science</v>
      </c>
    </row>
    <row r="403" ht="12.75" customHeight="1">
      <c r="A403" s="1" t="s">
        <v>132</v>
      </c>
      <c r="B403" s="1" t="s">
        <v>8409</v>
      </c>
      <c r="C403" s="1" t="s">
        <v>74</v>
      </c>
      <c r="D403" s="1" t="s">
        <v>74</v>
      </c>
      <c r="E403" s="1" t="s">
        <v>74</v>
      </c>
      <c r="F403" s="1" t="s">
        <v>8410</v>
      </c>
      <c r="G403" s="1" t="s">
        <v>74</v>
      </c>
      <c r="H403" s="1" t="s">
        <v>74</v>
      </c>
      <c r="I403" s="1" t="s">
        <v>8411</v>
      </c>
      <c r="J403" s="1" t="s">
        <v>8412</v>
      </c>
      <c r="K403" s="1" t="s">
        <v>74</v>
      </c>
      <c r="L403" s="1" t="s">
        <v>74</v>
      </c>
      <c r="M403" s="1" t="s">
        <v>80</v>
      </c>
      <c r="N403" s="1" t="s">
        <v>136</v>
      </c>
      <c r="O403" s="1" t="s">
        <v>74</v>
      </c>
      <c r="P403" s="1" t="s">
        <v>74</v>
      </c>
      <c r="Q403" s="1" t="s">
        <v>74</v>
      </c>
      <c r="R403" s="1" t="s">
        <v>74</v>
      </c>
      <c r="S403" s="1" t="s">
        <v>74</v>
      </c>
      <c r="T403" s="1" t="s">
        <v>8413</v>
      </c>
      <c r="U403" s="1" t="s">
        <v>74</v>
      </c>
      <c r="V403" s="1" t="s">
        <v>8414</v>
      </c>
      <c r="W403" s="1" t="s">
        <v>8415</v>
      </c>
      <c r="X403" s="1" t="s">
        <v>8416</v>
      </c>
      <c r="Y403" s="1" t="s">
        <v>8417</v>
      </c>
      <c r="Z403" s="1" t="s">
        <v>8418</v>
      </c>
      <c r="AA403" s="1" t="s">
        <v>8419</v>
      </c>
      <c r="AB403" s="1" t="s">
        <v>8420</v>
      </c>
      <c r="AC403" s="1" t="s">
        <v>74</v>
      </c>
      <c r="AD403" s="1" t="s">
        <v>74</v>
      </c>
      <c r="AE403" s="1" t="s">
        <v>74</v>
      </c>
      <c r="AF403" s="1" t="s">
        <v>74</v>
      </c>
      <c r="AG403" s="1">
        <v>15.0</v>
      </c>
      <c r="AH403" s="1">
        <v>1.0</v>
      </c>
      <c r="AI403" s="1">
        <v>1.0</v>
      </c>
      <c r="AJ403" s="1">
        <v>14.0</v>
      </c>
      <c r="AK403" s="1">
        <v>19.0</v>
      </c>
      <c r="AL403" s="1" t="s">
        <v>8421</v>
      </c>
      <c r="AM403" s="1" t="s">
        <v>8422</v>
      </c>
      <c r="AN403" s="1" t="s">
        <v>8423</v>
      </c>
      <c r="AO403" s="1" t="s">
        <v>8424</v>
      </c>
      <c r="AP403" s="1" t="s">
        <v>74</v>
      </c>
      <c r="AQ403" s="1" t="s">
        <v>74</v>
      </c>
      <c r="AR403" s="1" t="s">
        <v>8425</v>
      </c>
      <c r="AS403" s="1" t="s">
        <v>8426</v>
      </c>
      <c r="AT403" s="1" t="s">
        <v>74</v>
      </c>
      <c r="AU403" s="1">
        <v>2024.0</v>
      </c>
      <c r="AV403" s="1">
        <v>37.0</v>
      </c>
      <c r="AW403" s="1">
        <v>2.0</v>
      </c>
      <c r="AX403" s="1" t="s">
        <v>74</v>
      </c>
      <c r="AY403" s="1" t="s">
        <v>74</v>
      </c>
      <c r="AZ403" s="1" t="s">
        <v>74</v>
      </c>
      <c r="BA403" s="1" t="s">
        <v>74</v>
      </c>
      <c r="BB403" s="1">
        <v>221.0</v>
      </c>
      <c r="BC403" s="1">
        <v>225.0</v>
      </c>
      <c r="BD403" s="1" t="s">
        <v>74</v>
      </c>
      <c r="BE403" s="1" t="s">
        <v>8427</v>
      </c>
      <c r="BF403" s="2" t="str">
        <f>HYPERLINK("http://dx.doi.org/10.15581/003.37.2.221-225","http://dx.doi.org/10.15581/003.37.2.221-225")</f>
        <v>http://dx.doi.org/10.15581/003.37.2.221-225</v>
      </c>
      <c r="BG403" s="1" t="s">
        <v>74</v>
      </c>
      <c r="BH403" s="1" t="s">
        <v>74</v>
      </c>
      <c r="BI403" s="1">
        <v>5.0</v>
      </c>
      <c r="BJ403" s="1" t="s">
        <v>2183</v>
      </c>
      <c r="BK403" s="1" t="s">
        <v>172</v>
      </c>
      <c r="BL403" s="1" t="s">
        <v>2183</v>
      </c>
      <c r="BM403" s="1" t="s">
        <v>8428</v>
      </c>
      <c r="BN403" s="1" t="s">
        <v>74</v>
      </c>
      <c r="BO403" s="1" t="s">
        <v>174</v>
      </c>
      <c r="BP403" s="1" t="s">
        <v>74</v>
      </c>
      <c r="BQ403" s="1" t="s">
        <v>74</v>
      </c>
      <c r="BR403" s="1" t="s">
        <v>102</v>
      </c>
      <c r="BS403" s="1" t="s">
        <v>8429</v>
      </c>
      <c r="BT403" s="1" t="str">
        <f>HYPERLINK("https%3A%2F%2Fwww.webofscience.com%2Fwos%2Fwoscc%2Ffull-record%2FWOS:001223517200012","View Full Record in Web of Science")</f>
        <v>View Full Record in Web of Science</v>
      </c>
    </row>
    <row r="404" ht="12.75" customHeight="1">
      <c r="A404" s="1" t="s">
        <v>132</v>
      </c>
      <c r="B404" s="1" t="s">
        <v>8430</v>
      </c>
      <c r="C404" s="1" t="s">
        <v>74</v>
      </c>
      <c r="D404" s="1" t="s">
        <v>74</v>
      </c>
      <c r="E404" s="1" t="s">
        <v>74</v>
      </c>
      <c r="F404" s="1" t="s">
        <v>8431</v>
      </c>
      <c r="G404" s="1" t="s">
        <v>74</v>
      </c>
      <c r="H404" s="1" t="s">
        <v>74</v>
      </c>
      <c r="I404" s="1" t="s">
        <v>8432</v>
      </c>
      <c r="J404" s="1" t="s">
        <v>8433</v>
      </c>
      <c r="K404" s="1" t="s">
        <v>74</v>
      </c>
      <c r="L404" s="1" t="s">
        <v>74</v>
      </c>
      <c r="M404" s="1" t="s">
        <v>80</v>
      </c>
      <c r="N404" s="1" t="s">
        <v>1010</v>
      </c>
      <c r="O404" s="1" t="s">
        <v>74</v>
      </c>
      <c r="P404" s="1" t="s">
        <v>74</v>
      </c>
      <c r="Q404" s="1" t="s">
        <v>74</v>
      </c>
      <c r="R404" s="1" t="s">
        <v>74</v>
      </c>
      <c r="S404" s="1" t="s">
        <v>74</v>
      </c>
      <c r="T404" s="1" t="s">
        <v>8434</v>
      </c>
      <c r="U404" s="1" t="s">
        <v>74</v>
      </c>
      <c r="V404" s="1" t="s">
        <v>8435</v>
      </c>
      <c r="W404" s="1" t="s">
        <v>8436</v>
      </c>
      <c r="X404" s="1" t="s">
        <v>8437</v>
      </c>
      <c r="Y404" s="1" t="s">
        <v>8438</v>
      </c>
      <c r="Z404" s="1" t="s">
        <v>8439</v>
      </c>
      <c r="AA404" s="1" t="s">
        <v>8440</v>
      </c>
      <c r="AB404" s="1" t="s">
        <v>8441</v>
      </c>
      <c r="AC404" s="1" t="s">
        <v>8442</v>
      </c>
      <c r="AD404" s="1" t="s">
        <v>8442</v>
      </c>
      <c r="AE404" s="1" t="s">
        <v>8442</v>
      </c>
      <c r="AF404" s="1" t="s">
        <v>74</v>
      </c>
      <c r="AG404" s="1">
        <v>63.0</v>
      </c>
      <c r="AH404" s="1">
        <v>14.0</v>
      </c>
      <c r="AI404" s="1">
        <v>14.0</v>
      </c>
      <c r="AJ404" s="1">
        <v>4.0</v>
      </c>
      <c r="AK404" s="1">
        <v>8.0</v>
      </c>
      <c r="AL404" s="1" t="s">
        <v>1970</v>
      </c>
      <c r="AM404" s="1" t="s">
        <v>1658</v>
      </c>
      <c r="AN404" s="1" t="s">
        <v>1971</v>
      </c>
      <c r="AO404" s="1" t="s">
        <v>74</v>
      </c>
      <c r="AP404" s="1" t="s">
        <v>8443</v>
      </c>
      <c r="AQ404" s="1" t="s">
        <v>74</v>
      </c>
      <c r="AR404" s="1" t="s">
        <v>8444</v>
      </c>
      <c r="AS404" s="1" t="s">
        <v>8445</v>
      </c>
      <c r="AT404" s="1" t="s">
        <v>1709</v>
      </c>
      <c r="AU404" s="1">
        <v>2023.0</v>
      </c>
      <c r="AV404" s="1">
        <v>13.0</v>
      </c>
      <c r="AW404" s="1">
        <v>9.0</v>
      </c>
      <c r="AX404" s="1" t="s">
        <v>74</v>
      </c>
      <c r="AY404" s="1" t="s">
        <v>74</v>
      </c>
      <c r="AZ404" s="1" t="s">
        <v>74</v>
      </c>
      <c r="BA404" s="1" t="s">
        <v>74</v>
      </c>
      <c r="BB404" s="1" t="s">
        <v>74</v>
      </c>
      <c r="BC404" s="1" t="s">
        <v>74</v>
      </c>
      <c r="BD404" s="1">
        <v>1390.0</v>
      </c>
      <c r="BE404" s="1" t="s">
        <v>8446</v>
      </c>
      <c r="BF404" s="2" t="str">
        <f>HYPERLINK("http://dx.doi.org/10.3390/jpm13091390","http://dx.doi.org/10.3390/jpm13091390")</f>
        <v>http://dx.doi.org/10.3390/jpm13091390</v>
      </c>
      <c r="BG404" s="1" t="s">
        <v>74</v>
      </c>
      <c r="BH404" s="1" t="s">
        <v>74</v>
      </c>
      <c r="BI404" s="1">
        <v>11.0</v>
      </c>
      <c r="BJ404" s="1" t="s">
        <v>8447</v>
      </c>
      <c r="BK404" s="1" t="s">
        <v>149</v>
      </c>
      <c r="BL404" s="1" t="s">
        <v>8448</v>
      </c>
      <c r="BM404" s="1" t="s">
        <v>8449</v>
      </c>
      <c r="BN404" s="1">
        <v>3.7763157E7</v>
      </c>
      <c r="BO404" s="1" t="s">
        <v>284</v>
      </c>
      <c r="BP404" s="1" t="s">
        <v>74</v>
      </c>
      <c r="BQ404" s="1" t="s">
        <v>74</v>
      </c>
      <c r="BR404" s="1" t="s">
        <v>102</v>
      </c>
      <c r="BS404" s="1" t="s">
        <v>8450</v>
      </c>
      <c r="BT404" s="1" t="str">
        <f>HYPERLINK("https%3A%2F%2Fwww.webofscience.com%2Fwos%2Fwoscc%2Ffull-record%2FWOS:001071673300001","View Full Record in Web of Science")</f>
        <v>View Full Record in Web of Science</v>
      </c>
    </row>
    <row r="405" ht="12.75" customHeight="1">
      <c r="A405" s="1" t="s">
        <v>132</v>
      </c>
      <c r="B405" s="1" t="s">
        <v>8451</v>
      </c>
      <c r="C405" s="1" t="s">
        <v>74</v>
      </c>
      <c r="D405" s="1" t="s">
        <v>74</v>
      </c>
      <c r="E405" s="1" t="s">
        <v>74</v>
      </c>
      <c r="F405" s="1" t="s">
        <v>8452</v>
      </c>
      <c r="G405" s="1" t="s">
        <v>74</v>
      </c>
      <c r="H405" s="1" t="s">
        <v>74</v>
      </c>
      <c r="I405" s="1" t="s">
        <v>8453</v>
      </c>
      <c r="J405" s="1" t="s">
        <v>8454</v>
      </c>
      <c r="K405" s="1" t="s">
        <v>74</v>
      </c>
      <c r="L405" s="1" t="s">
        <v>74</v>
      </c>
      <c r="M405" s="1" t="s">
        <v>80</v>
      </c>
      <c r="N405" s="1" t="s">
        <v>1010</v>
      </c>
      <c r="O405" s="1" t="s">
        <v>74</v>
      </c>
      <c r="P405" s="1" t="s">
        <v>74</v>
      </c>
      <c r="Q405" s="1" t="s">
        <v>74</v>
      </c>
      <c r="R405" s="1" t="s">
        <v>74</v>
      </c>
      <c r="S405" s="1" t="s">
        <v>74</v>
      </c>
      <c r="T405" s="1" t="s">
        <v>8455</v>
      </c>
      <c r="U405" s="1" t="s">
        <v>8456</v>
      </c>
      <c r="V405" s="1" t="s">
        <v>8457</v>
      </c>
      <c r="W405" s="1" t="s">
        <v>8458</v>
      </c>
      <c r="X405" s="1" t="s">
        <v>8459</v>
      </c>
      <c r="Y405" s="1" t="s">
        <v>8460</v>
      </c>
      <c r="Z405" s="1" t="s">
        <v>8461</v>
      </c>
      <c r="AA405" s="1" t="s">
        <v>8462</v>
      </c>
      <c r="AB405" s="1" t="s">
        <v>74</v>
      </c>
      <c r="AC405" s="1" t="s">
        <v>74</v>
      </c>
      <c r="AD405" s="1" t="s">
        <v>74</v>
      </c>
      <c r="AE405" s="1" t="s">
        <v>74</v>
      </c>
      <c r="AF405" s="1" t="s">
        <v>74</v>
      </c>
      <c r="AG405" s="1">
        <v>24.0</v>
      </c>
      <c r="AH405" s="1">
        <v>5.0</v>
      </c>
      <c r="AI405" s="1">
        <v>5.0</v>
      </c>
      <c r="AJ405" s="1">
        <v>4.0</v>
      </c>
      <c r="AK405" s="1">
        <v>9.0</v>
      </c>
      <c r="AL405" s="1" t="s">
        <v>3800</v>
      </c>
      <c r="AM405" s="1" t="s">
        <v>349</v>
      </c>
      <c r="AN405" s="1" t="s">
        <v>3801</v>
      </c>
      <c r="AO405" s="1" t="s">
        <v>74</v>
      </c>
      <c r="AP405" s="1" t="s">
        <v>8463</v>
      </c>
      <c r="AQ405" s="1" t="s">
        <v>74</v>
      </c>
      <c r="AR405" s="1" t="s">
        <v>8464</v>
      </c>
      <c r="AS405" s="1" t="s">
        <v>8465</v>
      </c>
      <c r="AT405" s="1" t="s">
        <v>8466</v>
      </c>
      <c r="AU405" s="1">
        <v>2023.0</v>
      </c>
      <c r="AV405" s="1">
        <v>15.0</v>
      </c>
      <c r="AW405" s="1">
        <v>5.0</v>
      </c>
      <c r="AX405" s="1" t="s">
        <v>74</v>
      </c>
      <c r="AY405" s="1" t="s">
        <v>74</v>
      </c>
      <c r="AZ405" s="1" t="s">
        <v>74</v>
      </c>
      <c r="BA405" s="1" t="s">
        <v>74</v>
      </c>
      <c r="BB405" s="1" t="s">
        <v>74</v>
      </c>
      <c r="BC405" s="1" t="s">
        <v>74</v>
      </c>
      <c r="BD405" s="1" t="s">
        <v>8467</v>
      </c>
      <c r="BE405" s="1" t="s">
        <v>8468</v>
      </c>
      <c r="BF405" s="2" t="str">
        <f>HYPERLINK("http://dx.doi.org/10.7759/cureus.38711","http://dx.doi.org/10.7759/cureus.38711")</f>
        <v>http://dx.doi.org/10.7759/cureus.38711</v>
      </c>
      <c r="BG405" s="1" t="s">
        <v>74</v>
      </c>
      <c r="BH405" s="1" t="s">
        <v>74</v>
      </c>
      <c r="BI405" s="1">
        <v>10.0</v>
      </c>
      <c r="BJ405" s="1" t="s">
        <v>1158</v>
      </c>
      <c r="BK405" s="1" t="s">
        <v>172</v>
      </c>
      <c r="BL405" s="1" t="s">
        <v>1159</v>
      </c>
      <c r="BM405" s="1" t="s">
        <v>8469</v>
      </c>
      <c r="BN405" s="1">
        <v>3.7292569E7</v>
      </c>
      <c r="BO405" s="1" t="s">
        <v>284</v>
      </c>
      <c r="BP405" s="1" t="s">
        <v>74</v>
      </c>
      <c r="BQ405" s="1" t="s">
        <v>74</v>
      </c>
      <c r="BR405" s="1" t="s">
        <v>102</v>
      </c>
      <c r="BS405" s="1" t="s">
        <v>8470</v>
      </c>
      <c r="BT405" s="1" t="str">
        <f>HYPERLINK("https%3A%2F%2Fwww.webofscience.com%2Fwos%2Fwoscc%2Ffull-record%2FWOS:001061865900021","View Full Record in Web of Science")</f>
        <v>View Full Record in Web of Science</v>
      </c>
    </row>
    <row r="406" ht="12.75" customHeight="1">
      <c r="A406" s="1" t="s">
        <v>72</v>
      </c>
      <c r="B406" s="1" t="s">
        <v>8471</v>
      </c>
      <c r="C406" s="1" t="s">
        <v>74</v>
      </c>
      <c r="D406" s="1" t="s">
        <v>8472</v>
      </c>
      <c r="E406" s="1" t="s">
        <v>74</v>
      </c>
      <c r="F406" s="1" t="s">
        <v>8473</v>
      </c>
      <c r="G406" s="1" t="s">
        <v>74</v>
      </c>
      <c r="H406" s="1" t="s">
        <v>74</v>
      </c>
      <c r="I406" s="1" t="s">
        <v>8474</v>
      </c>
      <c r="J406" s="1" t="s">
        <v>8475</v>
      </c>
      <c r="K406" s="1" t="s">
        <v>4507</v>
      </c>
      <c r="L406" s="1" t="s">
        <v>74</v>
      </c>
      <c r="M406" s="1" t="s">
        <v>80</v>
      </c>
      <c r="N406" s="1" t="s">
        <v>81</v>
      </c>
      <c r="O406" s="1" t="s">
        <v>8476</v>
      </c>
      <c r="P406" s="1" t="s">
        <v>8477</v>
      </c>
      <c r="Q406" s="1" t="s">
        <v>3843</v>
      </c>
      <c r="R406" s="1" t="s">
        <v>74</v>
      </c>
      <c r="S406" s="1" t="s">
        <v>74</v>
      </c>
      <c r="T406" s="1" t="s">
        <v>8478</v>
      </c>
      <c r="U406" s="1" t="s">
        <v>8479</v>
      </c>
      <c r="V406" s="1" t="s">
        <v>8480</v>
      </c>
      <c r="W406" s="1" t="s">
        <v>8481</v>
      </c>
      <c r="X406" s="1" t="s">
        <v>8482</v>
      </c>
      <c r="Y406" s="1" t="s">
        <v>8483</v>
      </c>
      <c r="Z406" s="1" t="s">
        <v>8484</v>
      </c>
      <c r="AA406" s="1" t="s">
        <v>74</v>
      </c>
      <c r="AB406" s="1" t="s">
        <v>74</v>
      </c>
      <c r="AC406" s="1" t="s">
        <v>74</v>
      </c>
      <c r="AD406" s="1" t="s">
        <v>74</v>
      </c>
      <c r="AE406" s="1" t="s">
        <v>74</v>
      </c>
      <c r="AF406" s="1" t="s">
        <v>74</v>
      </c>
      <c r="AG406" s="1">
        <v>37.0</v>
      </c>
      <c r="AH406" s="1">
        <v>0.0</v>
      </c>
      <c r="AI406" s="1">
        <v>0.0</v>
      </c>
      <c r="AJ406" s="1">
        <v>1.0</v>
      </c>
      <c r="AK406" s="1">
        <v>8.0</v>
      </c>
      <c r="AL406" s="1" t="s">
        <v>223</v>
      </c>
      <c r="AM406" s="1" t="s">
        <v>224</v>
      </c>
      <c r="AN406" s="1" t="s">
        <v>225</v>
      </c>
      <c r="AO406" s="1" t="s">
        <v>74</v>
      </c>
      <c r="AP406" s="1" t="s">
        <v>74</v>
      </c>
      <c r="AQ406" s="1" t="s">
        <v>8485</v>
      </c>
      <c r="AR406" s="1" t="s">
        <v>4523</v>
      </c>
      <c r="AS406" s="1" t="s">
        <v>74</v>
      </c>
      <c r="AT406" s="1" t="s">
        <v>74</v>
      </c>
      <c r="AU406" s="1">
        <v>2020.0</v>
      </c>
      <c r="AV406" s="1">
        <v>12185.0</v>
      </c>
      <c r="AW406" s="1" t="s">
        <v>74</v>
      </c>
      <c r="AX406" s="1" t="s">
        <v>74</v>
      </c>
      <c r="AY406" s="1" t="s">
        <v>74</v>
      </c>
      <c r="AZ406" s="1" t="s">
        <v>74</v>
      </c>
      <c r="BA406" s="1" t="s">
        <v>74</v>
      </c>
      <c r="BB406" s="1">
        <v>418.0</v>
      </c>
      <c r="BC406" s="1">
        <v>429.0</v>
      </c>
      <c r="BD406" s="1" t="s">
        <v>74</v>
      </c>
      <c r="BE406" s="1" t="s">
        <v>8486</v>
      </c>
      <c r="BF406" s="2" t="str">
        <f>HYPERLINK("http://dx.doi.org/10.1007/978-3-030-50017-7_31","http://dx.doi.org/10.1007/978-3-030-50017-7_31")</f>
        <v>http://dx.doi.org/10.1007/978-3-030-50017-7_31</v>
      </c>
      <c r="BG406" s="1" t="s">
        <v>74</v>
      </c>
      <c r="BH406" s="1" t="s">
        <v>74</v>
      </c>
      <c r="BI406" s="1">
        <v>12.0</v>
      </c>
      <c r="BJ406" s="1" t="s">
        <v>8487</v>
      </c>
      <c r="BK406" s="1" t="s">
        <v>128</v>
      </c>
      <c r="BL406" s="1" t="s">
        <v>232</v>
      </c>
      <c r="BM406" s="1" t="s">
        <v>8488</v>
      </c>
      <c r="BN406" s="1" t="s">
        <v>74</v>
      </c>
      <c r="BO406" s="1" t="s">
        <v>74</v>
      </c>
      <c r="BP406" s="1" t="s">
        <v>74</v>
      </c>
      <c r="BQ406" s="1" t="s">
        <v>74</v>
      </c>
      <c r="BR406" s="1" t="s">
        <v>102</v>
      </c>
      <c r="BS406" s="1" t="s">
        <v>8489</v>
      </c>
      <c r="BT406" s="1" t="str">
        <f>HYPERLINK("https%3A%2F%2Fwww.webofscience.com%2Fwos%2Fwoscc%2Ffull-record%2FWOS:001296001100031","View Full Record in Web of Science")</f>
        <v>View Full Record in Web of Science</v>
      </c>
    </row>
    <row r="407" ht="12.75" customHeight="1">
      <c r="A407" s="1" t="s">
        <v>132</v>
      </c>
      <c r="B407" s="1" t="s">
        <v>8490</v>
      </c>
      <c r="C407" s="1" t="s">
        <v>74</v>
      </c>
      <c r="D407" s="1" t="s">
        <v>74</v>
      </c>
      <c r="E407" s="1" t="s">
        <v>74</v>
      </c>
      <c r="F407" s="1" t="s">
        <v>8491</v>
      </c>
      <c r="G407" s="1" t="s">
        <v>74</v>
      </c>
      <c r="H407" s="1" t="s">
        <v>74</v>
      </c>
      <c r="I407" s="1" t="s">
        <v>8492</v>
      </c>
      <c r="J407" s="1" t="s">
        <v>8493</v>
      </c>
      <c r="K407" s="1" t="s">
        <v>74</v>
      </c>
      <c r="L407" s="1" t="s">
        <v>74</v>
      </c>
      <c r="M407" s="1" t="s">
        <v>80</v>
      </c>
      <c r="N407" s="1" t="s">
        <v>8494</v>
      </c>
      <c r="O407" s="1" t="s">
        <v>8495</v>
      </c>
      <c r="P407" s="1" t="s">
        <v>8496</v>
      </c>
      <c r="Q407" s="1" t="s">
        <v>8497</v>
      </c>
      <c r="R407" s="1" t="s">
        <v>8498</v>
      </c>
      <c r="S407" s="1" t="s">
        <v>74</v>
      </c>
      <c r="T407" s="1" t="s">
        <v>8499</v>
      </c>
      <c r="U407" s="1" t="s">
        <v>74</v>
      </c>
      <c r="V407" s="1" t="s">
        <v>8500</v>
      </c>
      <c r="W407" s="1" t="s">
        <v>8501</v>
      </c>
      <c r="X407" s="1" t="s">
        <v>74</v>
      </c>
      <c r="Y407" s="1" t="s">
        <v>8502</v>
      </c>
      <c r="Z407" s="1" t="s">
        <v>8503</v>
      </c>
      <c r="AA407" s="1" t="s">
        <v>74</v>
      </c>
      <c r="AB407" s="1" t="s">
        <v>74</v>
      </c>
      <c r="AC407" s="1" t="s">
        <v>8504</v>
      </c>
      <c r="AD407" s="1" t="s">
        <v>8504</v>
      </c>
      <c r="AE407" s="1" t="s">
        <v>8504</v>
      </c>
      <c r="AF407" s="1" t="s">
        <v>74</v>
      </c>
      <c r="AG407" s="1">
        <v>47.0</v>
      </c>
      <c r="AH407" s="1">
        <v>4.0</v>
      </c>
      <c r="AI407" s="1">
        <v>4.0</v>
      </c>
      <c r="AJ407" s="1">
        <v>3.0</v>
      </c>
      <c r="AK407" s="1">
        <v>5.0</v>
      </c>
      <c r="AL407" s="1" t="s">
        <v>1149</v>
      </c>
      <c r="AM407" s="1" t="s">
        <v>1150</v>
      </c>
      <c r="AN407" s="1" t="s">
        <v>1151</v>
      </c>
      <c r="AO407" s="1" t="s">
        <v>8505</v>
      </c>
      <c r="AP407" s="1" t="s">
        <v>8506</v>
      </c>
      <c r="AQ407" s="1" t="s">
        <v>74</v>
      </c>
      <c r="AR407" s="1" t="s">
        <v>8507</v>
      </c>
      <c r="AS407" s="1" t="s">
        <v>8508</v>
      </c>
      <c r="AT407" s="1" t="s">
        <v>74</v>
      </c>
      <c r="AU407" s="1">
        <v>2023.0</v>
      </c>
      <c r="AV407" s="1">
        <v>14.0</v>
      </c>
      <c r="AW407" s="1">
        <v>6.0</v>
      </c>
      <c r="AX407" s="1" t="s">
        <v>74</v>
      </c>
      <c r="AY407" s="1" t="s">
        <v>74</v>
      </c>
      <c r="AZ407" s="1" t="s">
        <v>74</v>
      </c>
      <c r="BA407" s="1" t="s">
        <v>74</v>
      </c>
      <c r="BB407" s="1">
        <v>782.0</v>
      </c>
      <c r="BC407" s="1">
        <v>787.0</v>
      </c>
      <c r="BD407" s="1" t="s">
        <v>74</v>
      </c>
      <c r="BE407" s="1" t="s">
        <v>8509</v>
      </c>
      <c r="BF407" s="2" t="str">
        <f>HYPERLINK("http://dx.doi.org/10.4103/idoj.idoj_462_23","http://dx.doi.org/10.4103/idoj.idoj_462_23")</f>
        <v>http://dx.doi.org/10.4103/idoj.idoj_462_23</v>
      </c>
      <c r="BG407" s="1" t="s">
        <v>74</v>
      </c>
      <c r="BH407" s="1" t="s">
        <v>74</v>
      </c>
      <c r="BI407" s="1">
        <v>6.0</v>
      </c>
      <c r="BJ407" s="1" t="s">
        <v>1952</v>
      </c>
      <c r="BK407" s="1" t="s">
        <v>172</v>
      </c>
      <c r="BL407" s="1" t="s">
        <v>1952</v>
      </c>
      <c r="BM407" s="1" t="s">
        <v>8510</v>
      </c>
      <c r="BN407" s="1">
        <v>3.8099026E7</v>
      </c>
      <c r="BO407" s="1" t="s">
        <v>284</v>
      </c>
      <c r="BP407" s="1" t="s">
        <v>74</v>
      </c>
      <c r="BQ407" s="1" t="s">
        <v>74</v>
      </c>
      <c r="BR407" s="1" t="s">
        <v>102</v>
      </c>
      <c r="BS407" s="1" t="s">
        <v>8511</v>
      </c>
      <c r="BT407" s="1" t="str">
        <f>HYPERLINK("https%3A%2F%2Fwww.webofscience.com%2Fwos%2Fwoscc%2Ffull-record%2FWOS:001103005200004","View Full Record in Web of Science")</f>
        <v>View Full Record in Web of Science</v>
      </c>
    </row>
    <row r="408" ht="12.75" customHeight="1">
      <c r="A408" s="1" t="s">
        <v>132</v>
      </c>
      <c r="B408" s="1" t="s">
        <v>8512</v>
      </c>
      <c r="C408" s="1" t="s">
        <v>74</v>
      </c>
      <c r="D408" s="1" t="s">
        <v>74</v>
      </c>
      <c r="E408" s="1" t="s">
        <v>74</v>
      </c>
      <c r="F408" s="1" t="s">
        <v>8513</v>
      </c>
      <c r="G408" s="1" t="s">
        <v>74</v>
      </c>
      <c r="H408" s="1" t="s">
        <v>74</v>
      </c>
      <c r="I408" s="1" t="s">
        <v>8514</v>
      </c>
      <c r="J408" s="1" t="s">
        <v>263</v>
      </c>
      <c r="K408" s="1" t="s">
        <v>74</v>
      </c>
      <c r="L408" s="1" t="s">
        <v>74</v>
      </c>
      <c r="M408" s="1" t="s">
        <v>80</v>
      </c>
      <c r="N408" s="1" t="s">
        <v>1010</v>
      </c>
      <c r="O408" s="1" t="s">
        <v>74</v>
      </c>
      <c r="P408" s="1" t="s">
        <v>74</v>
      </c>
      <c r="Q408" s="1" t="s">
        <v>74</v>
      </c>
      <c r="R408" s="1" t="s">
        <v>74</v>
      </c>
      <c r="S408" s="1" t="s">
        <v>74</v>
      </c>
      <c r="T408" s="1" t="s">
        <v>8515</v>
      </c>
      <c r="U408" s="1" t="s">
        <v>74</v>
      </c>
      <c r="V408" s="1" t="s">
        <v>8516</v>
      </c>
      <c r="W408" s="1" t="s">
        <v>8517</v>
      </c>
      <c r="X408" s="1" t="s">
        <v>74</v>
      </c>
      <c r="Y408" s="1" t="s">
        <v>8518</v>
      </c>
      <c r="Z408" s="1" t="s">
        <v>8519</v>
      </c>
      <c r="AA408" s="1" t="s">
        <v>8520</v>
      </c>
      <c r="AB408" s="1" t="s">
        <v>8521</v>
      </c>
      <c r="AC408" s="1" t="s">
        <v>74</v>
      </c>
      <c r="AD408" s="1" t="s">
        <v>74</v>
      </c>
      <c r="AE408" s="1" t="s">
        <v>74</v>
      </c>
      <c r="AF408" s="1" t="s">
        <v>74</v>
      </c>
      <c r="AG408" s="1">
        <v>29.0</v>
      </c>
      <c r="AH408" s="1">
        <v>9.0</v>
      </c>
      <c r="AI408" s="1">
        <v>9.0</v>
      </c>
      <c r="AJ408" s="1">
        <v>4.0</v>
      </c>
      <c r="AK408" s="1">
        <v>18.0</v>
      </c>
      <c r="AL408" s="1" t="s">
        <v>275</v>
      </c>
      <c r="AM408" s="1" t="s">
        <v>276</v>
      </c>
      <c r="AN408" s="1" t="s">
        <v>277</v>
      </c>
      <c r="AO408" s="1" t="s">
        <v>74</v>
      </c>
      <c r="AP408" s="1" t="s">
        <v>278</v>
      </c>
      <c r="AQ408" s="1" t="s">
        <v>74</v>
      </c>
      <c r="AR408" s="1" t="s">
        <v>279</v>
      </c>
      <c r="AS408" s="1" t="s">
        <v>280</v>
      </c>
      <c r="AT408" s="1" t="s">
        <v>6498</v>
      </c>
      <c r="AU408" s="1">
        <v>2022.0</v>
      </c>
      <c r="AV408" s="1">
        <v>5.0</v>
      </c>
      <c r="AW408" s="1" t="s">
        <v>74</v>
      </c>
      <c r="AX408" s="1" t="s">
        <v>74</v>
      </c>
      <c r="AY408" s="1" t="s">
        <v>74</v>
      </c>
      <c r="AZ408" s="1" t="s">
        <v>74</v>
      </c>
      <c r="BA408" s="1" t="s">
        <v>74</v>
      </c>
      <c r="BB408" s="1" t="s">
        <v>74</v>
      </c>
      <c r="BC408" s="1" t="s">
        <v>74</v>
      </c>
      <c r="BD408" s="1">
        <v>962165.0</v>
      </c>
      <c r="BE408" s="1" t="s">
        <v>8522</v>
      </c>
      <c r="BF408" s="2" t="str">
        <f>HYPERLINK("http://dx.doi.org/10.3389/frai.2022.962165","http://dx.doi.org/10.3389/frai.2022.962165")</f>
        <v>http://dx.doi.org/10.3389/frai.2022.962165</v>
      </c>
      <c r="BG408" s="1" t="s">
        <v>74</v>
      </c>
      <c r="BH408" s="1" t="s">
        <v>74</v>
      </c>
      <c r="BI408" s="1">
        <v>7.0</v>
      </c>
      <c r="BJ408" s="1" t="s">
        <v>282</v>
      </c>
      <c r="BK408" s="1" t="s">
        <v>172</v>
      </c>
      <c r="BL408" s="1" t="s">
        <v>232</v>
      </c>
      <c r="BM408" s="1" t="s">
        <v>8523</v>
      </c>
      <c r="BN408" s="1">
        <v>3.626766E7</v>
      </c>
      <c r="BO408" s="1" t="s">
        <v>1161</v>
      </c>
      <c r="BP408" s="1" t="s">
        <v>74</v>
      </c>
      <c r="BQ408" s="1" t="s">
        <v>74</v>
      </c>
      <c r="BR408" s="1" t="s">
        <v>102</v>
      </c>
      <c r="BS408" s="1" t="s">
        <v>8524</v>
      </c>
      <c r="BT408" s="1" t="str">
        <f>HYPERLINK("https%3A%2F%2Fwww.webofscience.com%2Fwos%2Fwoscc%2Ffull-record%2FWOS:000913758200001","View Full Record in Web of Science")</f>
        <v>View Full Record in Web of Science</v>
      </c>
    </row>
    <row r="409" ht="12.75" customHeight="1">
      <c r="A409" s="1" t="s">
        <v>132</v>
      </c>
      <c r="B409" s="1" t="s">
        <v>8525</v>
      </c>
      <c r="C409" s="1" t="s">
        <v>74</v>
      </c>
      <c r="D409" s="1" t="s">
        <v>74</v>
      </c>
      <c r="E409" s="1" t="s">
        <v>74</v>
      </c>
      <c r="F409" s="1" t="s">
        <v>8526</v>
      </c>
      <c r="G409" s="1" t="s">
        <v>74</v>
      </c>
      <c r="H409" s="1" t="s">
        <v>74</v>
      </c>
      <c r="I409" s="1" t="s">
        <v>8527</v>
      </c>
      <c r="J409" s="1" t="s">
        <v>8528</v>
      </c>
      <c r="K409" s="1" t="s">
        <v>74</v>
      </c>
      <c r="L409" s="1" t="s">
        <v>74</v>
      </c>
      <c r="M409" s="1" t="s">
        <v>80</v>
      </c>
      <c r="N409" s="1" t="s">
        <v>136</v>
      </c>
      <c r="O409" s="1" t="s">
        <v>74</v>
      </c>
      <c r="P409" s="1" t="s">
        <v>74</v>
      </c>
      <c r="Q409" s="1" t="s">
        <v>74</v>
      </c>
      <c r="R409" s="1" t="s">
        <v>74</v>
      </c>
      <c r="S409" s="1" t="s">
        <v>74</v>
      </c>
      <c r="T409" s="1" t="s">
        <v>8529</v>
      </c>
      <c r="U409" s="1" t="s">
        <v>8530</v>
      </c>
      <c r="V409" s="1" t="s">
        <v>8531</v>
      </c>
      <c r="W409" s="1" t="s">
        <v>8532</v>
      </c>
      <c r="X409" s="1" t="s">
        <v>8533</v>
      </c>
      <c r="Y409" s="1" t="s">
        <v>8534</v>
      </c>
      <c r="Z409" s="1" t="s">
        <v>74</v>
      </c>
      <c r="AA409" s="1" t="s">
        <v>74</v>
      </c>
      <c r="AB409" s="1" t="s">
        <v>8535</v>
      </c>
      <c r="AC409" s="1" t="s">
        <v>74</v>
      </c>
      <c r="AD409" s="1" t="s">
        <v>74</v>
      </c>
      <c r="AE409" s="1" t="s">
        <v>74</v>
      </c>
      <c r="AF409" s="1" t="s">
        <v>74</v>
      </c>
      <c r="AG409" s="1">
        <v>62.0</v>
      </c>
      <c r="AH409" s="1">
        <v>0.0</v>
      </c>
      <c r="AI409" s="1">
        <v>1.0</v>
      </c>
      <c r="AJ409" s="1">
        <v>18.0</v>
      </c>
      <c r="AK409" s="1">
        <v>94.0</v>
      </c>
      <c r="AL409" s="1" t="s">
        <v>2928</v>
      </c>
      <c r="AM409" s="1" t="s">
        <v>1090</v>
      </c>
      <c r="AN409" s="1" t="s">
        <v>2929</v>
      </c>
      <c r="AO409" s="1" t="s">
        <v>8536</v>
      </c>
      <c r="AP409" s="1" t="s">
        <v>8537</v>
      </c>
      <c r="AQ409" s="1" t="s">
        <v>74</v>
      </c>
      <c r="AR409" s="1" t="s">
        <v>8538</v>
      </c>
      <c r="AS409" s="1" t="s">
        <v>8539</v>
      </c>
      <c r="AT409" s="1" t="s">
        <v>8540</v>
      </c>
      <c r="AU409" s="1">
        <v>2020.0</v>
      </c>
      <c r="AV409" s="1">
        <v>28.0</v>
      </c>
      <c r="AW409" s="1">
        <v>4.0</v>
      </c>
      <c r="AX409" s="1" t="s">
        <v>74</v>
      </c>
      <c r="AY409" s="1" t="s">
        <v>74</v>
      </c>
      <c r="AZ409" s="1" t="s">
        <v>74</v>
      </c>
      <c r="BA409" s="1" t="s">
        <v>74</v>
      </c>
      <c r="BB409" s="1">
        <v>279.0</v>
      </c>
      <c r="BC409" s="1">
        <v>296.0</v>
      </c>
      <c r="BD409" s="1" t="s">
        <v>74</v>
      </c>
      <c r="BE409" s="1" t="s">
        <v>8541</v>
      </c>
      <c r="BF409" s="2" t="str">
        <f>HYPERLINK("http://dx.doi.org/10.1093/ijlit/eaaa023","http://dx.doi.org/10.1093/ijlit/eaaa023")</f>
        <v>http://dx.doi.org/10.1093/ijlit/eaaa023</v>
      </c>
      <c r="BG409" s="1" t="s">
        <v>74</v>
      </c>
      <c r="BH409" s="1" t="s">
        <v>74</v>
      </c>
      <c r="BI409" s="1">
        <v>18.0</v>
      </c>
      <c r="BJ409" s="1" t="s">
        <v>915</v>
      </c>
      <c r="BK409" s="1" t="s">
        <v>172</v>
      </c>
      <c r="BL409" s="1" t="s">
        <v>916</v>
      </c>
      <c r="BM409" s="1" t="s">
        <v>8542</v>
      </c>
      <c r="BN409" s="1" t="s">
        <v>74</v>
      </c>
      <c r="BO409" s="1" t="s">
        <v>74</v>
      </c>
      <c r="BP409" s="1" t="s">
        <v>74</v>
      </c>
      <c r="BQ409" s="1" t="s">
        <v>74</v>
      </c>
      <c r="BR409" s="1" t="s">
        <v>102</v>
      </c>
      <c r="BS409" s="1" t="s">
        <v>8543</v>
      </c>
      <c r="BT409" s="1" t="str">
        <f>HYPERLINK("https%3A%2F%2Fwww.webofscience.com%2Fwos%2Fwoscc%2Ffull-record%2FWOS:000648953300001","View Full Record in Web of Science")</f>
        <v>View Full Record in Web of Science</v>
      </c>
    </row>
    <row r="410" ht="12.75" customHeight="1">
      <c r="A410" s="1" t="s">
        <v>132</v>
      </c>
      <c r="B410" s="1" t="s">
        <v>8544</v>
      </c>
      <c r="C410" s="1" t="s">
        <v>74</v>
      </c>
      <c r="D410" s="1" t="s">
        <v>74</v>
      </c>
      <c r="E410" s="1" t="s">
        <v>74</v>
      </c>
      <c r="F410" s="1" t="s">
        <v>8545</v>
      </c>
      <c r="G410" s="1" t="s">
        <v>74</v>
      </c>
      <c r="H410" s="1" t="s">
        <v>74</v>
      </c>
      <c r="I410" s="1" t="s">
        <v>8546</v>
      </c>
      <c r="J410" s="1" t="s">
        <v>8547</v>
      </c>
      <c r="K410" s="1" t="s">
        <v>74</v>
      </c>
      <c r="L410" s="1" t="s">
        <v>74</v>
      </c>
      <c r="M410" s="1" t="s">
        <v>80</v>
      </c>
      <c r="N410" s="1" t="s">
        <v>136</v>
      </c>
      <c r="O410" s="1" t="s">
        <v>74</v>
      </c>
      <c r="P410" s="1" t="s">
        <v>74</v>
      </c>
      <c r="Q410" s="1" t="s">
        <v>74</v>
      </c>
      <c r="R410" s="1" t="s">
        <v>74</v>
      </c>
      <c r="S410" s="1" t="s">
        <v>74</v>
      </c>
      <c r="T410" s="1" t="s">
        <v>8548</v>
      </c>
      <c r="U410" s="1" t="s">
        <v>217</v>
      </c>
      <c r="V410" s="1" t="s">
        <v>8549</v>
      </c>
      <c r="W410" s="1" t="s">
        <v>8550</v>
      </c>
      <c r="X410" s="1" t="s">
        <v>8551</v>
      </c>
      <c r="Y410" s="1" t="s">
        <v>8552</v>
      </c>
      <c r="Z410" s="1" t="s">
        <v>8553</v>
      </c>
      <c r="AA410" s="1" t="s">
        <v>74</v>
      </c>
      <c r="AB410" s="1" t="s">
        <v>74</v>
      </c>
      <c r="AC410" s="1" t="s">
        <v>74</v>
      </c>
      <c r="AD410" s="1" t="s">
        <v>74</v>
      </c>
      <c r="AE410" s="1" t="s">
        <v>74</v>
      </c>
      <c r="AF410" s="1" t="s">
        <v>74</v>
      </c>
      <c r="AG410" s="1">
        <v>66.0</v>
      </c>
      <c r="AH410" s="1">
        <v>0.0</v>
      </c>
      <c r="AI410" s="1">
        <v>0.0</v>
      </c>
      <c r="AJ410" s="1">
        <v>22.0</v>
      </c>
      <c r="AK410" s="1">
        <v>22.0</v>
      </c>
      <c r="AL410" s="1" t="s">
        <v>8554</v>
      </c>
      <c r="AM410" s="1" t="s">
        <v>648</v>
      </c>
      <c r="AN410" s="1" t="s">
        <v>8555</v>
      </c>
      <c r="AO410" s="1" t="s">
        <v>8556</v>
      </c>
      <c r="AP410" s="1" t="s">
        <v>74</v>
      </c>
      <c r="AQ410" s="1" t="s">
        <v>74</v>
      </c>
      <c r="AR410" s="1" t="s">
        <v>8557</v>
      </c>
      <c r="AS410" s="1" t="s">
        <v>8558</v>
      </c>
      <c r="AT410" s="1" t="s">
        <v>74</v>
      </c>
      <c r="AU410" s="1">
        <v>2024.0</v>
      </c>
      <c r="AV410" s="1">
        <v>12.0</v>
      </c>
      <c r="AW410" s="1" t="s">
        <v>74</v>
      </c>
      <c r="AX410" s="1" t="s">
        <v>74</v>
      </c>
      <c r="AY410" s="1" t="s">
        <v>74</v>
      </c>
      <c r="AZ410" s="1" t="s">
        <v>74</v>
      </c>
      <c r="BA410" s="1" t="s">
        <v>74</v>
      </c>
      <c r="BB410" s="1">
        <v>115.0</v>
      </c>
      <c r="BC410" s="1">
        <v>133.0</v>
      </c>
      <c r="BD410" s="1" t="s">
        <v>74</v>
      </c>
      <c r="BE410" s="1" t="s">
        <v>8559</v>
      </c>
      <c r="BF410" s="2" t="str">
        <f>HYPERLINK("http://dx.doi.org/10.52152/RCR.V12.8","http://dx.doi.org/10.52152/RCR.V12.8")</f>
        <v>http://dx.doi.org/10.52152/RCR.V12.8</v>
      </c>
      <c r="BG410" s="1" t="s">
        <v>74</v>
      </c>
      <c r="BH410" s="1" t="s">
        <v>74</v>
      </c>
      <c r="BI410" s="1">
        <v>19.0</v>
      </c>
      <c r="BJ410" s="1" t="s">
        <v>2183</v>
      </c>
      <c r="BK410" s="1" t="s">
        <v>172</v>
      </c>
      <c r="BL410" s="1" t="s">
        <v>2183</v>
      </c>
      <c r="BM410" s="1" t="s">
        <v>8560</v>
      </c>
      <c r="BN410" s="1" t="s">
        <v>74</v>
      </c>
      <c r="BO410" s="1" t="s">
        <v>74</v>
      </c>
      <c r="BP410" s="1" t="s">
        <v>74</v>
      </c>
      <c r="BQ410" s="1" t="s">
        <v>74</v>
      </c>
      <c r="BR410" s="1" t="s">
        <v>102</v>
      </c>
      <c r="BS410" s="1" t="s">
        <v>8561</v>
      </c>
      <c r="BT410" s="1" t="str">
        <f>HYPERLINK("https%3A%2F%2Fwww.webofscience.com%2Fwos%2Fwoscc%2Ffull-record%2FWOS:001319844400004","View Full Record in Web of Science")</f>
        <v>View Full Record in Web of Science</v>
      </c>
    </row>
    <row r="411" ht="12.75" customHeight="1">
      <c r="A411" s="1" t="s">
        <v>132</v>
      </c>
      <c r="B411" s="1" t="s">
        <v>8562</v>
      </c>
      <c r="C411" s="1" t="s">
        <v>74</v>
      </c>
      <c r="D411" s="1" t="s">
        <v>74</v>
      </c>
      <c r="E411" s="1" t="s">
        <v>74</v>
      </c>
      <c r="F411" s="1" t="s">
        <v>8563</v>
      </c>
      <c r="G411" s="1" t="s">
        <v>74</v>
      </c>
      <c r="H411" s="1" t="s">
        <v>74</v>
      </c>
      <c r="I411" s="1" t="s">
        <v>8564</v>
      </c>
      <c r="J411" s="1" t="s">
        <v>3728</v>
      </c>
      <c r="K411" s="1" t="s">
        <v>74</v>
      </c>
      <c r="L411" s="1" t="s">
        <v>74</v>
      </c>
      <c r="M411" s="1" t="s">
        <v>80</v>
      </c>
      <c r="N411" s="1" t="s">
        <v>136</v>
      </c>
      <c r="O411" s="1" t="s">
        <v>74</v>
      </c>
      <c r="P411" s="1" t="s">
        <v>74</v>
      </c>
      <c r="Q411" s="1" t="s">
        <v>74</v>
      </c>
      <c r="R411" s="1" t="s">
        <v>74</v>
      </c>
      <c r="S411" s="1" t="s">
        <v>74</v>
      </c>
      <c r="T411" s="1" t="s">
        <v>8565</v>
      </c>
      <c r="U411" s="1" t="s">
        <v>8566</v>
      </c>
      <c r="V411" s="1" t="s">
        <v>8567</v>
      </c>
      <c r="W411" s="1" t="s">
        <v>8568</v>
      </c>
      <c r="X411" s="1" t="s">
        <v>8569</v>
      </c>
      <c r="Y411" s="1" t="s">
        <v>8570</v>
      </c>
      <c r="Z411" s="1" t="s">
        <v>8571</v>
      </c>
      <c r="AA411" s="1" t="s">
        <v>8572</v>
      </c>
      <c r="AB411" s="1" t="s">
        <v>8573</v>
      </c>
      <c r="AC411" s="1" t="s">
        <v>8574</v>
      </c>
      <c r="AD411" s="1" t="s">
        <v>8575</v>
      </c>
      <c r="AE411" s="1" t="s">
        <v>8576</v>
      </c>
      <c r="AF411" s="1" t="s">
        <v>74</v>
      </c>
      <c r="AG411" s="1">
        <v>74.0</v>
      </c>
      <c r="AH411" s="1">
        <v>16.0</v>
      </c>
      <c r="AI411" s="1">
        <v>16.0</v>
      </c>
      <c r="AJ411" s="1">
        <v>126.0</v>
      </c>
      <c r="AK411" s="1">
        <v>189.0</v>
      </c>
      <c r="AL411" s="1" t="s">
        <v>2745</v>
      </c>
      <c r="AM411" s="1" t="s">
        <v>2746</v>
      </c>
      <c r="AN411" s="1" t="s">
        <v>2747</v>
      </c>
      <c r="AO411" s="1" t="s">
        <v>3741</v>
      </c>
      <c r="AP411" s="1" t="s">
        <v>3742</v>
      </c>
      <c r="AQ411" s="1" t="s">
        <v>74</v>
      </c>
      <c r="AR411" s="1" t="s">
        <v>3743</v>
      </c>
      <c r="AS411" s="1" t="s">
        <v>3744</v>
      </c>
      <c r="AT411" s="1" t="s">
        <v>8577</v>
      </c>
      <c r="AU411" s="1">
        <v>2024.0</v>
      </c>
      <c r="AV411" s="1">
        <v>438.0</v>
      </c>
      <c r="AW411" s="1" t="s">
        <v>74</v>
      </c>
      <c r="AX411" s="1" t="s">
        <v>74</v>
      </c>
      <c r="AY411" s="1" t="s">
        <v>74</v>
      </c>
      <c r="AZ411" s="1" t="s">
        <v>74</v>
      </c>
      <c r="BA411" s="1" t="s">
        <v>74</v>
      </c>
      <c r="BB411" s="1" t="s">
        <v>74</v>
      </c>
      <c r="BC411" s="1" t="s">
        <v>74</v>
      </c>
      <c r="BD411" s="1">
        <v>140817.0</v>
      </c>
      <c r="BE411" s="1" t="s">
        <v>8578</v>
      </c>
      <c r="BF411" s="2" t="str">
        <f>HYPERLINK("http://dx.doi.org/10.1016/j.jclepro.2024.140817","http://dx.doi.org/10.1016/j.jclepro.2024.140817")</f>
        <v>http://dx.doi.org/10.1016/j.jclepro.2024.140817</v>
      </c>
      <c r="BG411" s="1" t="s">
        <v>74</v>
      </c>
      <c r="BH411" s="1" t="s">
        <v>8579</v>
      </c>
      <c r="BI411" s="1">
        <v>12.0</v>
      </c>
      <c r="BJ411" s="1" t="s">
        <v>3747</v>
      </c>
      <c r="BK411" s="1" t="s">
        <v>149</v>
      </c>
      <c r="BL411" s="1" t="s">
        <v>3748</v>
      </c>
      <c r="BM411" s="1" t="s">
        <v>8580</v>
      </c>
      <c r="BN411" s="1" t="s">
        <v>74</v>
      </c>
      <c r="BO411" s="1" t="s">
        <v>74</v>
      </c>
      <c r="BP411" s="1" t="s">
        <v>74</v>
      </c>
      <c r="BQ411" s="1" t="s">
        <v>74</v>
      </c>
      <c r="BR411" s="1" t="s">
        <v>102</v>
      </c>
      <c r="BS411" s="1" t="s">
        <v>8581</v>
      </c>
      <c r="BT411" s="1" t="str">
        <f>HYPERLINK("https%3A%2F%2Fwww.webofscience.com%2Fwos%2Fwoscc%2Ffull-record%2FWOS:001172747200001","View Full Record in Web of Science")</f>
        <v>View Full Record in Web of Science</v>
      </c>
    </row>
    <row r="412" ht="12.75" customHeight="1">
      <c r="A412" s="1" t="s">
        <v>132</v>
      </c>
      <c r="B412" s="1" t="s">
        <v>8582</v>
      </c>
      <c r="C412" s="1" t="s">
        <v>74</v>
      </c>
      <c r="D412" s="1" t="s">
        <v>74</v>
      </c>
      <c r="E412" s="1" t="s">
        <v>74</v>
      </c>
      <c r="F412" s="1" t="s">
        <v>8583</v>
      </c>
      <c r="G412" s="1" t="s">
        <v>74</v>
      </c>
      <c r="H412" s="1" t="s">
        <v>74</v>
      </c>
      <c r="I412" s="1" t="s">
        <v>8584</v>
      </c>
      <c r="J412" s="1" t="s">
        <v>8073</v>
      </c>
      <c r="K412" s="1" t="s">
        <v>74</v>
      </c>
      <c r="L412" s="1" t="s">
        <v>74</v>
      </c>
      <c r="M412" s="1" t="s">
        <v>80</v>
      </c>
      <c r="N412" s="1" t="s">
        <v>136</v>
      </c>
      <c r="O412" s="1" t="s">
        <v>74</v>
      </c>
      <c r="P412" s="1" t="s">
        <v>74</v>
      </c>
      <c r="Q412" s="1" t="s">
        <v>74</v>
      </c>
      <c r="R412" s="1" t="s">
        <v>74</v>
      </c>
      <c r="S412" s="1" t="s">
        <v>74</v>
      </c>
      <c r="T412" s="1" t="s">
        <v>8585</v>
      </c>
      <c r="U412" s="1" t="s">
        <v>74</v>
      </c>
      <c r="V412" s="1" t="s">
        <v>8586</v>
      </c>
      <c r="W412" s="1" t="s">
        <v>8587</v>
      </c>
      <c r="X412" s="1" t="s">
        <v>8588</v>
      </c>
      <c r="Y412" s="1" t="s">
        <v>8589</v>
      </c>
      <c r="Z412" s="1" t="s">
        <v>8590</v>
      </c>
      <c r="AA412" s="1" t="s">
        <v>74</v>
      </c>
      <c r="AB412" s="1" t="s">
        <v>8591</v>
      </c>
      <c r="AC412" s="1" t="s">
        <v>74</v>
      </c>
      <c r="AD412" s="1" t="s">
        <v>74</v>
      </c>
      <c r="AE412" s="1" t="s">
        <v>74</v>
      </c>
      <c r="AF412" s="1" t="s">
        <v>74</v>
      </c>
      <c r="AG412" s="1">
        <v>17.0</v>
      </c>
      <c r="AH412" s="1">
        <v>0.0</v>
      </c>
      <c r="AI412" s="1">
        <v>0.0</v>
      </c>
      <c r="AJ412" s="1">
        <v>34.0</v>
      </c>
      <c r="AK412" s="1">
        <v>42.0</v>
      </c>
      <c r="AL412" s="1" t="s">
        <v>1571</v>
      </c>
      <c r="AM412" s="1" t="s">
        <v>1572</v>
      </c>
      <c r="AN412" s="1" t="s">
        <v>1573</v>
      </c>
      <c r="AO412" s="1" t="s">
        <v>8082</v>
      </c>
      <c r="AP412" s="1" t="s">
        <v>8083</v>
      </c>
      <c r="AQ412" s="1" t="s">
        <v>74</v>
      </c>
      <c r="AR412" s="1" t="s">
        <v>8084</v>
      </c>
      <c r="AS412" s="1" t="s">
        <v>8085</v>
      </c>
      <c r="AT412" s="1" t="s">
        <v>302</v>
      </c>
      <c r="AU412" s="1">
        <v>2024.0</v>
      </c>
      <c r="AV412" s="1">
        <v>26.0</v>
      </c>
      <c r="AW412" s="1" t="s">
        <v>3048</v>
      </c>
      <c r="AX412" s="1" t="s">
        <v>74</v>
      </c>
      <c r="AY412" s="1" t="s">
        <v>74</v>
      </c>
      <c r="AZ412" s="1" t="s">
        <v>74</v>
      </c>
      <c r="BA412" s="1" t="s">
        <v>74</v>
      </c>
      <c r="BB412" s="1">
        <v>108.0</v>
      </c>
      <c r="BC412" s="1">
        <v>114.0</v>
      </c>
      <c r="BD412" s="1" t="s">
        <v>74</v>
      </c>
      <c r="BE412" s="1" t="s">
        <v>8592</v>
      </c>
      <c r="BF412" s="2" t="str">
        <f>HYPERLINK("http://dx.doi.org/10.1177/15234223241254775","http://dx.doi.org/10.1177/15234223241254775")</f>
        <v>http://dx.doi.org/10.1177/15234223241254775</v>
      </c>
      <c r="BG412" s="1" t="s">
        <v>74</v>
      </c>
      <c r="BH412" s="1" t="s">
        <v>3129</v>
      </c>
      <c r="BI412" s="1">
        <v>7.0</v>
      </c>
      <c r="BJ412" s="1" t="s">
        <v>8087</v>
      </c>
      <c r="BK412" s="1" t="s">
        <v>172</v>
      </c>
      <c r="BL412" s="1" t="s">
        <v>204</v>
      </c>
      <c r="BM412" s="1" t="s">
        <v>8593</v>
      </c>
      <c r="BN412" s="1" t="s">
        <v>74</v>
      </c>
      <c r="BO412" s="1" t="s">
        <v>74</v>
      </c>
      <c r="BP412" s="1" t="s">
        <v>74</v>
      </c>
      <c r="BQ412" s="1" t="s">
        <v>74</v>
      </c>
      <c r="BR412" s="1" t="s">
        <v>102</v>
      </c>
      <c r="BS412" s="1" t="s">
        <v>8594</v>
      </c>
      <c r="BT412" s="1" t="str">
        <f>HYPERLINK("https%3A%2F%2Fwww.webofscience.com%2Fwos%2Fwoscc%2Ffull-record%2FWOS:001218956500001","View Full Record in Web of Science")</f>
        <v>View Full Record in Web of Science</v>
      </c>
    </row>
    <row r="413" ht="12.75" customHeight="1">
      <c r="A413" s="1" t="s">
        <v>132</v>
      </c>
      <c r="B413" s="1" t="s">
        <v>8595</v>
      </c>
      <c r="C413" s="1" t="s">
        <v>74</v>
      </c>
      <c r="D413" s="1" t="s">
        <v>74</v>
      </c>
      <c r="E413" s="1" t="s">
        <v>74</v>
      </c>
      <c r="F413" s="1" t="s">
        <v>8596</v>
      </c>
      <c r="G413" s="1" t="s">
        <v>74</v>
      </c>
      <c r="H413" s="1" t="s">
        <v>74</v>
      </c>
      <c r="I413" s="1" t="s">
        <v>8597</v>
      </c>
      <c r="J413" s="1" t="s">
        <v>8598</v>
      </c>
      <c r="K413" s="1" t="s">
        <v>74</v>
      </c>
      <c r="L413" s="1" t="s">
        <v>74</v>
      </c>
      <c r="M413" s="1" t="s">
        <v>80</v>
      </c>
      <c r="N413" s="1" t="s">
        <v>136</v>
      </c>
      <c r="O413" s="1" t="s">
        <v>74</v>
      </c>
      <c r="P413" s="1" t="s">
        <v>74</v>
      </c>
      <c r="Q413" s="1" t="s">
        <v>74</v>
      </c>
      <c r="R413" s="1" t="s">
        <v>74</v>
      </c>
      <c r="S413" s="1" t="s">
        <v>74</v>
      </c>
      <c r="T413" s="1" t="s">
        <v>8599</v>
      </c>
      <c r="U413" s="1" t="s">
        <v>8600</v>
      </c>
      <c r="V413" s="1" t="s">
        <v>8601</v>
      </c>
      <c r="W413" s="1" t="s">
        <v>8602</v>
      </c>
      <c r="X413" s="1" t="s">
        <v>8603</v>
      </c>
      <c r="Y413" s="1" t="s">
        <v>8604</v>
      </c>
      <c r="Z413" s="1" t="s">
        <v>8605</v>
      </c>
      <c r="AA413" s="1" t="s">
        <v>8606</v>
      </c>
      <c r="AB413" s="1" t="s">
        <v>74</v>
      </c>
      <c r="AC413" s="1" t="s">
        <v>74</v>
      </c>
      <c r="AD413" s="1" t="s">
        <v>74</v>
      </c>
      <c r="AE413" s="1" t="s">
        <v>74</v>
      </c>
      <c r="AF413" s="1" t="s">
        <v>74</v>
      </c>
      <c r="AG413" s="1">
        <v>43.0</v>
      </c>
      <c r="AH413" s="1">
        <v>0.0</v>
      </c>
      <c r="AI413" s="1">
        <v>0.0</v>
      </c>
      <c r="AJ413" s="1">
        <v>28.0</v>
      </c>
      <c r="AK413" s="1">
        <v>28.0</v>
      </c>
      <c r="AL413" s="1" t="s">
        <v>8607</v>
      </c>
      <c r="AM413" s="1" t="s">
        <v>8608</v>
      </c>
      <c r="AN413" s="1" t="s">
        <v>8609</v>
      </c>
      <c r="AO413" s="1" t="s">
        <v>8610</v>
      </c>
      <c r="AP413" s="1" t="s">
        <v>8611</v>
      </c>
      <c r="AQ413" s="1" t="s">
        <v>74</v>
      </c>
      <c r="AR413" s="1" t="s">
        <v>8612</v>
      </c>
      <c r="AS413" s="1" t="s">
        <v>8613</v>
      </c>
      <c r="AT413" s="1" t="s">
        <v>74</v>
      </c>
      <c r="AU413" s="1">
        <v>2024.0</v>
      </c>
      <c r="AV413" s="1">
        <v>90.0</v>
      </c>
      <c r="AW413" s="1">
        <v>2.0</v>
      </c>
      <c r="AX413" s="1" t="s">
        <v>74</v>
      </c>
      <c r="AY413" s="1" t="s">
        <v>74</v>
      </c>
      <c r="AZ413" s="1" t="s">
        <v>74</v>
      </c>
      <c r="BA413" s="1" t="s">
        <v>74</v>
      </c>
      <c r="BB413" s="1" t="s">
        <v>74</v>
      </c>
      <c r="BC413" s="1" t="s">
        <v>74</v>
      </c>
      <c r="BD413" s="1">
        <v>2405.0</v>
      </c>
      <c r="BE413" s="1" t="s">
        <v>8614</v>
      </c>
      <c r="BF413" s="2" t="str">
        <f>HYPERLINK("http://dx.doi.org/10.7553/90-2-2405","http://dx.doi.org/10.7553/90-2-2405")</f>
        <v>http://dx.doi.org/10.7553/90-2-2405</v>
      </c>
      <c r="BG413" s="1" t="s">
        <v>74</v>
      </c>
      <c r="BH413" s="1" t="s">
        <v>74</v>
      </c>
      <c r="BI413" s="1">
        <v>9.0</v>
      </c>
      <c r="BJ413" s="1" t="s">
        <v>358</v>
      </c>
      <c r="BK413" s="1" t="s">
        <v>172</v>
      </c>
      <c r="BL413" s="1" t="s">
        <v>358</v>
      </c>
      <c r="BM413" s="1" t="s">
        <v>8615</v>
      </c>
      <c r="BN413" s="1" t="s">
        <v>74</v>
      </c>
      <c r="BO413" s="1" t="s">
        <v>174</v>
      </c>
      <c r="BP413" s="1" t="s">
        <v>74</v>
      </c>
      <c r="BQ413" s="1" t="s">
        <v>74</v>
      </c>
      <c r="BR413" s="1" t="s">
        <v>102</v>
      </c>
      <c r="BS413" s="1" t="s">
        <v>8616</v>
      </c>
      <c r="BT413" s="1" t="str">
        <f>HYPERLINK("https%3A%2F%2Fwww.webofscience.com%2Fwos%2Fwoscc%2Ffull-record%2FWOS:001320253500001","View Full Record in Web of Science")</f>
        <v>View Full Record in Web of Science</v>
      </c>
    </row>
    <row r="414" ht="12.75" customHeight="1">
      <c r="A414" s="1" t="s">
        <v>132</v>
      </c>
      <c r="B414" s="1" t="s">
        <v>8617</v>
      </c>
      <c r="C414" s="1" t="s">
        <v>74</v>
      </c>
      <c r="D414" s="1" t="s">
        <v>74</v>
      </c>
      <c r="E414" s="1" t="s">
        <v>74</v>
      </c>
      <c r="F414" s="1" t="s">
        <v>8618</v>
      </c>
      <c r="G414" s="1" t="s">
        <v>74</v>
      </c>
      <c r="H414" s="1" t="s">
        <v>74</v>
      </c>
      <c r="I414" s="1" t="s">
        <v>8619</v>
      </c>
      <c r="J414" s="1" t="s">
        <v>8620</v>
      </c>
      <c r="K414" s="1" t="s">
        <v>74</v>
      </c>
      <c r="L414" s="1" t="s">
        <v>74</v>
      </c>
      <c r="M414" s="1" t="s">
        <v>80</v>
      </c>
      <c r="N414" s="1" t="s">
        <v>136</v>
      </c>
      <c r="O414" s="1" t="s">
        <v>74</v>
      </c>
      <c r="P414" s="1" t="s">
        <v>74</v>
      </c>
      <c r="Q414" s="1" t="s">
        <v>74</v>
      </c>
      <c r="R414" s="1" t="s">
        <v>74</v>
      </c>
      <c r="S414" s="1" t="s">
        <v>74</v>
      </c>
      <c r="T414" s="1" t="s">
        <v>8621</v>
      </c>
      <c r="U414" s="1" t="s">
        <v>8622</v>
      </c>
      <c r="V414" s="1" t="s">
        <v>8623</v>
      </c>
      <c r="W414" s="1" t="s">
        <v>8624</v>
      </c>
      <c r="X414" s="1" t="s">
        <v>8625</v>
      </c>
      <c r="Y414" s="1" t="s">
        <v>8626</v>
      </c>
      <c r="Z414" s="1" t="s">
        <v>8627</v>
      </c>
      <c r="AA414" s="1" t="s">
        <v>8628</v>
      </c>
      <c r="AB414" s="1" t="s">
        <v>74</v>
      </c>
      <c r="AC414" s="1" t="s">
        <v>74</v>
      </c>
      <c r="AD414" s="1" t="s">
        <v>74</v>
      </c>
      <c r="AE414" s="1" t="s">
        <v>74</v>
      </c>
      <c r="AF414" s="1" t="s">
        <v>74</v>
      </c>
      <c r="AG414" s="1">
        <v>15.0</v>
      </c>
      <c r="AH414" s="1">
        <v>6.0</v>
      </c>
      <c r="AI414" s="1">
        <v>6.0</v>
      </c>
      <c r="AJ414" s="1">
        <v>1.0</v>
      </c>
      <c r="AK414" s="1">
        <v>24.0</v>
      </c>
      <c r="AL414" s="1" t="s">
        <v>8629</v>
      </c>
      <c r="AM414" s="1" t="s">
        <v>7333</v>
      </c>
      <c r="AN414" s="1" t="s">
        <v>8630</v>
      </c>
      <c r="AO414" s="1" t="s">
        <v>74</v>
      </c>
      <c r="AP414" s="1" t="s">
        <v>8631</v>
      </c>
      <c r="AQ414" s="1" t="s">
        <v>74</v>
      </c>
      <c r="AR414" s="1" t="s">
        <v>8632</v>
      </c>
      <c r="AS414" s="1" t="s">
        <v>8633</v>
      </c>
      <c r="AT414" s="1" t="s">
        <v>1051</v>
      </c>
      <c r="AU414" s="1">
        <v>2019.0</v>
      </c>
      <c r="AV414" s="1">
        <v>65.0</v>
      </c>
      <c r="AW414" s="1">
        <v>12.0</v>
      </c>
      <c r="AX414" s="1" t="s">
        <v>74</v>
      </c>
      <c r="AY414" s="1" t="s">
        <v>74</v>
      </c>
      <c r="AZ414" s="1" t="s">
        <v>74</v>
      </c>
      <c r="BA414" s="1" t="s">
        <v>74</v>
      </c>
      <c r="BB414" s="1">
        <v>1438.0</v>
      </c>
      <c r="BC414" s="1">
        <v>1441.0</v>
      </c>
      <c r="BD414" s="1" t="s">
        <v>74</v>
      </c>
      <c r="BE414" s="1" t="s">
        <v>8634</v>
      </c>
      <c r="BF414" s="2" t="str">
        <f>HYPERLINK("http://dx.doi.org/10.1590/1806-9282.65.12.1438","http://dx.doi.org/10.1590/1806-9282.65.12.1438")</f>
        <v>http://dx.doi.org/10.1590/1806-9282.65.12.1438</v>
      </c>
      <c r="BG414" s="1" t="s">
        <v>74</v>
      </c>
      <c r="BH414" s="1" t="s">
        <v>74</v>
      </c>
      <c r="BI414" s="1">
        <v>4.0</v>
      </c>
      <c r="BJ414" s="1" t="s">
        <v>1158</v>
      </c>
      <c r="BK414" s="1" t="s">
        <v>149</v>
      </c>
      <c r="BL414" s="1" t="s">
        <v>1159</v>
      </c>
      <c r="BM414" s="1" t="s">
        <v>8635</v>
      </c>
      <c r="BN414" s="1">
        <v>3.1994622E7</v>
      </c>
      <c r="BO414" s="1" t="s">
        <v>174</v>
      </c>
      <c r="BP414" s="1" t="s">
        <v>74</v>
      </c>
      <c r="BQ414" s="1" t="s">
        <v>74</v>
      </c>
      <c r="BR414" s="1" t="s">
        <v>102</v>
      </c>
      <c r="BS414" s="1" t="s">
        <v>8636</v>
      </c>
      <c r="BT414" s="1" t="str">
        <f>HYPERLINK("https%3A%2F%2Fwww.webofscience.com%2Fwos%2Fwoscc%2Ffull-record%2FWOS:000510392000005","View Full Record in Web of Science")</f>
        <v>View Full Record in Web of Science</v>
      </c>
    </row>
    <row r="415" ht="12.75" customHeight="1">
      <c r="A415" s="1" t="s">
        <v>72</v>
      </c>
      <c r="B415" s="1" t="s">
        <v>8637</v>
      </c>
      <c r="C415" s="1" t="s">
        <v>74</v>
      </c>
      <c r="D415" s="1" t="s">
        <v>8638</v>
      </c>
      <c r="E415" s="1" t="s">
        <v>74</v>
      </c>
      <c r="F415" s="1" t="s">
        <v>8639</v>
      </c>
      <c r="G415" s="1" t="s">
        <v>74</v>
      </c>
      <c r="H415" s="1" t="s">
        <v>74</v>
      </c>
      <c r="I415" s="1" t="s">
        <v>8640</v>
      </c>
      <c r="J415" s="1" t="s">
        <v>8641</v>
      </c>
      <c r="K415" s="1" t="s">
        <v>2386</v>
      </c>
      <c r="L415" s="1" t="s">
        <v>74</v>
      </c>
      <c r="M415" s="1" t="s">
        <v>80</v>
      </c>
      <c r="N415" s="1" t="s">
        <v>81</v>
      </c>
      <c r="O415" s="1" t="s">
        <v>8642</v>
      </c>
      <c r="P415" s="1" t="s">
        <v>8643</v>
      </c>
      <c r="Q415" s="1" t="s">
        <v>8644</v>
      </c>
      <c r="R415" s="1" t="s">
        <v>74</v>
      </c>
      <c r="S415" s="1" t="s">
        <v>8645</v>
      </c>
      <c r="T415" s="1" t="s">
        <v>8646</v>
      </c>
      <c r="U415" s="1" t="s">
        <v>74</v>
      </c>
      <c r="V415" s="1" t="s">
        <v>8647</v>
      </c>
      <c r="W415" s="1" t="s">
        <v>8648</v>
      </c>
      <c r="X415" s="1" t="s">
        <v>8649</v>
      </c>
      <c r="Y415" s="1" t="s">
        <v>8650</v>
      </c>
      <c r="Z415" s="1" t="s">
        <v>8651</v>
      </c>
      <c r="AA415" s="1" t="s">
        <v>74</v>
      </c>
      <c r="AB415" s="1" t="s">
        <v>8652</v>
      </c>
      <c r="AC415" s="1" t="s">
        <v>74</v>
      </c>
      <c r="AD415" s="1" t="s">
        <v>74</v>
      </c>
      <c r="AE415" s="1" t="s">
        <v>74</v>
      </c>
      <c r="AF415" s="1" t="s">
        <v>74</v>
      </c>
      <c r="AG415" s="1">
        <v>14.0</v>
      </c>
      <c r="AH415" s="1">
        <v>0.0</v>
      </c>
      <c r="AI415" s="1">
        <v>0.0</v>
      </c>
      <c r="AJ415" s="1">
        <v>13.0</v>
      </c>
      <c r="AK415" s="1">
        <v>13.0</v>
      </c>
      <c r="AL415" s="1" t="s">
        <v>223</v>
      </c>
      <c r="AM415" s="1" t="s">
        <v>224</v>
      </c>
      <c r="AN415" s="1" t="s">
        <v>225</v>
      </c>
      <c r="AO415" s="1" t="s">
        <v>2398</v>
      </c>
      <c r="AP415" s="1" t="s">
        <v>2399</v>
      </c>
      <c r="AQ415" s="1" t="s">
        <v>8653</v>
      </c>
      <c r="AR415" s="1" t="s">
        <v>2401</v>
      </c>
      <c r="AS415" s="1" t="s">
        <v>74</v>
      </c>
      <c r="AT415" s="1" t="s">
        <v>74</v>
      </c>
      <c r="AU415" s="1">
        <v>2024.0</v>
      </c>
      <c r="AV415" s="1">
        <v>1070.0</v>
      </c>
      <c r="AW415" s="1" t="s">
        <v>74</v>
      </c>
      <c r="AX415" s="1" t="s">
        <v>74</v>
      </c>
      <c r="AY415" s="1" t="s">
        <v>74</v>
      </c>
      <c r="AZ415" s="1" t="s">
        <v>74</v>
      </c>
      <c r="BA415" s="1" t="s">
        <v>74</v>
      </c>
      <c r="BB415" s="1">
        <v>387.0</v>
      </c>
      <c r="BC415" s="1">
        <v>395.0</v>
      </c>
      <c r="BD415" s="1" t="s">
        <v>74</v>
      </c>
      <c r="BE415" s="1" t="s">
        <v>8654</v>
      </c>
      <c r="BF415" s="2" t="str">
        <f>HYPERLINK("http://dx.doi.org/10.1007/978-3-031-66271-3_42","http://dx.doi.org/10.1007/978-3-031-66271-3_42")</f>
        <v>http://dx.doi.org/10.1007/978-3-031-66271-3_42</v>
      </c>
      <c r="BG415" s="1" t="s">
        <v>74</v>
      </c>
      <c r="BH415" s="1" t="s">
        <v>74</v>
      </c>
      <c r="BI415" s="1">
        <v>9.0</v>
      </c>
      <c r="BJ415" s="1" t="s">
        <v>8655</v>
      </c>
      <c r="BK415" s="1" t="s">
        <v>128</v>
      </c>
      <c r="BL415" s="1" t="s">
        <v>8656</v>
      </c>
      <c r="BM415" s="1" t="s">
        <v>8657</v>
      </c>
      <c r="BN415" s="1" t="s">
        <v>74</v>
      </c>
      <c r="BO415" s="1" t="s">
        <v>74</v>
      </c>
      <c r="BP415" s="1" t="s">
        <v>74</v>
      </c>
      <c r="BQ415" s="1" t="s">
        <v>74</v>
      </c>
      <c r="BR415" s="1" t="s">
        <v>102</v>
      </c>
      <c r="BS415" s="1" t="s">
        <v>8658</v>
      </c>
      <c r="BT415" s="1" t="str">
        <f>HYPERLINK("https%3A%2F%2Fwww.webofscience.com%2Fwos%2Fwoscc%2Ffull-record%2FWOS:001315734000042","View Full Record in Web of Science")</f>
        <v>View Full Record in Web of Science</v>
      </c>
    </row>
    <row r="416" ht="12.75" customHeight="1">
      <c r="A416" s="1" t="s">
        <v>132</v>
      </c>
      <c r="B416" s="1" t="s">
        <v>8659</v>
      </c>
      <c r="C416" s="1" t="s">
        <v>74</v>
      </c>
      <c r="D416" s="1" t="s">
        <v>74</v>
      </c>
      <c r="E416" s="1" t="s">
        <v>74</v>
      </c>
      <c r="F416" s="1" t="s">
        <v>8660</v>
      </c>
      <c r="G416" s="1" t="s">
        <v>74</v>
      </c>
      <c r="H416" s="1" t="s">
        <v>74</v>
      </c>
      <c r="I416" s="1" t="s">
        <v>8661</v>
      </c>
      <c r="J416" s="1" t="s">
        <v>8662</v>
      </c>
      <c r="K416" s="1" t="s">
        <v>74</v>
      </c>
      <c r="L416" s="1" t="s">
        <v>74</v>
      </c>
      <c r="M416" s="1" t="s">
        <v>638</v>
      </c>
      <c r="N416" s="1" t="s">
        <v>136</v>
      </c>
      <c r="O416" s="1" t="s">
        <v>74</v>
      </c>
      <c r="P416" s="1" t="s">
        <v>74</v>
      </c>
      <c r="Q416" s="1" t="s">
        <v>74</v>
      </c>
      <c r="R416" s="1" t="s">
        <v>74</v>
      </c>
      <c r="S416" s="1" t="s">
        <v>74</v>
      </c>
      <c r="T416" s="1" t="s">
        <v>8663</v>
      </c>
      <c r="U416" s="1" t="s">
        <v>8664</v>
      </c>
      <c r="V416" s="1" t="s">
        <v>8665</v>
      </c>
      <c r="W416" s="1" t="s">
        <v>8666</v>
      </c>
      <c r="X416" s="1" t="s">
        <v>8667</v>
      </c>
      <c r="Y416" s="1" t="s">
        <v>8668</v>
      </c>
      <c r="Z416" s="1" t="s">
        <v>8669</v>
      </c>
      <c r="AA416" s="1" t="s">
        <v>74</v>
      </c>
      <c r="AB416" s="1" t="s">
        <v>74</v>
      </c>
      <c r="AC416" s="1" t="s">
        <v>74</v>
      </c>
      <c r="AD416" s="1" t="s">
        <v>74</v>
      </c>
      <c r="AE416" s="1" t="s">
        <v>74</v>
      </c>
      <c r="AF416" s="1" t="s">
        <v>74</v>
      </c>
      <c r="AG416" s="1">
        <v>95.0</v>
      </c>
      <c r="AH416" s="1">
        <v>0.0</v>
      </c>
      <c r="AI416" s="1">
        <v>0.0</v>
      </c>
      <c r="AJ416" s="1">
        <v>0.0</v>
      </c>
      <c r="AK416" s="1">
        <v>0.0</v>
      </c>
      <c r="AL416" s="1" t="s">
        <v>8670</v>
      </c>
      <c r="AM416" s="1" t="s">
        <v>8671</v>
      </c>
      <c r="AN416" s="1" t="s">
        <v>8672</v>
      </c>
      <c r="AO416" s="1" t="s">
        <v>8673</v>
      </c>
      <c r="AP416" s="1" t="s">
        <v>74</v>
      </c>
      <c r="AQ416" s="1" t="s">
        <v>74</v>
      </c>
      <c r="AR416" s="1" t="s">
        <v>8674</v>
      </c>
      <c r="AS416" s="1" t="s">
        <v>8675</v>
      </c>
      <c r="AT416" s="1" t="s">
        <v>74</v>
      </c>
      <c r="AU416" s="1">
        <v>2024.0</v>
      </c>
      <c r="AV416" s="1" t="s">
        <v>74</v>
      </c>
      <c r="AW416" s="1">
        <v>31.0</v>
      </c>
      <c r="AX416" s="1" t="s">
        <v>74</v>
      </c>
      <c r="AY416" s="1" t="s">
        <v>74</v>
      </c>
      <c r="AZ416" s="1" t="s">
        <v>74</v>
      </c>
      <c r="BA416" s="1" t="s">
        <v>74</v>
      </c>
      <c r="BB416" s="1">
        <v>24.0</v>
      </c>
      <c r="BC416" s="1">
        <v>42.0</v>
      </c>
      <c r="BD416" s="1" t="s">
        <v>74</v>
      </c>
      <c r="BE416" s="1" t="s">
        <v>8676</v>
      </c>
      <c r="BF416" s="2" t="str">
        <f>HYPERLINK("http://dx.doi.org/10.34024/prometeica.2024.31.19084","http://dx.doi.org/10.34024/prometeica.2024.31.19084")</f>
        <v>http://dx.doi.org/10.34024/prometeica.2024.31.19084</v>
      </c>
      <c r="BG416" s="1" t="s">
        <v>74</v>
      </c>
      <c r="BH416" s="1" t="s">
        <v>74</v>
      </c>
      <c r="BI416" s="1">
        <v>19.0</v>
      </c>
      <c r="BJ416" s="1" t="s">
        <v>3709</v>
      </c>
      <c r="BK416" s="1" t="s">
        <v>172</v>
      </c>
      <c r="BL416" s="1" t="s">
        <v>3709</v>
      </c>
      <c r="BM416" s="1" t="s">
        <v>8677</v>
      </c>
      <c r="BN416" s="1" t="s">
        <v>74</v>
      </c>
      <c r="BO416" s="1" t="s">
        <v>174</v>
      </c>
      <c r="BP416" s="1" t="s">
        <v>74</v>
      </c>
      <c r="BQ416" s="1" t="s">
        <v>74</v>
      </c>
      <c r="BR416" s="1" t="s">
        <v>102</v>
      </c>
      <c r="BS416" s="1" t="s">
        <v>8678</v>
      </c>
      <c r="BT416" s="1" t="str">
        <f>HYPERLINK("https%3A%2F%2Fwww.webofscience.com%2Fwos%2Fwoscc%2Ffull-record%2FWOS:001378218600003","View Full Record in Web of Science")</f>
        <v>View Full Record in Web of Science</v>
      </c>
    </row>
    <row r="417" ht="12.75" customHeight="1">
      <c r="A417" s="1" t="s">
        <v>132</v>
      </c>
      <c r="B417" s="1" t="s">
        <v>8679</v>
      </c>
      <c r="C417" s="1" t="s">
        <v>74</v>
      </c>
      <c r="D417" s="1" t="s">
        <v>74</v>
      </c>
      <c r="E417" s="1" t="s">
        <v>74</v>
      </c>
      <c r="F417" s="1" t="s">
        <v>8680</v>
      </c>
      <c r="G417" s="1" t="s">
        <v>74</v>
      </c>
      <c r="H417" s="1" t="s">
        <v>74</v>
      </c>
      <c r="I417" s="1" t="s">
        <v>8681</v>
      </c>
      <c r="J417" s="1" t="s">
        <v>8682</v>
      </c>
      <c r="K417" s="1" t="s">
        <v>74</v>
      </c>
      <c r="L417" s="1" t="s">
        <v>74</v>
      </c>
      <c r="M417" s="1" t="s">
        <v>80</v>
      </c>
      <c r="N417" s="1" t="s">
        <v>136</v>
      </c>
      <c r="O417" s="1" t="s">
        <v>74</v>
      </c>
      <c r="P417" s="1" t="s">
        <v>74</v>
      </c>
      <c r="Q417" s="1" t="s">
        <v>74</v>
      </c>
      <c r="R417" s="1" t="s">
        <v>74</v>
      </c>
      <c r="S417" s="1" t="s">
        <v>74</v>
      </c>
      <c r="T417" s="1" t="s">
        <v>8683</v>
      </c>
      <c r="U417" s="1" t="s">
        <v>74</v>
      </c>
      <c r="V417" s="1" t="s">
        <v>8684</v>
      </c>
      <c r="W417" s="1" t="s">
        <v>8685</v>
      </c>
      <c r="X417" s="1" t="s">
        <v>8686</v>
      </c>
      <c r="Y417" s="1" t="s">
        <v>8687</v>
      </c>
      <c r="Z417" s="1" t="s">
        <v>8688</v>
      </c>
      <c r="AA417" s="1" t="s">
        <v>74</v>
      </c>
      <c r="AB417" s="1" t="s">
        <v>74</v>
      </c>
      <c r="AC417" s="1" t="s">
        <v>74</v>
      </c>
      <c r="AD417" s="1" t="s">
        <v>74</v>
      </c>
      <c r="AE417" s="1" t="s">
        <v>74</v>
      </c>
      <c r="AF417" s="1" t="s">
        <v>74</v>
      </c>
      <c r="AG417" s="1">
        <v>28.0</v>
      </c>
      <c r="AH417" s="1">
        <v>1.0</v>
      </c>
      <c r="AI417" s="1">
        <v>1.0</v>
      </c>
      <c r="AJ417" s="1">
        <v>7.0</v>
      </c>
      <c r="AK417" s="1">
        <v>7.0</v>
      </c>
      <c r="AL417" s="1" t="s">
        <v>571</v>
      </c>
      <c r="AM417" s="1" t="s">
        <v>572</v>
      </c>
      <c r="AN417" s="1" t="s">
        <v>573</v>
      </c>
      <c r="AO417" s="1" t="s">
        <v>8689</v>
      </c>
      <c r="AP417" s="1" t="s">
        <v>8690</v>
      </c>
      <c r="AQ417" s="1" t="s">
        <v>74</v>
      </c>
      <c r="AR417" s="1" t="s">
        <v>8691</v>
      </c>
      <c r="AS417" s="1" t="s">
        <v>8692</v>
      </c>
      <c r="AT417" s="1" t="s">
        <v>2934</v>
      </c>
      <c r="AU417" s="1">
        <v>2024.0</v>
      </c>
      <c r="AV417" s="1">
        <v>27.0</v>
      </c>
      <c r="AW417" s="1">
        <v>2.0</v>
      </c>
      <c r="AX417" s="1" t="s">
        <v>74</v>
      </c>
      <c r="AY417" s="1" t="s">
        <v>74</v>
      </c>
      <c r="AZ417" s="1" t="s">
        <v>74</v>
      </c>
      <c r="BA417" s="1" t="s">
        <v>74</v>
      </c>
      <c r="BB417" s="1">
        <v>182.0</v>
      </c>
      <c r="BC417" s="1">
        <v>192.0</v>
      </c>
      <c r="BD417" s="1" t="s">
        <v>74</v>
      </c>
      <c r="BE417" s="1" t="s">
        <v>8693</v>
      </c>
      <c r="BF417" s="2" t="str">
        <f>HYPERLINK("http://dx.doi.org/10.1108/PAP-06-2023-0081","http://dx.doi.org/10.1108/PAP-06-2023-0081")</f>
        <v>http://dx.doi.org/10.1108/PAP-06-2023-0081</v>
      </c>
      <c r="BG417" s="1" t="s">
        <v>74</v>
      </c>
      <c r="BH417" s="1" t="s">
        <v>3349</v>
      </c>
      <c r="BI417" s="1">
        <v>11.0</v>
      </c>
      <c r="BJ417" s="1" t="s">
        <v>8694</v>
      </c>
      <c r="BK417" s="1" t="s">
        <v>172</v>
      </c>
      <c r="BL417" s="1" t="s">
        <v>8695</v>
      </c>
      <c r="BM417" s="1" t="s">
        <v>8696</v>
      </c>
      <c r="BN417" s="1" t="s">
        <v>74</v>
      </c>
      <c r="BO417" s="1" t="s">
        <v>174</v>
      </c>
      <c r="BP417" s="1" t="s">
        <v>74</v>
      </c>
      <c r="BQ417" s="1" t="s">
        <v>74</v>
      </c>
      <c r="BR417" s="1" t="s">
        <v>102</v>
      </c>
      <c r="BS417" s="1" t="s">
        <v>8697</v>
      </c>
      <c r="BT417" s="1" t="str">
        <f>HYPERLINK("https%3A%2F%2Fwww.webofscience.com%2Fwos%2Fwoscc%2Ffull-record%2FWOS:001297264500001","View Full Record in Web of Science")</f>
        <v>View Full Record in Web of Science</v>
      </c>
    </row>
    <row r="418" ht="12.75" customHeight="1">
      <c r="A418" s="1" t="s">
        <v>132</v>
      </c>
      <c r="B418" s="1" t="s">
        <v>8698</v>
      </c>
      <c r="C418" s="1" t="s">
        <v>74</v>
      </c>
      <c r="D418" s="1" t="s">
        <v>74</v>
      </c>
      <c r="E418" s="1" t="s">
        <v>74</v>
      </c>
      <c r="F418" s="1" t="s">
        <v>8699</v>
      </c>
      <c r="G418" s="1" t="s">
        <v>74</v>
      </c>
      <c r="H418" s="1" t="s">
        <v>74</v>
      </c>
      <c r="I418" s="1" t="s">
        <v>8700</v>
      </c>
      <c r="J418" s="1" t="s">
        <v>8701</v>
      </c>
      <c r="K418" s="1" t="s">
        <v>74</v>
      </c>
      <c r="L418" s="1" t="s">
        <v>74</v>
      </c>
      <c r="M418" s="1" t="s">
        <v>80</v>
      </c>
      <c r="N418" s="1" t="s">
        <v>338</v>
      </c>
      <c r="O418" s="1" t="s">
        <v>74</v>
      </c>
      <c r="P418" s="1" t="s">
        <v>74</v>
      </c>
      <c r="Q418" s="1" t="s">
        <v>74</v>
      </c>
      <c r="R418" s="1" t="s">
        <v>74</v>
      </c>
      <c r="S418" s="1" t="s">
        <v>74</v>
      </c>
      <c r="T418" s="1" t="s">
        <v>8702</v>
      </c>
      <c r="U418" s="1" t="s">
        <v>8703</v>
      </c>
      <c r="V418" s="1" t="s">
        <v>8704</v>
      </c>
      <c r="W418" s="1" t="s">
        <v>8705</v>
      </c>
      <c r="X418" s="1" t="s">
        <v>8706</v>
      </c>
      <c r="Y418" s="1" t="s">
        <v>8707</v>
      </c>
      <c r="Z418" s="1" t="s">
        <v>8708</v>
      </c>
      <c r="AA418" s="1" t="s">
        <v>8709</v>
      </c>
      <c r="AB418" s="1" t="s">
        <v>74</v>
      </c>
      <c r="AC418" s="1" t="s">
        <v>8710</v>
      </c>
      <c r="AD418" s="1" t="s">
        <v>8711</v>
      </c>
      <c r="AE418" s="1" t="s">
        <v>8712</v>
      </c>
      <c r="AF418" s="1" t="s">
        <v>74</v>
      </c>
      <c r="AG418" s="1">
        <v>356.0</v>
      </c>
      <c r="AH418" s="1">
        <v>9.0</v>
      </c>
      <c r="AI418" s="1">
        <v>9.0</v>
      </c>
      <c r="AJ418" s="1">
        <v>29.0</v>
      </c>
      <c r="AK418" s="1">
        <v>133.0</v>
      </c>
      <c r="AL418" s="1" t="s">
        <v>192</v>
      </c>
      <c r="AM418" s="1" t="s">
        <v>193</v>
      </c>
      <c r="AN418" s="1" t="s">
        <v>194</v>
      </c>
      <c r="AO418" s="1" t="s">
        <v>8713</v>
      </c>
      <c r="AP418" s="1" t="s">
        <v>8714</v>
      </c>
      <c r="AQ418" s="1" t="s">
        <v>74</v>
      </c>
      <c r="AR418" s="1" t="s">
        <v>8715</v>
      </c>
      <c r="AS418" s="1" t="s">
        <v>8716</v>
      </c>
      <c r="AT418" s="1" t="s">
        <v>8717</v>
      </c>
      <c r="AU418" s="1">
        <v>2023.0</v>
      </c>
      <c r="AV418" s="1" t="s">
        <v>74</v>
      </c>
      <c r="AW418" s="1" t="s">
        <v>74</v>
      </c>
      <c r="AX418" s="1" t="s">
        <v>74</v>
      </c>
      <c r="AY418" s="1" t="s">
        <v>74</v>
      </c>
      <c r="AZ418" s="1" t="s">
        <v>74</v>
      </c>
      <c r="BA418" s="1" t="s">
        <v>74</v>
      </c>
      <c r="BB418" s="1" t="s">
        <v>74</v>
      </c>
      <c r="BC418" s="1" t="s">
        <v>74</v>
      </c>
      <c r="BD418" s="1" t="s">
        <v>74</v>
      </c>
      <c r="BE418" s="1" t="s">
        <v>8718</v>
      </c>
      <c r="BF418" s="2" t="str">
        <f>HYPERLINK("http://dx.doi.org/10.1007/s40593-023-00357-y","http://dx.doi.org/10.1007/s40593-023-00357-y")</f>
        <v>http://dx.doi.org/10.1007/s40593-023-00357-y</v>
      </c>
      <c r="BG418" s="1" t="s">
        <v>74</v>
      </c>
      <c r="BH418" s="1" t="s">
        <v>5321</v>
      </c>
      <c r="BI418" s="1">
        <v>61.0</v>
      </c>
      <c r="BJ418" s="1" t="s">
        <v>8719</v>
      </c>
      <c r="BK418" s="1" t="s">
        <v>172</v>
      </c>
      <c r="BL418" s="1" t="s">
        <v>232</v>
      </c>
      <c r="BM418" s="1" t="s">
        <v>8720</v>
      </c>
      <c r="BN418" s="1" t="s">
        <v>74</v>
      </c>
      <c r="BO418" s="1" t="s">
        <v>74</v>
      </c>
      <c r="BP418" s="1" t="s">
        <v>74</v>
      </c>
      <c r="BQ418" s="1" t="s">
        <v>74</v>
      </c>
      <c r="BR418" s="1" t="s">
        <v>102</v>
      </c>
      <c r="BS418" s="1" t="s">
        <v>8721</v>
      </c>
      <c r="BT418" s="1" t="str">
        <f>HYPERLINK("https%3A%2F%2Fwww.webofscience.com%2Fwos%2Fwoscc%2Ffull-record%2FWOS:001042767400001","View Full Record in Web of Science")</f>
        <v>View Full Record in Web of Science</v>
      </c>
    </row>
    <row r="419" ht="12.75" customHeight="1">
      <c r="A419" s="1" t="s">
        <v>132</v>
      </c>
      <c r="B419" s="1" t="s">
        <v>8722</v>
      </c>
      <c r="C419" s="1" t="s">
        <v>74</v>
      </c>
      <c r="D419" s="1" t="s">
        <v>74</v>
      </c>
      <c r="E419" s="1" t="s">
        <v>74</v>
      </c>
      <c r="F419" s="1" t="s">
        <v>8723</v>
      </c>
      <c r="G419" s="1" t="s">
        <v>74</v>
      </c>
      <c r="H419" s="1" t="s">
        <v>74</v>
      </c>
      <c r="I419" s="1" t="s">
        <v>8724</v>
      </c>
      <c r="J419" s="1" t="s">
        <v>8725</v>
      </c>
      <c r="K419" s="1" t="s">
        <v>74</v>
      </c>
      <c r="L419" s="1" t="s">
        <v>74</v>
      </c>
      <c r="M419" s="1" t="s">
        <v>80</v>
      </c>
      <c r="N419" s="1" t="s">
        <v>136</v>
      </c>
      <c r="O419" s="1" t="s">
        <v>74</v>
      </c>
      <c r="P419" s="1" t="s">
        <v>74</v>
      </c>
      <c r="Q419" s="1" t="s">
        <v>74</v>
      </c>
      <c r="R419" s="1" t="s">
        <v>74</v>
      </c>
      <c r="S419" s="1" t="s">
        <v>74</v>
      </c>
      <c r="T419" s="1" t="s">
        <v>8726</v>
      </c>
      <c r="U419" s="1" t="s">
        <v>8727</v>
      </c>
      <c r="V419" s="1" t="s">
        <v>8728</v>
      </c>
      <c r="W419" s="1" t="s">
        <v>8729</v>
      </c>
      <c r="X419" s="1" t="s">
        <v>8730</v>
      </c>
      <c r="Y419" s="1" t="s">
        <v>8731</v>
      </c>
      <c r="Z419" s="1" t="s">
        <v>8732</v>
      </c>
      <c r="AA419" s="1" t="s">
        <v>8733</v>
      </c>
      <c r="AB419" s="1" t="s">
        <v>8734</v>
      </c>
      <c r="AC419" s="1" t="s">
        <v>8735</v>
      </c>
      <c r="AD419" s="1" t="s">
        <v>8736</v>
      </c>
      <c r="AE419" s="1" t="s">
        <v>8737</v>
      </c>
      <c r="AF419" s="1" t="s">
        <v>74</v>
      </c>
      <c r="AG419" s="1">
        <v>118.0</v>
      </c>
      <c r="AH419" s="1">
        <v>19.0</v>
      </c>
      <c r="AI419" s="1">
        <v>20.0</v>
      </c>
      <c r="AJ419" s="1">
        <v>34.0</v>
      </c>
      <c r="AK419" s="1">
        <v>190.0</v>
      </c>
      <c r="AL419" s="1" t="s">
        <v>1357</v>
      </c>
      <c r="AM419" s="1" t="s">
        <v>1358</v>
      </c>
      <c r="AN419" s="1" t="s">
        <v>1359</v>
      </c>
      <c r="AO419" s="1" t="s">
        <v>8738</v>
      </c>
      <c r="AP419" s="1" t="s">
        <v>8739</v>
      </c>
      <c r="AQ419" s="1" t="s">
        <v>74</v>
      </c>
      <c r="AR419" s="1" t="s">
        <v>8740</v>
      </c>
      <c r="AS419" s="1" t="s">
        <v>8741</v>
      </c>
      <c r="AT419" s="1" t="s">
        <v>1709</v>
      </c>
      <c r="AU419" s="1">
        <v>2022.0</v>
      </c>
      <c r="AV419" s="1">
        <v>36.0</v>
      </c>
      <c r="AW419" s="1">
        <v>4.0</v>
      </c>
      <c r="AX419" s="1" t="s">
        <v>74</v>
      </c>
      <c r="AY419" s="1" t="s">
        <v>74</v>
      </c>
      <c r="AZ419" s="1" t="s">
        <v>74</v>
      </c>
      <c r="BA419" s="1" t="s">
        <v>74</v>
      </c>
      <c r="BB419" s="1">
        <v>969.0</v>
      </c>
      <c r="BC419" s="1">
        <v>991.0</v>
      </c>
      <c r="BD419" s="1" t="s">
        <v>74</v>
      </c>
      <c r="BE419" s="1" t="s">
        <v>8742</v>
      </c>
      <c r="BF419" s="2" t="str">
        <f>HYPERLINK("http://dx.doi.org/10.1111/joes.12455","http://dx.doi.org/10.1111/joes.12455")</f>
        <v>http://dx.doi.org/10.1111/joes.12455</v>
      </c>
      <c r="BG419" s="1" t="s">
        <v>74</v>
      </c>
      <c r="BH419" s="1" t="s">
        <v>5635</v>
      </c>
      <c r="BI419" s="1">
        <v>23.0</v>
      </c>
      <c r="BJ419" s="1" t="s">
        <v>202</v>
      </c>
      <c r="BK419" s="1" t="s">
        <v>203</v>
      </c>
      <c r="BL419" s="1" t="s">
        <v>204</v>
      </c>
      <c r="BM419" s="1" t="s">
        <v>8743</v>
      </c>
      <c r="BN419" s="1" t="s">
        <v>74</v>
      </c>
      <c r="BO419" s="1" t="s">
        <v>3027</v>
      </c>
      <c r="BP419" s="1" t="s">
        <v>74</v>
      </c>
      <c r="BQ419" s="1" t="s">
        <v>74</v>
      </c>
      <c r="BR419" s="1" t="s">
        <v>102</v>
      </c>
      <c r="BS419" s="1" t="s">
        <v>8744</v>
      </c>
      <c r="BT419" s="1" t="str">
        <f>HYPERLINK("https%3A%2F%2Fwww.webofscience.com%2Fwos%2Fwoscc%2Ffull-record%2FWOS:000678893200001","View Full Record in Web of Science")</f>
        <v>View Full Record in Web of Science</v>
      </c>
    </row>
    <row r="420" ht="12.75" customHeight="1">
      <c r="A420" s="1" t="s">
        <v>132</v>
      </c>
      <c r="B420" s="1" t="s">
        <v>8745</v>
      </c>
      <c r="C420" s="1" t="s">
        <v>74</v>
      </c>
      <c r="D420" s="1" t="s">
        <v>74</v>
      </c>
      <c r="E420" s="1" t="s">
        <v>74</v>
      </c>
      <c r="F420" s="1" t="s">
        <v>8746</v>
      </c>
      <c r="G420" s="1" t="s">
        <v>74</v>
      </c>
      <c r="H420" s="1" t="s">
        <v>74</v>
      </c>
      <c r="I420" s="1" t="s">
        <v>8747</v>
      </c>
      <c r="J420" s="1" t="s">
        <v>8748</v>
      </c>
      <c r="K420" s="1" t="s">
        <v>74</v>
      </c>
      <c r="L420" s="1" t="s">
        <v>74</v>
      </c>
      <c r="M420" s="1" t="s">
        <v>80</v>
      </c>
      <c r="N420" s="1" t="s">
        <v>136</v>
      </c>
      <c r="O420" s="1" t="s">
        <v>74</v>
      </c>
      <c r="P420" s="1" t="s">
        <v>74</v>
      </c>
      <c r="Q420" s="1" t="s">
        <v>74</v>
      </c>
      <c r="R420" s="1" t="s">
        <v>74</v>
      </c>
      <c r="S420" s="1" t="s">
        <v>74</v>
      </c>
      <c r="T420" s="1" t="s">
        <v>8749</v>
      </c>
      <c r="U420" s="1" t="s">
        <v>74</v>
      </c>
      <c r="V420" s="1" t="s">
        <v>8750</v>
      </c>
      <c r="W420" s="1" t="s">
        <v>8751</v>
      </c>
      <c r="X420" s="1" t="s">
        <v>8752</v>
      </c>
      <c r="Y420" s="1" t="s">
        <v>8753</v>
      </c>
      <c r="Z420" s="1" t="s">
        <v>8754</v>
      </c>
      <c r="AA420" s="1" t="s">
        <v>8755</v>
      </c>
      <c r="AB420" s="1" t="s">
        <v>8756</v>
      </c>
      <c r="AC420" s="1" t="s">
        <v>74</v>
      </c>
      <c r="AD420" s="1" t="s">
        <v>74</v>
      </c>
      <c r="AE420" s="1" t="s">
        <v>74</v>
      </c>
      <c r="AF420" s="1" t="s">
        <v>74</v>
      </c>
      <c r="AG420" s="1">
        <v>6.0</v>
      </c>
      <c r="AH420" s="1">
        <v>3.0</v>
      </c>
      <c r="AI420" s="1">
        <v>3.0</v>
      </c>
      <c r="AJ420" s="1">
        <v>50.0</v>
      </c>
      <c r="AK420" s="1">
        <v>87.0</v>
      </c>
      <c r="AL420" s="1" t="s">
        <v>3551</v>
      </c>
      <c r="AM420" s="1" t="s">
        <v>193</v>
      </c>
      <c r="AN420" s="1" t="s">
        <v>3552</v>
      </c>
      <c r="AO420" s="1" t="s">
        <v>8757</v>
      </c>
      <c r="AP420" s="1" t="s">
        <v>8758</v>
      </c>
      <c r="AQ420" s="1" t="s">
        <v>74</v>
      </c>
      <c r="AR420" s="1" t="s">
        <v>8759</v>
      </c>
      <c r="AS420" s="1" t="s">
        <v>8760</v>
      </c>
      <c r="AT420" s="1" t="s">
        <v>4393</v>
      </c>
      <c r="AU420" s="1">
        <v>2024.0</v>
      </c>
      <c r="AV420" s="1">
        <v>53.0</v>
      </c>
      <c r="AW420" s="1">
        <v>1.0</v>
      </c>
      <c r="AX420" s="1" t="s">
        <v>74</v>
      </c>
      <c r="AY420" s="1" t="s">
        <v>74</v>
      </c>
      <c r="AZ420" s="1" t="s">
        <v>74</v>
      </c>
      <c r="BA420" s="1" t="s">
        <v>74</v>
      </c>
      <c r="BB420" s="1" t="s">
        <v>74</v>
      </c>
      <c r="BC420" s="1" t="s">
        <v>74</v>
      </c>
      <c r="BD420" s="1">
        <v>101037.0</v>
      </c>
      <c r="BE420" s="1" t="s">
        <v>8761</v>
      </c>
      <c r="BF420" s="2" t="str">
        <f>HYPERLINK("http://dx.doi.org/10.1016/j.orgdyn.2024.101037","http://dx.doi.org/10.1016/j.orgdyn.2024.101037")</f>
        <v>http://dx.doi.org/10.1016/j.orgdyn.2024.101037</v>
      </c>
      <c r="BG420" s="1" t="s">
        <v>74</v>
      </c>
      <c r="BH420" s="1" t="s">
        <v>1001</v>
      </c>
      <c r="BI420" s="1">
        <v>5.0</v>
      </c>
      <c r="BJ420" s="1" t="s">
        <v>8762</v>
      </c>
      <c r="BK420" s="1" t="s">
        <v>203</v>
      </c>
      <c r="BL420" s="1" t="s">
        <v>8763</v>
      </c>
      <c r="BM420" s="1" t="s">
        <v>8764</v>
      </c>
      <c r="BN420" s="1" t="s">
        <v>74</v>
      </c>
      <c r="BO420" s="1" t="s">
        <v>74</v>
      </c>
      <c r="BP420" s="1" t="s">
        <v>74</v>
      </c>
      <c r="BQ420" s="1" t="s">
        <v>74</v>
      </c>
      <c r="BR420" s="1" t="s">
        <v>102</v>
      </c>
      <c r="BS420" s="1" t="s">
        <v>8765</v>
      </c>
      <c r="BT420" s="1" t="str">
        <f>HYPERLINK("https%3A%2F%2Fwww.webofscience.com%2Fwos%2Fwoscc%2Ffull-record%2FWOS:001199511900001","View Full Record in Web of Science")</f>
        <v>View Full Record in Web of Science</v>
      </c>
    </row>
    <row r="421" ht="12.75" customHeight="1">
      <c r="A421" s="1" t="s">
        <v>132</v>
      </c>
      <c r="B421" s="1" t="s">
        <v>8766</v>
      </c>
      <c r="C421" s="1" t="s">
        <v>74</v>
      </c>
      <c r="D421" s="1" t="s">
        <v>74</v>
      </c>
      <c r="E421" s="1" t="s">
        <v>74</v>
      </c>
      <c r="F421" s="1" t="s">
        <v>8767</v>
      </c>
      <c r="G421" s="1" t="s">
        <v>74</v>
      </c>
      <c r="H421" s="1" t="s">
        <v>74</v>
      </c>
      <c r="I421" s="1" t="s">
        <v>8768</v>
      </c>
      <c r="J421" s="1" t="s">
        <v>8769</v>
      </c>
      <c r="K421" s="1" t="s">
        <v>74</v>
      </c>
      <c r="L421" s="1" t="s">
        <v>74</v>
      </c>
      <c r="M421" s="1" t="s">
        <v>8770</v>
      </c>
      <c r="N421" s="1" t="s">
        <v>136</v>
      </c>
      <c r="O421" s="1" t="s">
        <v>74</v>
      </c>
      <c r="P421" s="1" t="s">
        <v>74</v>
      </c>
      <c r="Q421" s="1" t="s">
        <v>74</v>
      </c>
      <c r="R421" s="1" t="s">
        <v>74</v>
      </c>
      <c r="S421" s="1" t="s">
        <v>74</v>
      </c>
      <c r="T421" s="1" t="s">
        <v>8771</v>
      </c>
      <c r="U421" s="1" t="s">
        <v>74</v>
      </c>
      <c r="V421" s="1" t="s">
        <v>8772</v>
      </c>
      <c r="W421" s="1" t="s">
        <v>8773</v>
      </c>
      <c r="X421" s="1" t="s">
        <v>8774</v>
      </c>
      <c r="Y421" s="1" t="s">
        <v>8775</v>
      </c>
      <c r="Z421" s="1" t="s">
        <v>8776</v>
      </c>
      <c r="AA421" s="1" t="s">
        <v>8777</v>
      </c>
      <c r="AB421" s="1" t="s">
        <v>74</v>
      </c>
      <c r="AC421" s="1" t="s">
        <v>74</v>
      </c>
      <c r="AD421" s="1" t="s">
        <v>74</v>
      </c>
      <c r="AE421" s="1" t="s">
        <v>74</v>
      </c>
      <c r="AF421" s="1" t="s">
        <v>74</v>
      </c>
      <c r="AG421" s="1">
        <v>33.0</v>
      </c>
      <c r="AH421" s="1">
        <v>0.0</v>
      </c>
      <c r="AI421" s="1">
        <v>0.0</v>
      </c>
      <c r="AJ421" s="1">
        <v>0.0</v>
      </c>
      <c r="AK421" s="1">
        <v>0.0</v>
      </c>
      <c r="AL421" s="1" t="s">
        <v>8778</v>
      </c>
      <c r="AM421" s="1" t="s">
        <v>8779</v>
      </c>
      <c r="AN421" s="1" t="s">
        <v>8780</v>
      </c>
      <c r="AO421" s="1" t="s">
        <v>8781</v>
      </c>
      <c r="AP421" s="1" t="s">
        <v>74</v>
      </c>
      <c r="AQ421" s="1" t="s">
        <v>74</v>
      </c>
      <c r="AR421" s="1" t="s">
        <v>8782</v>
      </c>
      <c r="AS421" s="1" t="s">
        <v>8783</v>
      </c>
      <c r="AT421" s="1" t="s">
        <v>74</v>
      </c>
      <c r="AU421" s="1">
        <v>2024.0</v>
      </c>
      <c r="AV421" s="1">
        <v>26.0</v>
      </c>
      <c r="AW421" s="1">
        <v>3.0</v>
      </c>
      <c r="AX421" s="1" t="s">
        <v>74</v>
      </c>
      <c r="AY421" s="1" t="s">
        <v>74</v>
      </c>
      <c r="AZ421" s="1" t="s">
        <v>74</v>
      </c>
      <c r="BA421" s="1" t="s">
        <v>74</v>
      </c>
      <c r="BB421" s="1">
        <v>87.0</v>
      </c>
      <c r="BC421" s="1">
        <v>102.0</v>
      </c>
      <c r="BD421" s="1" t="s">
        <v>74</v>
      </c>
      <c r="BE421" s="1" t="s">
        <v>74</v>
      </c>
      <c r="BF421" s="1" t="s">
        <v>74</v>
      </c>
      <c r="BG421" s="1" t="s">
        <v>74</v>
      </c>
      <c r="BH421" s="1" t="s">
        <v>74</v>
      </c>
      <c r="BI421" s="1">
        <v>16.0</v>
      </c>
      <c r="BJ421" s="1" t="s">
        <v>3709</v>
      </c>
      <c r="BK421" s="1" t="s">
        <v>172</v>
      </c>
      <c r="BL421" s="1" t="s">
        <v>3709</v>
      </c>
      <c r="BM421" s="1" t="s">
        <v>8784</v>
      </c>
      <c r="BN421" s="1" t="s">
        <v>74</v>
      </c>
      <c r="BO421" s="1" t="s">
        <v>74</v>
      </c>
      <c r="BP421" s="1" t="s">
        <v>74</v>
      </c>
      <c r="BQ421" s="1" t="s">
        <v>74</v>
      </c>
      <c r="BR421" s="1" t="s">
        <v>102</v>
      </c>
      <c r="BS421" s="1" t="s">
        <v>8785</v>
      </c>
      <c r="BT421" s="1" t="str">
        <f>HYPERLINK("https%3A%2F%2Fwww.webofscience.com%2Fwos%2Fwoscc%2Ffull-record%2FWOS:001376697600007","View Full Record in Web of Science")</f>
        <v>View Full Record in Web of Science</v>
      </c>
    </row>
    <row r="422" ht="12.75" customHeight="1">
      <c r="A422" s="1" t="s">
        <v>72</v>
      </c>
      <c r="B422" s="1" t="s">
        <v>8786</v>
      </c>
      <c r="C422" s="1" t="s">
        <v>74</v>
      </c>
      <c r="D422" s="1" t="s">
        <v>8787</v>
      </c>
      <c r="E422" s="1" t="s">
        <v>74</v>
      </c>
      <c r="F422" s="1" t="s">
        <v>8788</v>
      </c>
      <c r="G422" s="1" t="s">
        <v>74</v>
      </c>
      <c r="H422" s="1" t="s">
        <v>74</v>
      </c>
      <c r="I422" s="1" t="s">
        <v>8789</v>
      </c>
      <c r="J422" s="1" t="s">
        <v>8790</v>
      </c>
      <c r="K422" s="1" t="s">
        <v>2386</v>
      </c>
      <c r="L422" s="1" t="s">
        <v>74</v>
      </c>
      <c r="M422" s="1" t="s">
        <v>80</v>
      </c>
      <c r="N422" s="1" t="s">
        <v>81</v>
      </c>
      <c r="O422" s="1" t="s">
        <v>8791</v>
      </c>
      <c r="P422" s="1" t="s">
        <v>8792</v>
      </c>
      <c r="Q422" s="1" t="s">
        <v>2030</v>
      </c>
      <c r="R422" s="1" t="s">
        <v>74</v>
      </c>
      <c r="S422" s="1" t="s">
        <v>74</v>
      </c>
      <c r="T422" s="1" t="s">
        <v>8793</v>
      </c>
      <c r="U422" s="1" t="s">
        <v>74</v>
      </c>
      <c r="V422" s="1" t="s">
        <v>8794</v>
      </c>
      <c r="W422" s="1" t="s">
        <v>8795</v>
      </c>
      <c r="X422" s="1" t="s">
        <v>8796</v>
      </c>
      <c r="Y422" s="1" t="s">
        <v>8797</v>
      </c>
      <c r="Z422" s="1" t="s">
        <v>8798</v>
      </c>
      <c r="AA422" s="1" t="s">
        <v>74</v>
      </c>
      <c r="AB422" s="1" t="s">
        <v>74</v>
      </c>
      <c r="AC422" s="1" t="s">
        <v>74</v>
      </c>
      <c r="AD422" s="1" t="s">
        <v>74</v>
      </c>
      <c r="AE422" s="1" t="s">
        <v>74</v>
      </c>
      <c r="AF422" s="1" t="s">
        <v>74</v>
      </c>
      <c r="AG422" s="1">
        <v>8.0</v>
      </c>
      <c r="AH422" s="1">
        <v>0.0</v>
      </c>
      <c r="AI422" s="1">
        <v>0.0</v>
      </c>
      <c r="AJ422" s="1">
        <v>2.0</v>
      </c>
      <c r="AK422" s="1">
        <v>2.0</v>
      </c>
      <c r="AL422" s="1" t="s">
        <v>223</v>
      </c>
      <c r="AM422" s="1" t="s">
        <v>224</v>
      </c>
      <c r="AN422" s="1" t="s">
        <v>225</v>
      </c>
      <c r="AO422" s="1" t="s">
        <v>2398</v>
      </c>
      <c r="AP422" s="1" t="s">
        <v>2399</v>
      </c>
      <c r="AQ422" s="1" t="s">
        <v>8799</v>
      </c>
      <c r="AR422" s="1" t="s">
        <v>2401</v>
      </c>
      <c r="AS422" s="1" t="s">
        <v>74</v>
      </c>
      <c r="AT422" s="1" t="s">
        <v>74</v>
      </c>
      <c r="AU422" s="1">
        <v>2024.0</v>
      </c>
      <c r="AV422" s="1">
        <v>1035.0</v>
      </c>
      <c r="AW422" s="1" t="s">
        <v>74</v>
      </c>
      <c r="AX422" s="1" t="s">
        <v>74</v>
      </c>
      <c r="AY422" s="1" t="s">
        <v>74</v>
      </c>
      <c r="AZ422" s="1" t="s">
        <v>74</v>
      </c>
      <c r="BA422" s="1" t="s">
        <v>74</v>
      </c>
      <c r="BB422" s="1">
        <v>412.0</v>
      </c>
      <c r="BC422" s="1">
        <v>421.0</v>
      </c>
      <c r="BD422" s="1" t="s">
        <v>74</v>
      </c>
      <c r="BE422" s="1" t="s">
        <v>8800</v>
      </c>
      <c r="BF422" s="2" t="str">
        <f>HYPERLINK("http://dx.doi.org/10.1007/978-3-031-62871-9_32","http://dx.doi.org/10.1007/978-3-031-62871-9_32")</f>
        <v>http://dx.doi.org/10.1007/978-3-031-62871-9_32</v>
      </c>
      <c r="BG422" s="1" t="s">
        <v>74</v>
      </c>
      <c r="BH422" s="1" t="s">
        <v>74</v>
      </c>
      <c r="BI422" s="1">
        <v>10.0</v>
      </c>
      <c r="BJ422" s="1" t="s">
        <v>8801</v>
      </c>
      <c r="BK422" s="1" t="s">
        <v>128</v>
      </c>
      <c r="BL422" s="1" t="s">
        <v>232</v>
      </c>
      <c r="BM422" s="1" t="s">
        <v>8802</v>
      </c>
      <c r="BN422" s="1" t="s">
        <v>74</v>
      </c>
      <c r="BO422" s="1" t="s">
        <v>74</v>
      </c>
      <c r="BP422" s="1" t="s">
        <v>74</v>
      </c>
      <c r="BQ422" s="1" t="s">
        <v>74</v>
      </c>
      <c r="BR422" s="1" t="s">
        <v>102</v>
      </c>
      <c r="BS422" s="1" t="s">
        <v>8803</v>
      </c>
      <c r="BT422" s="1" t="str">
        <f>HYPERLINK("https%3A%2F%2Fwww.webofscience.com%2Fwos%2Fwoscc%2Ffull-record%2FWOS:001286524700032","View Full Record in Web of Science")</f>
        <v>View Full Record in Web of Science</v>
      </c>
    </row>
    <row r="423" ht="12.75" customHeight="1">
      <c r="A423" s="1" t="s">
        <v>72</v>
      </c>
      <c r="B423" s="1" t="s">
        <v>8804</v>
      </c>
      <c r="C423" s="1" t="s">
        <v>74</v>
      </c>
      <c r="D423" s="1" t="s">
        <v>8805</v>
      </c>
      <c r="E423" s="1" t="s">
        <v>74</v>
      </c>
      <c r="F423" s="1" t="s">
        <v>8806</v>
      </c>
      <c r="G423" s="1" t="s">
        <v>74</v>
      </c>
      <c r="H423" s="1" t="s">
        <v>74</v>
      </c>
      <c r="I423" s="1" t="s">
        <v>8807</v>
      </c>
      <c r="J423" s="1" t="s">
        <v>8808</v>
      </c>
      <c r="K423" s="1" t="s">
        <v>2386</v>
      </c>
      <c r="L423" s="1" t="s">
        <v>74</v>
      </c>
      <c r="M423" s="1" t="s">
        <v>80</v>
      </c>
      <c r="N423" s="1" t="s">
        <v>81</v>
      </c>
      <c r="O423" s="1" t="s">
        <v>8809</v>
      </c>
      <c r="P423" s="1" t="s">
        <v>8810</v>
      </c>
      <c r="Q423" s="1" t="s">
        <v>8811</v>
      </c>
      <c r="R423" s="1" t="s">
        <v>8812</v>
      </c>
      <c r="S423" s="1" t="s">
        <v>8813</v>
      </c>
      <c r="T423" s="1" t="s">
        <v>8814</v>
      </c>
      <c r="U423" s="1" t="s">
        <v>74</v>
      </c>
      <c r="V423" s="1" t="s">
        <v>8815</v>
      </c>
      <c r="W423" s="1" t="s">
        <v>8816</v>
      </c>
      <c r="X423" s="1" t="s">
        <v>8817</v>
      </c>
      <c r="Y423" s="1" t="s">
        <v>8818</v>
      </c>
      <c r="Z423" s="1" t="s">
        <v>8819</v>
      </c>
      <c r="AA423" s="1" t="s">
        <v>74</v>
      </c>
      <c r="AB423" s="1" t="s">
        <v>74</v>
      </c>
      <c r="AC423" s="1" t="s">
        <v>74</v>
      </c>
      <c r="AD423" s="1" t="s">
        <v>74</v>
      </c>
      <c r="AE423" s="1" t="s">
        <v>74</v>
      </c>
      <c r="AF423" s="1" t="s">
        <v>74</v>
      </c>
      <c r="AG423" s="1">
        <v>13.0</v>
      </c>
      <c r="AH423" s="1">
        <v>0.0</v>
      </c>
      <c r="AI423" s="1">
        <v>0.0</v>
      </c>
      <c r="AJ423" s="1">
        <v>16.0</v>
      </c>
      <c r="AK423" s="1">
        <v>16.0</v>
      </c>
      <c r="AL423" s="1" t="s">
        <v>1119</v>
      </c>
      <c r="AM423" s="1" t="s">
        <v>1120</v>
      </c>
      <c r="AN423" s="1" t="s">
        <v>1121</v>
      </c>
      <c r="AO423" s="1" t="s">
        <v>2398</v>
      </c>
      <c r="AP423" s="1" t="s">
        <v>2399</v>
      </c>
      <c r="AQ423" s="1" t="s">
        <v>8820</v>
      </c>
      <c r="AR423" s="1" t="s">
        <v>2401</v>
      </c>
      <c r="AS423" s="1" t="s">
        <v>74</v>
      </c>
      <c r="AT423" s="1" t="s">
        <v>74</v>
      </c>
      <c r="AU423" s="1">
        <v>2024.0</v>
      </c>
      <c r="AV423" s="1">
        <v>869.0</v>
      </c>
      <c r="AW423" s="1" t="s">
        <v>74</v>
      </c>
      <c r="AX423" s="1" t="s">
        <v>74</v>
      </c>
      <c r="AY423" s="1" t="s">
        <v>74</v>
      </c>
      <c r="AZ423" s="1" t="s">
        <v>74</v>
      </c>
      <c r="BA423" s="1" t="s">
        <v>74</v>
      </c>
      <c r="BB423" s="1">
        <v>439.0</v>
      </c>
      <c r="BC423" s="1">
        <v>445.0</v>
      </c>
      <c r="BD423" s="1" t="s">
        <v>74</v>
      </c>
      <c r="BE423" s="1" t="s">
        <v>8821</v>
      </c>
      <c r="BF423" s="2" t="str">
        <f>HYPERLINK("http://dx.doi.org/10.1007/978-981-99-9040-5_32","http://dx.doi.org/10.1007/978-981-99-9040-5_32")</f>
        <v>http://dx.doi.org/10.1007/978-981-99-9040-5_32</v>
      </c>
      <c r="BG423" s="1" t="s">
        <v>74</v>
      </c>
      <c r="BH423" s="1" t="s">
        <v>74</v>
      </c>
      <c r="BI423" s="1">
        <v>7.0</v>
      </c>
      <c r="BJ423" s="1" t="s">
        <v>257</v>
      </c>
      <c r="BK423" s="1" t="s">
        <v>128</v>
      </c>
      <c r="BL423" s="1" t="s">
        <v>232</v>
      </c>
      <c r="BM423" s="1" t="s">
        <v>8822</v>
      </c>
      <c r="BN423" s="1" t="s">
        <v>74</v>
      </c>
      <c r="BO423" s="1" t="s">
        <v>74</v>
      </c>
      <c r="BP423" s="1" t="s">
        <v>74</v>
      </c>
      <c r="BQ423" s="1" t="s">
        <v>74</v>
      </c>
      <c r="BR423" s="1" t="s">
        <v>102</v>
      </c>
      <c r="BS423" s="1" t="s">
        <v>8823</v>
      </c>
      <c r="BT423" s="1" t="str">
        <f>HYPERLINK("https%3A%2F%2Fwww.webofscience.com%2Fwos%2Fwoscc%2Ffull-record%2FWOS:001304469500032","View Full Record in Web of Science")</f>
        <v>View Full Record in Web of Science</v>
      </c>
    </row>
    <row r="424" ht="12.75" customHeight="1">
      <c r="A424" s="1" t="s">
        <v>72</v>
      </c>
      <c r="B424" s="1" t="s">
        <v>8824</v>
      </c>
      <c r="C424" s="1" t="s">
        <v>74</v>
      </c>
      <c r="D424" s="1" t="s">
        <v>74</v>
      </c>
      <c r="E424" s="1" t="s">
        <v>236</v>
      </c>
      <c r="F424" s="1" t="s">
        <v>8825</v>
      </c>
      <c r="G424" s="1" t="s">
        <v>74</v>
      </c>
      <c r="H424" s="1" t="s">
        <v>74</v>
      </c>
      <c r="I424" s="1" t="s">
        <v>8826</v>
      </c>
      <c r="J424" s="1" t="s">
        <v>8827</v>
      </c>
      <c r="K424" s="1" t="s">
        <v>8828</v>
      </c>
      <c r="L424" s="1" t="s">
        <v>74</v>
      </c>
      <c r="M424" s="1" t="s">
        <v>80</v>
      </c>
      <c r="N424" s="1" t="s">
        <v>81</v>
      </c>
      <c r="O424" s="1" t="s">
        <v>8829</v>
      </c>
      <c r="P424" s="1" t="s">
        <v>8830</v>
      </c>
      <c r="Q424" s="1" t="s">
        <v>8831</v>
      </c>
      <c r="R424" s="1" t="s">
        <v>8832</v>
      </c>
      <c r="S424" s="1" t="s">
        <v>74</v>
      </c>
      <c r="T424" s="1" t="s">
        <v>8833</v>
      </c>
      <c r="U424" s="1" t="s">
        <v>74</v>
      </c>
      <c r="V424" s="1" t="s">
        <v>8834</v>
      </c>
      <c r="W424" s="1" t="s">
        <v>8835</v>
      </c>
      <c r="X424" s="1" t="s">
        <v>8836</v>
      </c>
      <c r="Y424" s="1" t="s">
        <v>8837</v>
      </c>
      <c r="Z424" s="1" t="s">
        <v>8838</v>
      </c>
      <c r="AA424" s="1" t="s">
        <v>74</v>
      </c>
      <c r="AB424" s="1" t="s">
        <v>8839</v>
      </c>
      <c r="AC424" s="1" t="s">
        <v>8840</v>
      </c>
      <c r="AD424" s="1" t="s">
        <v>8841</v>
      </c>
      <c r="AE424" s="1" t="s">
        <v>8842</v>
      </c>
      <c r="AF424" s="1" t="s">
        <v>74</v>
      </c>
      <c r="AG424" s="1">
        <v>2.0</v>
      </c>
      <c r="AH424" s="1">
        <v>5.0</v>
      </c>
      <c r="AI424" s="1">
        <v>5.0</v>
      </c>
      <c r="AJ424" s="1">
        <v>3.0</v>
      </c>
      <c r="AK424" s="1">
        <v>3.0</v>
      </c>
      <c r="AL424" s="1" t="s">
        <v>236</v>
      </c>
      <c r="AM424" s="1" t="s">
        <v>193</v>
      </c>
      <c r="AN424" s="1" t="s">
        <v>252</v>
      </c>
      <c r="AO424" s="1" t="s">
        <v>8843</v>
      </c>
      <c r="AP424" s="1" t="s">
        <v>74</v>
      </c>
      <c r="AQ424" s="1" t="s">
        <v>8844</v>
      </c>
      <c r="AR424" s="1" t="s">
        <v>8845</v>
      </c>
      <c r="AS424" s="1" t="s">
        <v>74</v>
      </c>
      <c r="AT424" s="1" t="s">
        <v>74</v>
      </c>
      <c r="AU424" s="1">
        <v>2020.0</v>
      </c>
      <c r="AV424" s="1" t="s">
        <v>74</v>
      </c>
      <c r="AW424" s="1" t="s">
        <v>74</v>
      </c>
      <c r="AX424" s="1" t="s">
        <v>74</v>
      </c>
      <c r="AY424" s="1" t="s">
        <v>74</v>
      </c>
      <c r="AZ424" s="1" t="s">
        <v>74</v>
      </c>
      <c r="BA424" s="1" t="s">
        <v>74</v>
      </c>
      <c r="BB424" s="1" t="s">
        <v>74</v>
      </c>
      <c r="BC424" s="1" t="s">
        <v>74</v>
      </c>
      <c r="BD424" s="1" t="s">
        <v>74</v>
      </c>
      <c r="BE424" s="1" t="s">
        <v>8846</v>
      </c>
      <c r="BF424" s="2" t="str">
        <f>HYPERLINK("http://dx.doi.org/10.1109/icton51198.2020.9203141","http://dx.doi.org/10.1109/icton51198.2020.9203141")</f>
        <v>http://dx.doi.org/10.1109/icton51198.2020.9203141</v>
      </c>
      <c r="BG424" s="1" t="s">
        <v>74</v>
      </c>
      <c r="BH424" s="1" t="s">
        <v>74</v>
      </c>
      <c r="BI424" s="1">
        <v>4.0</v>
      </c>
      <c r="BJ424" s="1" t="s">
        <v>8847</v>
      </c>
      <c r="BK424" s="1" t="s">
        <v>128</v>
      </c>
      <c r="BL424" s="1" t="s">
        <v>8848</v>
      </c>
      <c r="BM424" s="1" t="s">
        <v>8849</v>
      </c>
      <c r="BN424" s="1" t="s">
        <v>74</v>
      </c>
      <c r="BO424" s="1" t="s">
        <v>74</v>
      </c>
      <c r="BP424" s="1" t="s">
        <v>74</v>
      </c>
      <c r="BQ424" s="1" t="s">
        <v>74</v>
      </c>
      <c r="BR424" s="1" t="s">
        <v>102</v>
      </c>
      <c r="BS424" s="1" t="s">
        <v>8850</v>
      </c>
      <c r="BT424" s="1" t="str">
        <f>HYPERLINK("https%3A%2F%2Fwww.webofscience.com%2Fwos%2Fwoscc%2Ffull-record%2FWOS:000629119400093","View Full Record in Web of Science")</f>
        <v>View Full Record in Web of Science</v>
      </c>
    </row>
    <row r="425" ht="12.75" customHeight="1">
      <c r="A425" s="1" t="s">
        <v>132</v>
      </c>
      <c r="B425" s="1" t="s">
        <v>8851</v>
      </c>
      <c r="C425" s="1" t="s">
        <v>74</v>
      </c>
      <c r="D425" s="1" t="s">
        <v>74</v>
      </c>
      <c r="E425" s="1" t="s">
        <v>74</v>
      </c>
      <c r="F425" s="1" t="s">
        <v>8852</v>
      </c>
      <c r="G425" s="1" t="s">
        <v>74</v>
      </c>
      <c r="H425" s="1" t="s">
        <v>74</v>
      </c>
      <c r="I425" s="1" t="s">
        <v>8853</v>
      </c>
      <c r="J425" s="1" t="s">
        <v>8854</v>
      </c>
      <c r="K425" s="1" t="s">
        <v>74</v>
      </c>
      <c r="L425" s="1" t="s">
        <v>74</v>
      </c>
      <c r="M425" s="1" t="s">
        <v>80</v>
      </c>
      <c r="N425" s="1" t="s">
        <v>136</v>
      </c>
      <c r="O425" s="1" t="s">
        <v>74</v>
      </c>
      <c r="P425" s="1" t="s">
        <v>74</v>
      </c>
      <c r="Q425" s="1" t="s">
        <v>74</v>
      </c>
      <c r="R425" s="1" t="s">
        <v>74</v>
      </c>
      <c r="S425" s="1" t="s">
        <v>74</v>
      </c>
      <c r="T425" s="1" t="s">
        <v>8855</v>
      </c>
      <c r="U425" s="1" t="s">
        <v>6762</v>
      </c>
      <c r="V425" s="1" t="s">
        <v>8856</v>
      </c>
      <c r="W425" s="1" t="s">
        <v>8857</v>
      </c>
      <c r="X425" s="1" t="s">
        <v>8858</v>
      </c>
      <c r="Y425" s="1" t="s">
        <v>8859</v>
      </c>
      <c r="Z425" s="1" t="s">
        <v>8860</v>
      </c>
      <c r="AA425" s="1" t="s">
        <v>74</v>
      </c>
      <c r="AB425" s="1" t="s">
        <v>74</v>
      </c>
      <c r="AC425" s="1" t="s">
        <v>8861</v>
      </c>
      <c r="AD425" s="1" t="s">
        <v>8861</v>
      </c>
      <c r="AE425" s="1" t="s">
        <v>8862</v>
      </c>
      <c r="AF425" s="1" t="s">
        <v>74</v>
      </c>
      <c r="AG425" s="1">
        <v>17.0</v>
      </c>
      <c r="AH425" s="1">
        <v>7.0</v>
      </c>
      <c r="AI425" s="1">
        <v>7.0</v>
      </c>
      <c r="AJ425" s="1">
        <v>13.0</v>
      </c>
      <c r="AK425" s="1">
        <v>116.0</v>
      </c>
      <c r="AL425" s="1" t="s">
        <v>8863</v>
      </c>
      <c r="AM425" s="1" t="s">
        <v>8864</v>
      </c>
      <c r="AN425" s="1" t="s">
        <v>8865</v>
      </c>
      <c r="AO425" s="1" t="s">
        <v>8866</v>
      </c>
      <c r="AP425" s="1" t="s">
        <v>74</v>
      </c>
      <c r="AQ425" s="1" t="s">
        <v>74</v>
      </c>
      <c r="AR425" s="1" t="s">
        <v>8867</v>
      </c>
      <c r="AS425" s="1" t="s">
        <v>8868</v>
      </c>
      <c r="AT425" s="1" t="s">
        <v>74</v>
      </c>
      <c r="AU425" s="1">
        <v>2021.0</v>
      </c>
      <c r="AV425" s="1">
        <v>16.0</v>
      </c>
      <c r="AW425" s="1">
        <v>5.0</v>
      </c>
      <c r="AX425" s="1" t="s">
        <v>74</v>
      </c>
      <c r="AY425" s="1" t="s">
        <v>74</v>
      </c>
      <c r="AZ425" s="1" t="s">
        <v>74</v>
      </c>
      <c r="BA425" s="1" t="s">
        <v>74</v>
      </c>
      <c r="BB425" s="1">
        <v>73.0</v>
      </c>
      <c r="BC425" s="1">
        <v>86.0</v>
      </c>
      <c r="BD425" s="1" t="s">
        <v>74</v>
      </c>
      <c r="BE425" s="1" t="s">
        <v>8869</v>
      </c>
      <c r="BF425" s="2" t="str">
        <f>HYPERLINK("http://dx.doi.org/10.3991/ijet.v16i05.20287","http://dx.doi.org/10.3991/ijet.v16i05.20287")</f>
        <v>http://dx.doi.org/10.3991/ijet.v16i05.20287</v>
      </c>
      <c r="BG425" s="1" t="s">
        <v>74</v>
      </c>
      <c r="BH425" s="1" t="s">
        <v>74</v>
      </c>
      <c r="BI425" s="1">
        <v>14.0</v>
      </c>
      <c r="BJ425" s="1" t="s">
        <v>171</v>
      </c>
      <c r="BK425" s="1" t="s">
        <v>172</v>
      </c>
      <c r="BL425" s="1" t="s">
        <v>171</v>
      </c>
      <c r="BM425" s="1" t="s">
        <v>8870</v>
      </c>
      <c r="BN425" s="1" t="s">
        <v>74</v>
      </c>
      <c r="BO425" s="1" t="s">
        <v>174</v>
      </c>
      <c r="BP425" s="1" t="s">
        <v>74</v>
      </c>
      <c r="BQ425" s="1" t="s">
        <v>74</v>
      </c>
      <c r="BR425" s="1" t="s">
        <v>102</v>
      </c>
      <c r="BS425" s="1" t="s">
        <v>8871</v>
      </c>
      <c r="BT425" s="1" t="str">
        <f>HYPERLINK("https%3A%2F%2Fwww.webofscience.com%2Fwos%2Fwoscc%2Ffull-record%2FWOS:000629656200006","View Full Record in Web of Science")</f>
        <v>View Full Record in Web of Science</v>
      </c>
    </row>
    <row r="426" ht="12.75" customHeight="1">
      <c r="A426" s="1" t="s">
        <v>132</v>
      </c>
      <c r="B426" s="1" t="s">
        <v>8872</v>
      </c>
      <c r="C426" s="1" t="s">
        <v>74</v>
      </c>
      <c r="D426" s="1" t="s">
        <v>74</v>
      </c>
      <c r="E426" s="1" t="s">
        <v>74</v>
      </c>
      <c r="F426" s="1" t="s">
        <v>8873</v>
      </c>
      <c r="G426" s="1" t="s">
        <v>74</v>
      </c>
      <c r="H426" s="1" t="s">
        <v>74</v>
      </c>
      <c r="I426" s="1" t="s">
        <v>8874</v>
      </c>
      <c r="J426" s="1" t="s">
        <v>8875</v>
      </c>
      <c r="K426" s="1" t="s">
        <v>74</v>
      </c>
      <c r="L426" s="1" t="s">
        <v>74</v>
      </c>
      <c r="M426" s="1" t="s">
        <v>80</v>
      </c>
      <c r="N426" s="1" t="s">
        <v>136</v>
      </c>
      <c r="O426" s="1" t="s">
        <v>74</v>
      </c>
      <c r="P426" s="1" t="s">
        <v>74</v>
      </c>
      <c r="Q426" s="1" t="s">
        <v>74</v>
      </c>
      <c r="R426" s="1" t="s">
        <v>74</v>
      </c>
      <c r="S426" s="1" t="s">
        <v>74</v>
      </c>
      <c r="T426" s="1" t="s">
        <v>8876</v>
      </c>
      <c r="U426" s="1" t="s">
        <v>8877</v>
      </c>
      <c r="V426" s="1" t="s">
        <v>8878</v>
      </c>
      <c r="W426" s="1" t="s">
        <v>8879</v>
      </c>
      <c r="X426" s="1" t="s">
        <v>8880</v>
      </c>
      <c r="Y426" s="1" t="s">
        <v>8881</v>
      </c>
      <c r="Z426" s="1" t="s">
        <v>8882</v>
      </c>
      <c r="AA426" s="1" t="s">
        <v>8883</v>
      </c>
      <c r="AB426" s="1" t="s">
        <v>8884</v>
      </c>
      <c r="AC426" s="1" t="s">
        <v>74</v>
      </c>
      <c r="AD426" s="1" t="s">
        <v>74</v>
      </c>
      <c r="AE426" s="1" t="s">
        <v>74</v>
      </c>
      <c r="AF426" s="1" t="s">
        <v>74</v>
      </c>
      <c r="AG426" s="1">
        <v>41.0</v>
      </c>
      <c r="AH426" s="1">
        <v>9.0</v>
      </c>
      <c r="AI426" s="1">
        <v>9.0</v>
      </c>
      <c r="AJ426" s="1">
        <v>2.0</v>
      </c>
      <c r="AK426" s="1">
        <v>13.0</v>
      </c>
      <c r="AL426" s="1" t="s">
        <v>1970</v>
      </c>
      <c r="AM426" s="1" t="s">
        <v>1658</v>
      </c>
      <c r="AN426" s="1" t="s">
        <v>1971</v>
      </c>
      <c r="AO426" s="1" t="s">
        <v>74</v>
      </c>
      <c r="AP426" s="1" t="s">
        <v>8885</v>
      </c>
      <c r="AQ426" s="1" t="s">
        <v>74</v>
      </c>
      <c r="AR426" s="1" t="s">
        <v>8875</v>
      </c>
      <c r="AS426" s="1" t="s">
        <v>8886</v>
      </c>
      <c r="AT426" s="1" t="s">
        <v>1051</v>
      </c>
      <c r="AU426" s="1">
        <v>2021.0</v>
      </c>
      <c r="AV426" s="1">
        <v>8.0</v>
      </c>
      <c r="AW426" s="1">
        <v>12.0</v>
      </c>
      <c r="AX426" s="1" t="s">
        <v>74</v>
      </c>
      <c r="AY426" s="1" t="s">
        <v>74</v>
      </c>
      <c r="AZ426" s="1" t="s">
        <v>74</v>
      </c>
      <c r="BA426" s="1" t="s">
        <v>74</v>
      </c>
      <c r="BB426" s="1" t="s">
        <v>74</v>
      </c>
      <c r="BC426" s="1" t="s">
        <v>74</v>
      </c>
      <c r="BD426" s="1">
        <v>1156.0</v>
      </c>
      <c r="BE426" s="1" t="s">
        <v>8887</v>
      </c>
      <c r="BF426" s="2" t="str">
        <f>HYPERLINK("http://dx.doi.org/10.3390/children8121156","http://dx.doi.org/10.3390/children8121156")</f>
        <v>http://dx.doi.org/10.3390/children8121156</v>
      </c>
      <c r="BG426" s="1" t="s">
        <v>74</v>
      </c>
      <c r="BH426" s="1" t="s">
        <v>74</v>
      </c>
      <c r="BI426" s="1">
        <v>10.0</v>
      </c>
      <c r="BJ426" s="1" t="s">
        <v>8888</v>
      </c>
      <c r="BK426" s="1" t="s">
        <v>783</v>
      </c>
      <c r="BL426" s="1" t="s">
        <v>8888</v>
      </c>
      <c r="BM426" s="1" t="s">
        <v>8889</v>
      </c>
      <c r="BN426" s="1">
        <v>3.4943352E7</v>
      </c>
      <c r="BO426" s="1" t="s">
        <v>1161</v>
      </c>
      <c r="BP426" s="1" t="s">
        <v>74</v>
      </c>
      <c r="BQ426" s="1" t="s">
        <v>74</v>
      </c>
      <c r="BR426" s="1" t="s">
        <v>102</v>
      </c>
      <c r="BS426" s="1" t="s">
        <v>8890</v>
      </c>
      <c r="BT426" s="1" t="str">
        <f>HYPERLINK("https%3A%2F%2Fwww.webofscience.com%2Fwos%2Fwoscc%2Ffull-record%2FWOS:000736107100001","View Full Record in Web of Science")</f>
        <v>View Full Record in Web of Science</v>
      </c>
    </row>
    <row r="427" ht="12.75" customHeight="1">
      <c r="A427" s="1" t="s">
        <v>132</v>
      </c>
      <c r="B427" s="1" t="s">
        <v>8891</v>
      </c>
      <c r="C427" s="1" t="s">
        <v>74</v>
      </c>
      <c r="D427" s="1" t="s">
        <v>74</v>
      </c>
      <c r="E427" s="1" t="s">
        <v>74</v>
      </c>
      <c r="F427" s="1" t="s">
        <v>8892</v>
      </c>
      <c r="G427" s="1" t="s">
        <v>74</v>
      </c>
      <c r="H427" s="1" t="s">
        <v>74</v>
      </c>
      <c r="I427" s="1" t="s">
        <v>8893</v>
      </c>
      <c r="J427" s="1" t="s">
        <v>8894</v>
      </c>
      <c r="K427" s="1" t="s">
        <v>74</v>
      </c>
      <c r="L427" s="1" t="s">
        <v>74</v>
      </c>
      <c r="M427" s="1" t="s">
        <v>80</v>
      </c>
      <c r="N427" s="1" t="s">
        <v>1010</v>
      </c>
      <c r="O427" s="1" t="s">
        <v>74</v>
      </c>
      <c r="P427" s="1" t="s">
        <v>74</v>
      </c>
      <c r="Q427" s="1" t="s">
        <v>74</v>
      </c>
      <c r="R427" s="1" t="s">
        <v>74</v>
      </c>
      <c r="S427" s="1" t="s">
        <v>74</v>
      </c>
      <c r="T427" s="1" t="s">
        <v>8895</v>
      </c>
      <c r="U427" s="1" t="s">
        <v>8896</v>
      </c>
      <c r="V427" s="1" t="s">
        <v>8897</v>
      </c>
      <c r="W427" s="1" t="s">
        <v>8898</v>
      </c>
      <c r="X427" s="1" t="s">
        <v>8899</v>
      </c>
      <c r="Y427" s="1" t="s">
        <v>8900</v>
      </c>
      <c r="Z427" s="1" t="s">
        <v>8901</v>
      </c>
      <c r="AA427" s="1" t="s">
        <v>8902</v>
      </c>
      <c r="AB427" s="1" t="s">
        <v>8903</v>
      </c>
      <c r="AC427" s="1" t="s">
        <v>74</v>
      </c>
      <c r="AD427" s="1" t="s">
        <v>74</v>
      </c>
      <c r="AE427" s="1" t="s">
        <v>74</v>
      </c>
      <c r="AF427" s="1" t="s">
        <v>74</v>
      </c>
      <c r="AG427" s="1">
        <v>99.0</v>
      </c>
      <c r="AH427" s="1">
        <v>20.0</v>
      </c>
      <c r="AI427" s="1">
        <v>20.0</v>
      </c>
      <c r="AJ427" s="1">
        <v>7.0</v>
      </c>
      <c r="AK427" s="1">
        <v>53.0</v>
      </c>
      <c r="AL427" s="1" t="s">
        <v>1528</v>
      </c>
      <c r="AM427" s="1" t="s">
        <v>1529</v>
      </c>
      <c r="AN427" s="1" t="s">
        <v>1530</v>
      </c>
      <c r="AO427" s="1" t="s">
        <v>8904</v>
      </c>
      <c r="AP427" s="1" t="s">
        <v>8905</v>
      </c>
      <c r="AQ427" s="1" t="s">
        <v>74</v>
      </c>
      <c r="AR427" s="1" t="s">
        <v>8906</v>
      </c>
      <c r="AS427" s="1" t="s">
        <v>8907</v>
      </c>
      <c r="AT427" s="1" t="s">
        <v>1709</v>
      </c>
      <c r="AU427" s="1">
        <v>2022.0</v>
      </c>
      <c r="AV427" s="1">
        <v>26.0</v>
      </c>
      <c r="AW427" s="1">
        <v>9.0</v>
      </c>
      <c r="AX427" s="1" t="s">
        <v>74</v>
      </c>
      <c r="AY427" s="1" t="s">
        <v>74</v>
      </c>
      <c r="AZ427" s="1" t="s">
        <v>74</v>
      </c>
      <c r="BA427" s="1" t="s">
        <v>74</v>
      </c>
      <c r="BB427" s="1">
        <v>5535.0</v>
      </c>
      <c r="BC427" s="1">
        <v>5555.0</v>
      </c>
      <c r="BD427" s="1" t="s">
        <v>74</v>
      </c>
      <c r="BE427" s="1" t="s">
        <v>8908</v>
      </c>
      <c r="BF427" s="2" t="str">
        <f>HYPERLINK("http://dx.doi.org/10.1007/s00784-022-04477-y","http://dx.doi.org/10.1007/s00784-022-04477-y")</f>
        <v>http://dx.doi.org/10.1007/s00784-022-04477-y</v>
      </c>
      <c r="BG427" s="1" t="s">
        <v>74</v>
      </c>
      <c r="BH427" s="1" t="s">
        <v>7215</v>
      </c>
      <c r="BI427" s="1">
        <v>21.0</v>
      </c>
      <c r="BJ427" s="1" t="s">
        <v>1711</v>
      </c>
      <c r="BK427" s="1" t="s">
        <v>149</v>
      </c>
      <c r="BL427" s="1" t="s">
        <v>1711</v>
      </c>
      <c r="BM427" s="1" t="s">
        <v>8909</v>
      </c>
      <c r="BN427" s="1">
        <v>3.5438326E7</v>
      </c>
      <c r="BO427" s="1" t="s">
        <v>74</v>
      </c>
      <c r="BP427" s="1" t="s">
        <v>74</v>
      </c>
      <c r="BQ427" s="1" t="s">
        <v>74</v>
      </c>
      <c r="BR427" s="1" t="s">
        <v>102</v>
      </c>
      <c r="BS427" s="1" t="s">
        <v>8910</v>
      </c>
      <c r="BT427" s="1" t="str">
        <f>HYPERLINK("https%3A%2F%2Fwww.webofscience.com%2Fwos%2Fwoscc%2Ffull-record%2FWOS:000784838500001","View Full Record in Web of Science")</f>
        <v>View Full Record in Web of Science</v>
      </c>
    </row>
    <row r="428" ht="12.75" customHeight="1">
      <c r="A428" s="1" t="s">
        <v>132</v>
      </c>
      <c r="B428" s="1" t="s">
        <v>8911</v>
      </c>
      <c r="C428" s="1" t="s">
        <v>74</v>
      </c>
      <c r="D428" s="1" t="s">
        <v>74</v>
      </c>
      <c r="E428" s="1" t="s">
        <v>74</v>
      </c>
      <c r="F428" s="1" t="s">
        <v>8912</v>
      </c>
      <c r="G428" s="1" t="s">
        <v>74</v>
      </c>
      <c r="H428" s="1" t="s">
        <v>74</v>
      </c>
      <c r="I428" s="1" t="s">
        <v>8913</v>
      </c>
      <c r="J428" s="1" t="s">
        <v>8914</v>
      </c>
      <c r="K428" s="1" t="s">
        <v>74</v>
      </c>
      <c r="L428" s="1" t="s">
        <v>74</v>
      </c>
      <c r="M428" s="1" t="s">
        <v>80</v>
      </c>
      <c r="N428" s="1" t="s">
        <v>1010</v>
      </c>
      <c r="O428" s="1" t="s">
        <v>74</v>
      </c>
      <c r="P428" s="1" t="s">
        <v>74</v>
      </c>
      <c r="Q428" s="1" t="s">
        <v>74</v>
      </c>
      <c r="R428" s="1" t="s">
        <v>74</v>
      </c>
      <c r="S428" s="1" t="s">
        <v>74</v>
      </c>
      <c r="T428" s="1" t="s">
        <v>8915</v>
      </c>
      <c r="U428" s="1" t="s">
        <v>8916</v>
      </c>
      <c r="V428" s="1" t="s">
        <v>8917</v>
      </c>
      <c r="W428" s="1" t="s">
        <v>8918</v>
      </c>
      <c r="X428" s="1" t="s">
        <v>74</v>
      </c>
      <c r="Y428" s="1" t="s">
        <v>8919</v>
      </c>
      <c r="Z428" s="1" t="s">
        <v>8920</v>
      </c>
      <c r="AA428" s="1" t="s">
        <v>8921</v>
      </c>
      <c r="AB428" s="1" t="s">
        <v>74</v>
      </c>
      <c r="AC428" s="1" t="s">
        <v>74</v>
      </c>
      <c r="AD428" s="1" t="s">
        <v>74</v>
      </c>
      <c r="AE428" s="1" t="s">
        <v>74</v>
      </c>
      <c r="AF428" s="1" t="s">
        <v>74</v>
      </c>
      <c r="AG428" s="1">
        <v>76.0</v>
      </c>
      <c r="AH428" s="1">
        <v>15.0</v>
      </c>
      <c r="AI428" s="1">
        <v>15.0</v>
      </c>
      <c r="AJ428" s="1">
        <v>22.0</v>
      </c>
      <c r="AK428" s="1">
        <v>83.0</v>
      </c>
      <c r="AL428" s="1" t="s">
        <v>1970</v>
      </c>
      <c r="AM428" s="1" t="s">
        <v>1658</v>
      </c>
      <c r="AN428" s="1" t="s">
        <v>1971</v>
      </c>
      <c r="AO428" s="1" t="s">
        <v>8922</v>
      </c>
      <c r="AP428" s="1" t="s">
        <v>74</v>
      </c>
      <c r="AQ428" s="1" t="s">
        <v>74</v>
      </c>
      <c r="AR428" s="1" t="s">
        <v>8914</v>
      </c>
      <c r="AS428" s="1" t="s">
        <v>8923</v>
      </c>
      <c r="AT428" s="1" t="s">
        <v>1253</v>
      </c>
      <c r="AU428" s="1">
        <v>2023.0</v>
      </c>
      <c r="AV428" s="1">
        <v>12.0</v>
      </c>
      <c r="AW428" s="1">
        <v>4.0</v>
      </c>
      <c r="AX428" s="1" t="s">
        <v>74</v>
      </c>
      <c r="AY428" s="1" t="s">
        <v>74</v>
      </c>
      <c r="AZ428" s="1" t="s">
        <v>74</v>
      </c>
      <c r="BA428" s="1" t="s">
        <v>74</v>
      </c>
      <c r="BB428" s="1" t="s">
        <v>74</v>
      </c>
      <c r="BC428" s="1" t="s">
        <v>74</v>
      </c>
      <c r="BD428" s="1">
        <v>72.0</v>
      </c>
      <c r="BE428" s="1" t="s">
        <v>8924</v>
      </c>
      <c r="BF428" s="2" t="str">
        <f>HYPERLINK("http://dx.doi.org/10.3390/computers12040072","http://dx.doi.org/10.3390/computers12040072")</f>
        <v>http://dx.doi.org/10.3390/computers12040072</v>
      </c>
      <c r="BG428" s="1" t="s">
        <v>74</v>
      </c>
      <c r="BH428" s="1" t="s">
        <v>74</v>
      </c>
      <c r="BI428" s="1">
        <v>18.0</v>
      </c>
      <c r="BJ428" s="1" t="s">
        <v>8719</v>
      </c>
      <c r="BK428" s="1" t="s">
        <v>172</v>
      </c>
      <c r="BL428" s="1" t="s">
        <v>232</v>
      </c>
      <c r="BM428" s="1" t="s">
        <v>8925</v>
      </c>
      <c r="BN428" s="1" t="s">
        <v>74</v>
      </c>
      <c r="BO428" s="1" t="s">
        <v>174</v>
      </c>
      <c r="BP428" s="1" t="s">
        <v>74</v>
      </c>
      <c r="BQ428" s="1" t="s">
        <v>74</v>
      </c>
      <c r="BR428" s="1" t="s">
        <v>102</v>
      </c>
      <c r="BS428" s="1" t="s">
        <v>8926</v>
      </c>
      <c r="BT428" s="1" t="str">
        <f>HYPERLINK("https%3A%2F%2Fwww.webofscience.com%2Fwos%2Fwoscc%2Ffull-record%2FWOS:000977729700001","View Full Record in Web of Science")</f>
        <v>View Full Record in Web of Science</v>
      </c>
    </row>
    <row r="429" ht="12.75" customHeight="1">
      <c r="A429" s="1" t="s">
        <v>132</v>
      </c>
      <c r="B429" s="1" t="s">
        <v>8927</v>
      </c>
      <c r="C429" s="1" t="s">
        <v>74</v>
      </c>
      <c r="D429" s="1" t="s">
        <v>74</v>
      </c>
      <c r="E429" s="1" t="s">
        <v>74</v>
      </c>
      <c r="F429" s="1" t="s">
        <v>8928</v>
      </c>
      <c r="G429" s="1" t="s">
        <v>74</v>
      </c>
      <c r="H429" s="1" t="s">
        <v>74</v>
      </c>
      <c r="I429" s="1" t="s">
        <v>8929</v>
      </c>
      <c r="J429" s="1" t="s">
        <v>1240</v>
      </c>
      <c r="K429" s="1" t="s">
        <v>74</v>
      </c>
      <c r="L429" s="1" t="s">
        <v>74</v>
      </c>
      <c r="M429" s="1" t="s">
        <v>80</v>
      </c>
      <c r="N429" s="1" t="s">
        <v>136</v>
      </c>
      <c r="O429" s="1" t="s">
        <v>74</v>
      </c>
      <c r="P429" s="1" t="s">
        <v>74</v>
      </c>
      <c r="Q429" s="1" t="s">
        <v>74</v>
      </c>
      <c r="R429" s="1" t="s">
        <v>74</v>
      </c>
      <c r="S429" s="1" t="s">
        <v>74</v>
      </c>
      <c r="T429" s="1" t="s">
        <v>8930</v>
      </c>
      <c r="U429" s="1" t="s">
        <v>74</v>
      </c>
      <c r="V429" s="1" t="s">
        <v>8931</v>
      </c>
      <c r="W429" s="1" t="s">
        <v>8932</v>
      </c>
      <c r="X429" s="1" t="s">
        <v>8551</v>
      </c>
      <c r="Y429" s="1" t="s">
        <v>8933</v>
      </c>
      <c r="Z429" s="1" t="s">
        <v>8934</v>
      </c>
      <c r="AA429" s="1" t="s">
        <v>74</v>
      </c>
      <c r="AB429" s="1" t="s">
        <v>8935</v>
      </c>
      <c r="AC429" s="1" t="s">
        <v>8936</v>
      </c>
      <c r="AD429" s="1" t="s">
        <v>8937</v>
      </c>
      <c r="AE429" s="1" t="s">
        <v>8938</v>
      </c>
      <c r="AF429" s="1" t="s">
        <v>74</v>
      </c>
      <c r="AG429" s="1">
        <v>39.0</v>
      </c>
      <c r="AH429" s="1">
        <v>1.0</v>
      </c>
      <c r="AI429" s="1">
        <v>1.0</v>
      </c>
      <c r="AJ429" s="1">
        <v>32.0</v>
      </c>
      <c r="AK429" s="1">
        <v>32.0</v>
      </c>
      <c r="AL429" s="1" t="s">
        <v>1240</v>
      </c>
      <c r="AM429" s="1" t="s">
        <v>1248</v>
      </c>
      <c r="AN429" s="1" t="s">
        <v>1249</v>
      </c>
      <c r="AO429" s="1" t="s">
        <v>1250</v>
      </c>
      <c r="AP429" s="1" t="s">
        <v>74</v>
      </c>
      <c r="AQ429" s="1" t="s">
        <v>74</v>
      </c>
      <c r="AR429" s="1" t="s">
        <v>1251</v>
      </c>
      <c r="AS429" s="1" t="s">
        <v>1252</v>
      </c>
      <c r="AT429" s="1" t="s">
        <v>1279</v>
      </c>
      <c r="AU429" s="1">
        <v>2024.0</v>
      </c>
      <c r="AV429" s="1" t="s">
        <v>74</v>
      </c>
      <c r="AW429" s="1" t="s">
        <v>74</v>
      </c>
      <c r="AX429" s="1" t="s">
        <v>74</v>
      </c>
      <c r="AY429" s="1" t="s">
        <v>74</v>
      </c>
      <c r="AZ429" s="1" t="s">
        <v>474</v>
      </c>
      <c r="BA429" s="1" t="s">
        <v>74</v>
      </c>
      <c r="BB429" s="1">
        <v>85.0</v>
      </c>
      <c r="BC429" s="1">
        <v>104.0</v>
      </c>
      <c r="BD429" s="1" t="s">
        <v>74</v>
      </c>
      <c r="BE429" s="1" t="s">
        <v>8939</v>
      </c>
      <c r="BF429" s="2" t="str">
        <f>HYPERLINK("http://dx.doi.org/10.24093/awej/call10.7","http://dx.doi.org/10.24093/awej/call10.7")</f>
        <v>http://dx.doi.org/10.24093/awej/call10.7</v>
      </c>
      <c r="BG429" s="1" t="s">
        <v>74</v>
      </c>
      <c r="BH429" s="1" t="s">
        <v>74</v>
      </c>
      <c r="BI429" s="1">
        <v>20.0</v>
      </c>
      <c r="BJ429" s="1" t="s">
        <v>1255</v>
      </c>
      <c r="BK429" s="1" t="s">
        <v>172</v>
      </c>
      <c r="BL429" s="1" t="s">
        <v>1256</v>
      </c>
      <c r="BM429" s="1" t="s">
        <v>8940</v>
      </c>
      <c r="BN429" s="1" t="s">
        <v>74</v>
      </c>
      <c r="BO429" s="1" t="s">
        <v>174</v>
      </c>
      <c r="BP429" s="1" t="s">
        <v>74</v>
      </c>
      <c r="BQ429" s="1" t="s">
        <v>74</v>
      </c>
      <c r="BR429" s="1" t="s">
        <v>102</v>
      </c>
      <c r="BS429" s="1" t="s">
        <v>8941</v>
      </c>
      <c r="BT429" s="1" t="str">
        <f>HYPERLINK("https%3A%2F%2Fwww.webofscience.com%2Fwos%2Fwoscc%2Ffull-record%2FWOS:001319418200007","View Full Record in Web of Science")</f>
        <v>View Full Record in Web of Science</v>
      </c>
    </row>
    <row r="430" ht="12.75" customHeight="1">
      <c r="A430" s="1" t="s">
        <v>132</v>
      </c>
      <c r="B430" s="1" t="s">
        <v>8942</v>
      </c>
      <c r="C430" s="1" t="s">
        <v>74</v>
      </c>
      <c r="D430" s="1" t="s">
        <v>74</v>
      </c>
      <c r="E430" s="1" t="s">
        <v>74</v>
      </c>
      <c r="F430" s="1" t="s">
        <v>8943</v>
      </c>
      <c r="G430" s="1" t="s">
        <v>74</v>
      </c>
      <c r="H430" s="1" t="s">
        <v>74</v>
      </c>
      <c r="I430" s="1" t="s">
        <v>8944</v>
      </c>
      <c r="J430" s="1" t="s">
        <v>8945</v>
      </c>
      <c r="K430" s="1" t="s">
        <v>74</v>
      </c>
      <c r="L430" s="1" t="s">
        <v>74</v>
      </c>
      <c r="M430" s="1" t="s">
        <v>80</v>
      </c>
      <c r="N430" s="1" t="s">
        <v>136</v>
      </c>
      <c r="O430" s="1" t="s">
        <v>74</v>
      </c>
      <c r="P430" s="1" t="s">
        <v>74</v>
      </c>
      <c r="Q430" s="1" t="s">
        <v>74</v>
      </c>
      <c r="R430" s="1" t="s">
        <v>74</v>
      </c>
      <c r="S430" s="1" t="s">
        <v>74</v>
      </c>
      <c r="T430" s="1" t="s">
        <v>8946</v>
      </c>
      <c r="U430" s="1" t="s">
        <v>8947</v>
      </c>
      <c r="V430" s="1" t="s">
        <v>8948</v>
      </c>
      <c r="W430" s="1" t="s">
        <v>8949</v>
      </c>
      <c r="X430" s="1" t="s">
        <v>8950</v>
      </c>
      <c r="Y430" s="1" t="s">
        <v>8951</v>
      </c>
      <c r="Z430" s="1" t="s">
        <v>8952</v>
      </c>
      <c r="AA430" s="1" t="s">
        <v>8953</v>
      </c>
      <c r="AB430" s="1" t="s">
        <v>8954</v>
      </c>
      <c r="AC430" s="1" t="s">
        <v>8955</v>
      </c>
      <c r="AD430" s="1" t="s">
        <v>8956</v>
      </c>
      <c r="AE430" s="1" t="s">
        <v>8957</v>
      </c>
      <c r="AF430" s="1" t="s">
        <v>74</v>
      </c>
      <c r="AG430" s="1">
        <v>32.0</v>
      </c>
      <c r="AH430" s="1">
        <v>25.0</v>
      </c>
      <c r="AI430" s="1">
        <v>25.0</v>
      </c>
      <c r="AJ430" s="1">
        <v>1.0</v>
      </c>
      <c r="AK430" s="1">
        <v>6.0</v>
      </c>
      <c r="AL430" s="1" t="s">
        <v>2928</v>
      </c>
      <c r="AM430" s="1" t="s">
        <v>1090</v>
      </c>
      <c r="AN430" s="1" t="s">
        <v>2929</v>
      </c>
      <c r="AO430" s="1" t="s">
        <v>8958</v>
      </c>
      <c r="AP430" s="1" t="s">
        <v>8959</v>
      </c>
      <c r="AQ430" s="1" t="s">
        <v>74</v>
      </c>
      <c r="AR430" s="1" t="s">
        <v>8960</v>
      </c>
      <c r="AS430" s="1" t="s">
        <v>8961</v>
      </c>
      <c r="AT430" s="1" t="s">
        <v>8962</v>
      </c>
      <c r="AU430" s="1">
        <v>2023.0</v>
      </c>
      <c r="AV430" s="1">
        <v>44.0</v>
      </c>
      <c r="AW430" s="1">
        <v>46.0</v>
      </c>
      <c r="AX430" s="1" t="s">
        <v>74</v>
      </c>
      <c r="AY430" s="1" t="s">
        <v>74</v>
      </c>
      <c r="AZ430" s="1" t="s">
        <v>474</v>
      </c>
      <c r="BA430" s="1" t="s">
        <v>74</v>
      </c>
      <c r="BB430" s="1">
        <v>4831.0</v>
      </c>
      <c r="BC430" s="1">
        <v>4834.0</v>
      </c>
      <c r="BD430" s="1" t="s">
        <v>74</v>
      </c>
      <c r="BE430" s="1" t="s">
        <v>8963</v>
      </c>
      <c r="BF430" s="2" t="str">
        <f>HYPERLINK("http://dx.doi.org/10.1093/eurheartj/ehad727","http://dx.doi.org/10.1093/eurheartj/ehad727")</f>
        <v>http://dx.doi.org/10.1093/eurheartj/ehad727</v>
      </c>
      <c r="BG430" s="1" t="s">
        <v>74</v>
      </c>
      <c r="BH430" s="1" t="s">
        <v>6939</v>
      </c>
      <c r="BI430" s="1">
        <v>4.0</v>
      </c>
      <c r="BJ430" s="1" t="s">
        <v>2729</v>
      </c>
      <c r="BK430" s="1" t="s">
        <v>149</v>
      </c>
      <c r="BL430" s="1" t="s">
        <v>2730</v>
      </c>
      <c r="BM430" s="1" t="s">
        <v>8964</v>
      </c>
      <c r="BN430" s="1">
        <v>3.7897346E7</v>
      </c>
      <c r="BO430" s="1" t="s">
        <v>306</v>
      </c>
      <c r="BP430" s="1" t="s">
        <v>74</v>
      </c>
      <c r="BQ430" s="1" t="s">
        <v>74</v>
      </c>
      <c r="BR430" s="1" t="s">
        <v>102</v>
      </c>
      <c r="BS430" s="1" t="s">
        <v>8965</v>
      </c>
      <c r="BT430" s="1" t="str">
        <f>HYPERLINK("https%3A%2F%2Fwww.webofscience.com%2Fwos%2Fwoscc%2Ffull-record%2FWOS:001090710900001","View Full Record in Web of Science")</f>
        <v>View Full Record in Web of Science</v>
      </c>
    </row>
    <row r="431" ht="12.75" customHeight="1">
      <c r="A431" s="1" t="s">
        <v>132</v>
      </c>
      <c r="B431" s="1" t="s">
        <v>8966</v>
      </c>
      <c r="C431" s="1" t="s">
        <v>74</v>
      </c>
      <c r="D431" s="1" t="s">
        <v>74</v>
      </c>
      <c r="E431" s="1" t="s">
        <v>74</v>
      </c>
      <c r="F431" s="1" t="s">
        <v>8967</v>
      </c>
      <c r="G431" s="1" t="s">
        <v>74</v>
      </c>
      <c r="H431" s="1" t="s">
        <v>74</v>
      </c>
      <c r="I431" s="1" t="s">
        <v>8968</v>
      </c>
      <c r="J431" s="1" t="s">
        <v>1983</v>
      </c>
      <c r="K431" s="1" t="s">
        <v>74</v>
      </c>
      <c r="L431" s="1" t="s">
        <v>74</v>
      </c>
      <c r="M431" s="1" t="s">
        <v>80</v>
      </c>
      <c r="N431" s="1" t="s">
        <v>136</v>
      </c>
      <c r="O431" s="1" t="s">
        <v>74</v>
      </c>
      <c r="P431" s="1" t="s">
        <v>74</v>
      </c>
      <c r="Q431" s="1" t="s">
        <v>74</v>
      </c>
      <c r="R431" s="1" t="s">
        <v>74</v>
      </c>
      <c r="S431" s="1" t="s">
        <v>74</v>
      </c>
      <c r="T431" s="1" t="s">
        <v>8969</v>
      </c>
      <c r="U431" s="1" t="s">
        <v>8970</v>
      </c>
      <c r="V431" s="1" t="s">
        <v>8971</v>
      </c>
      <c r="W431" s="1" t="s">
        <v>8972</v>
      </c>
      <c r="X431" s="1" t="s">
        <v>8973</v>
      </c>
      <c r="Y431" s="1" t="s">
        <v>8974</v>
      </c>
      <c r="Z431" s="1" t="s">
        <v>8975</v>
      </c>
      <c r="AA431" s="1" t="s">
        <v>8976</v>
      </c>
      <c r="AB431" s="1" t="s">
        <v>8977</v>
      </c>
      <c r="AC431" s="1" t="s">
        <v>8978</v>
      </c>
      <c r="AD431" s="1" t="s">
        <v>8979</v>
      </c>
      <c r="AE431" s="1" t="s">
        <v>8980</v>
      </c>
      <c r="AF431" s="1" t="s">
        <v>74</v>
      </c>
      <c r="AG431" s="1">
        <v>66.0</v>
      </c>
      <c r="AH431" s="1">
        <v>3.0</v>
      </c>
      <c r="AI431" s="1">
        <v>3.0</v>
      </c>
      <c r="AJ431" s="1">
        <v>85.0</v>
      </c>
      <c r="AK431" s="1">
        <v>85.0</v>
      </c>
      <c r="AL431" s="1" t="s">
        <v>321</v>
      </c>
      <c r="AM431" s="1" t="s">
        <v>322</v>
      </c>
      <c r="AN431" s="1" t="s">
        <v>323</v>
      </c>
      <c r="AO431" s="1" t="s">
        <v>1992</v>
      </c>
      <c r="AP431" s="1" t="s">
        <v>74</v>
      </c>
      <c r="AQ431" s="1" t="s">
        <v>74</v>
      </c>
      <c r="AR431" s="1" t="s">
        <v>1993</v>
      </c>
      <c r="AS431" s="1" t="s">
        <v>1994</v>
      </c>
      <c r="AT431" s="1" t="s">
        <v>1709</v>
      </c>
      <c r="AU431" s="1">
        <v>2024.0</v>
      </c>
      <c r="AV431" s="1">
        <v>83.0</v>
      </c>
      <c r="AW431" s="1" t="s">
        <v>74</v>
      </c>
      <c r="AX431" s="1" t="s">
        <v>74</v>
      </c>
      <c r="AY431" s="1" t="s">
        <v>74</v>
      </c>
      <c r="AZ431" s="1" t="s">
        <v>74</v>
      </c>
      <c r="BA431" s="1" t="s">
        <v>74</v>
      </c>
      <c r="BB431" s="1">
        <v>548.0</v>
      </c>
      <c r="BC431" s="1">
        <v>561.0</v>
      </c>
      <c r="BD431" s="1" t="s">
        <v>74</v>
      </c>
      <c r="BE431" s="1" t="s">
        <v>8981</v>
      </c>
      <c r="BF431" s="2" t="str">
        <f>HYPERLINK("http://dx.doi.org/10.1016/j.eap.2024.07.005","http://dx.doi.org/10.1016/j.eap.2024.07.005")</f>
        <v>http://dx.doi.org/10.1016/j.eap.2024.07.005</v>
      </c>
      <c r="BG431" s="1" t="s">
        <v>74</v>
      </c>
      <c r="BH431" s="1" t="s">
        <v>1929</v>
      </c>
      <c r="BI431" s="1">
        <v>14.0</v>
      </c>
      <c r="BJ431" s="1" t="s">
        <v>202</v>
      </c>
      <c r="BK431" s="1" t="s">
        <v>203</v>
      </c>
      <c r="BL431" s="1" t="s">
        <v>204</v>
      </c>
      <c r="BM431" s="1" t="s">
        <v>8982</v>
      </c>
      <c r="BN431" s="1" t="s">
        <v>74</v>
      </c>
      <c r="BO431" s="1" t="s">
        <v>74</v>
      </c>
      <c r="BP431" s="1" t="s">
        <v>74</v>
      </c>
      <c r="BQ431" s="1" t="s">
        <v>74</v>
      </c>
      <c r="BR431" s="1" t="s">
        <v>102</v>
      </c>
      <c r="BS431" s="1" t="s">
        <v>8983</v>
      </c>
      <c r="BT431" s="1" t="str">
        <f>HYPERLINK("https%3A%2F%2Fwww.webofscience.com%2Fwos%2Fwoscc%2Ffull-record%2FWOS:001269581000001","View Full Record in Web of Science")</f>
        <v>View Full Record in Web of Science</v>
      </c>
    </row>
    <row r="432" ht="12.75" customHeight="1">
      <c r="A432" s="1" t="s">
        <v>132</v>
      </c>
      <c r="B432" s="1" t="s">
        <v>8984</v>
      </c>
      <c r="C432" s="1" t="s">
        <v>74</v>
      </c>
      <c r="D432" s="1" t="s">
        <v>74</v>
      </c>
      <c r="E432" s="1" t="s">
        <v>74</v>
      </c>
      <c r="F432" s="1" t="s">
        <v>8985</v>
      </c>
      <c r="G432" s="1" t="s">
        <v>74</v>
      </c>
      <c r="H432" s="1" t="s">
        <v>74</v>
      </c>
      <c r="I432" s="1" t="s">
        <v>8986</v>
      </c>
      <c r="J432" s="1" t="s">
        <v>8987</v>
      </c>
      <c r="K432" s="1" t="s">
        <v>74</v>
      </c>
      <c r="L432" s="1" t="s">
        <v>74</v>
      </c>
      <c r="M432" s="1" t="s">
        <v>80</v>
      </c>
      <c r="N432" s="1" t="s">
        <v>136</v>
      </c>
      <c r="O432" s="1" t="s">
        <v>74</v>
      </c>
      <c r="P432" s="1" t="s">
        <v>74</v>
      </c>
      <c r="Q432" s="1" t="s">
        <v>74</v>
      </c>
      <c r="R432" s="1" t="s">
        <v>74</v>
      </c>
      <c r="S432" s="1" t="s">
        <v>74</v>
      </c>
      <c r="T432" s="1" t="s">
        <v>8988</v>
      </c>
      <c r="U432" s="1" t="s">
        <v>8989</v>
      </c>
      <c r="V432" s="1" t="s">
        <v>8990</v>
      </c>
      <c r="W432" s="1" t="s">
        <v>8991</v>
      </c>
      <c r="X432" s="1" t="s">
        <v>8992</v>
      </c>
      <c r="Y432" s="1" t="s">
        <v>8993</v>
      </c>
      <c r="Z432" s="1" t="s">
        <v>8994</v>
      </c>
      <c r="AA432" s="1" t="s">
        <v>8995</v>
      </c>
      <c r="AB432" s="1" t="s">
        <v>74</v>
      </c>
      <c r="AC432" s="1" t="s">
        <v>74</v>
      </c>
      <c r="AD432" s="1" t="s">
        <v>74</v>
      </c>
      <c r="AE432" s="1" t="s">
        <v>74</v>
      </c>
      <c r="AF432" s="1" t="s">
        <v>74</v>
      </c>
      <c r="AG432" s="1">
        <v>176.0</v>
      </c>
      <c r="AH432" s="1">
        <v>7.0</v>
      </c>
      <c r="AI432" s="1">
        <v>7.0</v>
      </c>
      <c r="AJ432" s="1">
        <v>23.0</v>
      </c>
      <c r="AK432" s="1">
        <v>95.0</v>
      </c>
      <c r="AL432" s="1" t="s">
        <v>1528</v>
      </c>
      <c r="AM432" s="1" t="s">
        <v>1529</v>
      </c>
      <c r="AN432" s="1" t="s">
        <v>1530</v>
      </c>
      <c r="AO432" s="1" t="s">
        <v>8996</v>
      </c>
      <c r="AP432" s="1" t="s">
        <v>8997</v>
      </c>
      <c r="AQ432" s="1" t="s">
        <v>74</v>
      </c>
      <c r="AR432" s="1" t="s">
        <v>8998</v>
      </c>
      <c r="AS432" s="1" t="s">
        <v>8999</v>
      </c>
      <c r="AT432" s="1" t="s">
        <v>1709</v>
      </c>
      <c r="AU432" s="1">
        <v>2022.0</v>
      </c>
      <c r="AV432" s="1">
        <v>23.0</v>
      </c>
      <c r="AW432" s="1">
        <v>3.0</v>
      </c>
      <c r="AX432" s="1" t="s">
        <v>74</v>
      </c>
      <c r="AY432" s="1" t="s">
        <v>74</v>
      </c>
      <c r="AZ432" s="1" t="s">
        <v>74</v>
      </c>
      <c r="BA432" s="1" t="s">
        <v>74</v>
      </c>
      <c r="BB432" s="1">
        <v>541.0</v>
      </c>
      <c r="BC432" s="1">
        <v>572.0</v>
      </c>
      <c r="BD432" s="1" t="s">
        <v>74</v>
      </c>
      <c r="BE432" s="1" t="s">
        <v>9000</v>
      </c>
      <c r="BF432" s="2" t="str">
        <f>HYPERLINK("http://dx.doi.org/10.1007/s40804-022-00251-5","http://dx.doi.org/10.1007/s40804-022-00251-5")</f>
        <v>http://dx.doi.org/10.1007/s40804-022-00251-5</v>
      </c>
      <c r="BG432" s="1" t="s">
        <v>74</v>
      </c>
      <c r="BH432" s="1" t="s">
        <v>1366</v>
      </c>
      <c r="BI432" s="1">
        <v>32.0</v>
      </c>
      <c r="BJ432" s="1" t="s">
        <v>9001</v>
      </c>
      <c r="BK432" s="1" t="s">
        <v>203</v>
      </c>
      <c r="BL432" s="1" t="s">
        <v>9002</v>
      </c>
      <c r="BM432" s="1" t="s">
        <v>9003</v>
      </c>
      <c r="BN432" s="1" t="s">
        <v>74</v>
      </c>
      <c r="BO432" s="1" t="s">
        <v>632</v>
      </c>
      <c r="BP432" s="1" t="s">
        <v>74</v>
      </c>
      <c r="BQ432" s="1" t="s">
        <v>74</v>
      </c>
      <c r="BR432" s="1" t="s">
        <v>102</v>
      </c>
      <c r="BS432" s="1" t="s">
        <v>9004</v>
      </c>
      <c r="BT432" s="1" t="str">
        <f>HYPERLINK("https%3A%2F%2Fwww.webofscience.com%2Fwos%2Fwoscc%2Ffull-record%2FWOS:000799730200001","View Full Record in Web of Science")</f>
        <v>View Full Record in Web of Science</v>
      </c>
    </row>
    <row r="433" ht="12.75" customHeight="1">
      <c r="A433" s="1" t="s">
        <v>132</v>
      </c>
      <c r="B433" s="1" t="s">
        <v>9005</v>
      </c>
      <c r="C433" s="1" t="s">
        <v>74</v>
      </c>
      <c r="D433" s="1" t="s">
        <v>74</v>
      </c>
      <c r="E433" s="1" t="s">
        <v>74</v>
      </c>
      <c r="F433" s="1" t="s">
        <v>9006</v>
      </c>
      <c r="G433" s="1" t="s">
        <v>74</v>
      </c>
      <c r="H433" s="1" t="s">
        <v>74</v>
      </c>
      <c r="I433" s="1" t="s">
        <v>9007</v>
      </c>
      <c r="J433" s="1" t="s">
        <v>8945</v>
      </c>
      <c r="K433" s="1" t="s">
        <v>74</v>
      </c>
      <c r="L433" s="1" t="s">
        <v>74</v>
      </c>
      <c r="M433" s="1" t="s">
        <v>80</v>
      </c>
      <c r="N433" s="1" t="s">
        <v>1010</v>
      </c>
      <c r="O433" s="1" t="s">
        <v>74</v>
      </c>
      <c r="P433" s="1" t="s">
        <v>74</v>
      </c>
      <c r="Q433" s="1" t="s">
        <v>74</v>
      </c>
      <c r="R433" s="1" t="s">
        <v>74</v>
      </c>
      <c r="S433" s="1" t="s">
        <v>74</v>
      </c>
      <c r="T433" s="1" t="s">
        <v>9008</v>
      </c>
      <c r="U433" s="1" t="s">
        <v>9009</v>
      </c>
      <c r="V433" s="1" t="s">
        <v>9010</v>
      </c>
      <c r="W433" s="1" t="s">
        <v>9011</v>
      </c>
      <c r="X433" s="1" t="s">
        <v>9012</v>
      </c>
      <c r="Y433" s="1" t="s">
        <v>9013</v>
      </c>
      <c r="Z433" s="1" t="s">
        <v>9014</v>
      </c>
      <c r="AA433" s="1" t="s">
        <v>9015</v>
      </c>
      <c r="AB433" s="1" t="s">
        <v>9016</v>
      </c>
      <c r="AC433" s="1" t="s">
        <v>9017</v>
      </c>
      <c r="AD433" s="1" t="s">
        <v>9018</v>
      </c>
      <c r="AE433" s="1" t="s">
        <v>74</v>
      </c>
      <c r="AF433" s="1" t="s">
        <v>74</v>
      </c>
      <c r="AG433" s="1">
        <v>102.0</v>
      </c>
      <c r="AH433" s="1">
        <v>48.0</v>
      </c>
      <c r="AI433" s="1">
        <v>51.0</v>
      </c>
      <c r="AJ433" s="1">
        <v>4.0</v>
      </c>
      <c r="AK433" s="1">
        <v>29.0</v>
      </c>
      <c r="AL433" s="1" t="s">
        <v>2928</v>
      </c>
      <c r="AM433" s="1" t="s">
        <v>1090</v>
      </c>
      <c r="AN433" s="1" t="s">
        <v>2929</v>
      </c>
      <c r="AO433" s="1" t="s">
        <v>8958</v>
      </c>
      <c r="AP433" s="1" t="s">
        <v>8959</v>
      </c>
      <c r="AQ433" s="1" t="s">
        <v>74</v>
      </c>
      <c r="AR433" s="1" t="s">
        <v>8960</v>
      </c>
      <c r="AS433" s="1" t="s">
        <v>8961</v>
      </c>
      <c r="AT433" s="1" t="s">
        <v>9019</v>
      </c>
      <c r="AU433" s="1">
        <v>2021.0</v>
      </c>
      <c r="AV433" s="1">
        <v>42.0</v>
      </c>
      <c r="AW433" s="1">
        <v>38.0</v>
      </c>
      <c r="AX433" s="1" t="s">
        <v>74</v>
      </c>
      <c r="AY433" s="1" t="s">
        <v>74</v>
      </c>
      <c r="AZ433" s="1" t="s">
        <v>74</v>
      </c>
      <c r="BA433" s="1" t="s">
        <v>74</v>
      </c>
      <c r="BB433" s="1">
        <v>3904.0</v>
      </c>
      <c r="BC433" s="1" t="s">
        <v>1280</v>
      </c>
      <c r="BD433" s="1" t="s">
        <v>74</v>
      </c>
      <c r="BE433" s="1" t="s">
        <v>9020</v>
      </c>
      <c r="BF433" s="2" t="str">
        <f>HYPERLINK("http://dx.doi.org/10.1093/eurheartj/ehab544","http://dx.doi.org/10.1093/eurheartj/ehab544")</f>
        <v>http://dx.doi.org/10.1093/eurheartj/ehab544</v>
      </c>
      <c r="BG433" s="1" t="s">
        <v>74</v>
      </c>
      <c r="BH433" s="1" t="s">
        <v>3219</v>
      </c>
      <c r="BI433" s="1">
        <v>13.0</v>
      </c>
      <c r="BJ433" s="1" t="s">
        <v>2729</v>
      </c>
      <c r="BK433" s="1" t="s">
        <v>149</v>
      </c>
      <c r="BL433" s="1" t="s">
        <v>2730</v>
      </c>
      <c r="BM433" s="1" t="s">
        <v>9021</v>
      </c>
      <c r="BN433" s="1">
        <v>3.4392353E7</v>
      </c>
      <c r="BO433" s="1" t="s">
        <v>7447</v>
      </c>
      <c r="BP433" s="1" t="s">
        <v>74</v>
      </c>
      <c r="BQ433" s="1" t="s">
        <v>74</v>
      </c>
      <c r="BR433" s="1" t="s">
        <v>102</v>
      </c>
      <c r="BS433" s="1" t="s">
        <v>9022</v>
      </c>
      <c r="BT433" s="1" t="str">
        <f>HYPERLINK("https%3A%2F%2Fwww.webofscience.com%2Fwos%2Fwoscc%2Ffull-record%2FWOS:000709473800007","View Full Record in Web of Science")</f>
        <v>View Full Record in Web of Science</v>
      </c>
    </row>
    <row r="434" ht="12.75" customHeight="1">
      <c r="A434" s="1" t="s">
        <v>132</v>
      </c>
      <c r="B434" s="1" t="s">
        <v>9023</v>
      </c>
      <c r="C434" s="1" t="s">
        <v>74</v>
      </c>
      <c r="D434" s="1" t="s">
        <v>74</v>
      </c>
      <c r="E434" s="1" t="s">
        <v>74</v>
      </c>
      <c r="F434" s="1" t="s">
        <v>9024</v>
      </c>
      <c r="G434" s="1" t="s">
        <v>74</v>
      </c>
      <c r="H434" s="1" t="s">
        <v>74</v>
      </c>
      <c r="I434" s="1" t="s">
        <v>9025</v>
      </c>
      <c r="J434" s="1" t="s">
        <v>5039</v>
      </c>
      <c r="K434" s="1" t="s">
        <v>74</v>
      </c>
      <c r="L434" s="1" t="s">
        <v>74</v>
      </c>
      <c r="M434" s="1" t="s">
        <v>80</v>
      </c>
      <c r="N434" s="1" t="s">
        <v>136</v>
      </c>
      <c r="O434" s="1" t="s">
        <v>74</v>
      </c>
      <c r="P434" s="1" t="s">
        <v>74</v>
      </c>
      <c r="Q434" s="1" t="s">
        <v>74</v>
      </c>
      <c r="R434" s="1" t="s">
        <v>74</v>
      </c>
      <c r="S434" s="1" t="s">
        <v>74</v>
      </c>
      <c r="T434" s="1" t="s">
        <v>9026</v>
      </c>
      <c r="U434" s="1" t="s">
        <v>9027</v>
      </c>
      <c r="V434" s="1" t="s">
        <v>9028</v>
      </c>
      <c r="W434" s="1" t="s">
        <v>9029</v>
      </c>
      <c r="X434" s="1" t="s">
        <v>9030</v>
      </c>
      <c r="Y434" s="1" t="s">
        <v>9031</v>
      </c>
      <c r="Z434" s="1" t="s">
        <v>9032</v>
      </c>
      <c r="AA434" s="1" t="s">
        <v>6337</v>
      </c>
      <c r="AB434" s="1" t="s">
        <v>6338</v>
      </c>
      <c r="AC434" s="1" t="s">
        <v>6339</v>
      </c>
      <c r="AD434" s="1" t="s">
        <v>6340</v>
      </c>
      <c r="AE434" s="1" t="s">
        <v>9033</v>
      </c>
      <c r="AF434" s="1" t="s">
        <v>74</v>
      </c>
      <c r="AG434" s="1">
        <v>96.0</v>
      </c>
      <c r="AH434" s="1">
        <v>29.0</v>
      </c>
      <c r="AI434" s="1">
        <v>30.0</v>
      </c>
      <c r="AJ434" s="1">
        <v>51.0</v>
      </c>
      <c r="AK434" s="1">
        <v>293.0</v>
      </c>
      <c r="AL434" s="1" t="s">
        <v>1528</v>
      </c>
      <c r="AM434" s="1" t="s">
        <v>1529</v>
      </c>
      <c r="AN434" s="1" t="s">
        <v>1530</v>
      </c>
      <c r="AO434" s="1" t="s">
        <v>5051</v>
      </c>
      <c r="AP434" s="1" t="s">
        <v>5052</v>
      </c>
      <c r="AQ434" s="1" t="s">
        <v>74</v>
      </c>
      <c r="AR434" s="1" t="s">
        <v>5053</v>
      </c>
      <c r="AS434" s="1" t="s">
        <v>5054</v>
      </c>
      <c r="AT434" s="1" t="s">
        <v>1301</v>
      </c>
      <c r="AU434" s="1">
        <v>2023.0</v>
      </c>
      <c r="AV434" s="1">
        <v>30.0</v>
      </c>
      <c r="AW434" s="1">
        <v>6.0</v>
      </c>
      <c r="AX434" s="1" t="s">
        <v>74</v>
      </c>
      <c r="AY434" s="1" t="s">
        <v>74</v>
      </c>
      <c r="AZ434" s="1" t="s">
        <v>74</v>
      </c>
      <c r="BA434" s="1" t="s">
        <v>74</v>
      </c>
      <c r="BB434" s="1">
        <v>16418.0</v>
      </c>
      <c r="BC434" s="1">
        <v>16437.0</v>
      </c>
      <c r="BD434" s="1" t="s">
        <v>74</v>
      </c>
      <c r="BE434" s="1" t="s">
        <v>9034</v>
      </c>
      <c r="BF434" s="2" t="str">
        <f>HYPERLINK("http://dx.doi.org/10.1007/s11356-022-23320-1","http://dx.doi.org/10.1007/s11356-022-23320-1")</f>
        <v>http://dx.doi.org/10.1007/s11356-022-23320-1</v>
      </c>
      <c r="BG434" s="1" t="s">
        <v>74</v>
      </c>
      <c r="BH434" s="1" t="s">
        <v>9035</v>
      </c>
      <c r="BI434" s="1">
        <v>20.0</v>
      </c>
      <c r="BJ434" s="1" t="s">
        <v>893</v>
      </c>
      <c r="BK434" s="1" t="s">
        <v>149</v>
      </c>
      <c r="BL434" s="1" t="s">
        <v>894</v>
      </c>
      <c r="BM434" s="1" t="s">
        <v>9036</v>
      </c>
      <c r="BN434" s="1">
        <v>3.6184706E7</v>
      </c>
      <c r="BO434" s="1" t="s">
        <v>74</v>
      </c>
      <c r="BP434" s="1" t="s">
        <v>74</v>
      </c>
      <c r="BQ434" s="1" t="s">
        <v>74</v>
      </c>
      <c r="BR434" s="1" t="s">
        <v>102</v>
      </c>
      <c r="BS434" s="1" t="s">
        <v>9037</v>
      </c>
      <c r="BT434" s="1" t="str">
        <f>HYPERLINK("https%3A%2F%2Fwww.webofscience.com%2Fwos%2Fwoscc%2Ffull-record%2FWOS:000864208400006","View Full Record in Web of Science")</f>
        <v>View Full Record in Web of Science</v>
      </c>
    </row>
    <row r="435" ht="12.75" customHeight="1">
      <c r="A435" s="1" t="s">
        <v>132</v>
      </c>
      <c r="B435" s="1" t="s">
        <v>9038</v>
      </c>
      <c r="C435" s="1" t="s">
        <v>74</v>
      </c>
      <c r="D435" s="1" t="s">
        <v>74</v>
      </c>
      <c r="E435" s="1" t="s">
        <v>74</v>
      </c>
      <c r="F435" s="1" t="s">
        <v>9039</v>
      </c>
      <c r="G435" s="1" t="s">
        <v>74</v>
      </c>
      <c r="H435" s="1" t="s">
        <v>74</v>
      </c>
      <c r="I435" s="1" t="s">
        <v>9040</v>
      </c>
      <c r="J435" s="1" t="s">
        <v>9041</v>
      </c>
      <c r="K435" s="1" t="s">
        <v>74</v>
      </c>
      <c r="L435" s="1" t="s">
        <v>74</v>
      </c>
      <c r="M435" s="1" t="s">
        <v>80</v>
      </c>
      <c r="N435" s="1" t="s">
        <v>136</v>
      </c>
      <c r="O435" s="1" t="s">
        <v>74</v>
      </c>
      <c r="P435" s="1" t="s">
        <v>74</v>
      </c>
      <c r="Q435" s="1" t="s">
        <v>74</v>
      </c>
      <c r="R435" s="1" t="s">
        <v>74</v>
      </c>
      <c r="S435" s="1" t="s">
        <v>74</v>
      </c>
      <c r="T435" s="1" t="s">
        <v>9042</v>
      </c>
      <c r="U435" s="1" t="s">
        <v>9043</v>
      </c>
      <c r="V435" s="1" t="s">
        <v>9044</v>
      </c>
      <c r="W435" s="1" t="s">
        <v>9045</v>
      </c>
      <c r="X435" s="1" t="s">
        <v>8667</v>
      </c>
      <c r="Y435" s="1" t="s">
        <v>8668</v>
      </c>
      <c r="Z435" s="1" t="s">
        <v>9046</v>
      </c>
      <c r="AA435" s="1" t="s">
        <v>74</v>
      </c>
      <c r="AB435" s="1" t="s">
        <v>74</v>
      </c>
      <c r="AC435" s="1" t="s">
        <v>74</v>
      </c>
      <c r="AD435" s="1" t="s">
        <v>74</v>
      </c>
      <c r="AE435" s="1" t="s">
        <v>74</v>
      </c>
      <c r="AF435" s="1" t="s">
        <v>74</v>
      </c>
      <c r="AG435" s="1">
        <v>75.0</v>
      </c>
      <c r="AH435" s="1">
        <v>0.0</v>
      </c>
      <c r="AI435" s="1">
        <v>0.0</v>
      </c>
      <c r="AJ435" s="1">
        <v>0.0</v>
      </c>
      <c r="AK435" s="1">
        <v>0.0</v>
      </c>
      <c r="AL435" s="1" t="s">
        <v>9047</v>
      </c>
      <c r="AM435" s="1" t="s">
        <v>648</v>
      </c>
      <c r="AN435" s="1" t="s">
        <v>9048</v>
      </c>
      <c r="AO435" s="1" t="s">
        <v>9049</v>
      </c>
      <c r="AP435" s="1" t="s">
        <v>9050</v>
      </c>
      <c r="AQ435" s="1" t="s">
        <v>74</v>
      </c>
      <c r="AR435" s="1" t="s">
        <v>9051</v>
      </c>
      <c r="AS435" s="1" t="s">
        <v>9052</v>
      </c>
      <c r="AT435" s="1" t="s">
        <v>2098</v>
      </c>
      <c r="AU435" s="1">
        <v>2024.0</v>
      </c>
      <c r="AV435" s="1">
        <v>200.0</v>
      </c>
      <c r="AW435" s="1">
        <v>811.0</v>
      </c>
      <c r="AX435" s="1" t="s">
        <v>74</v>
      </c>
      <c r="AY435" s="1" t="s">
        <v>74</v>
      </c>
      <c r="AZ435" s="1" t="s">
        <v>74</v>
      </c>
      <c r="BA435" s="1" t="s">
        <v>74</v>
      </c>
      <c r="BB435" s="1" t="s">
        <v>74</v>
      </c>
      <c r="BC435" s="1" t="s">
        <v>74</v>
      </c>
      <c r="BD435" s="1">
        <v>2569.0</v>
      </c>
      <c r="BE435" s="1" t="s">
        <v>9053</v>
      </c>
      <c r="BF435" s="2" t="str">
        <f>HYPERLINK("http://dx.doi.org/10.3989/arbor.2024.811.2569","http://dx.doi.org/10.3989/arbor.2024.811.2569")</f>
        <v>http://dx.doi.org/10.3989/arbor.2024.811.2569</v>
      </c>
      <c r="BG435" s="1" t="s">
        <v>74</v>
      </c>
      <c r="BH435" s="1" t="s">
        <v>74</v>
      </c>
      <c r="BI435" s="1">
        <v>13.0</v>
      </c>
      <c r="BJ435" s="1" t="s">
        <v>9054</v>
      </c>
      <c r="BK435" s="1" t="s">
        <v>3391</v>
      </c>
      <c r="BL435" s="1" t="s">
        <v>9055</v>
      </c>
      <c r="BM435" s="1" t="s">
        <v>9056</v>
      </c>
      <c r="BN435" s="1" t="s">
        <v>74</v>
      </c>
      <c r="BO435" s="1" t="s">
        <v>174</v>
      </c>
      <c r="BP435" s="1" t="s">
        <v>74</v>
      </c>
      <c r="BQ435" s="1" t="s">
        <v>74</v>
      </c>
      <c r="BR435" s="1" t="s">
        <v>102</v>
      </c>
      <c r="BS435" s="1" t="s">
        <v>9057</v>
      </c>
      <c r="BT435" s="1" t="str">
        <f>HYPERLINK("https%3A%2F%2Fwww.webofscience.com%2Fwos%2Fwoscc%2Ffull-record%2FWOS:001347375000011","View Full Record in Web of Science")</f>
        <v>View Full Record in Web of Science</v>
      </c>
    </row>
    <row r="436" ht="12.75" customHeight="1">
      <c r="A436" s="1" t="s">
        <v>132</v>
      </c>
      <c r="B436" s="1" t="s">
        <v>9058</v>
      </c>
      <c r="C436" s="1" t="s">
        <v>74</v>
      </c>
      <c r="D436" s="1" t="s">
        <v>74</v>
      </c>
      <c r="E436" s="1" t="s">
        <v>74</v>
      </c>
      <c r="F436" s="1" t="s">
        <v>9059</v>
      </c>
      <c r="G436" s="1" t="s">
        <v>74</v>
      </c>
      <c r="H436" s="1" t="s">
        <v>74</v>
      </c>
      <c r="I436" s="1" t="s">
        <v>9060</v>
      </c>
      <c r="J436" s="1" t="s">
        <v>9061</v>
      </c>
      <c r="K436" s="1" t="s">
        <v>74</v>
      </c>
      <c r="L436" s="1" t="s">
        <v>74</v>
      </c>
      <c r="M436" s="1" t="s">
        <v>80</v>
      </c>
      <c r="N436" s="1" t="s">
        <v>136</v>
      </c>
      <c r="O436" s="1" t="s">
        <v>74</v>
      </c>
      <c r="P436" s="1" t="s">
        <v>74</v>
      </c>
      <c r="Q436" s="1" t="s">
        <v>74</v>
      </c>
      <c r="R436" s="1" t="s">
        <v>74</v>
      </c>
      <c r="S436" s="1" t="s">
        <v>74</v>
      </c>
      <c r="T436" s="1" t="s">
        <v>9062</v>
      </c>
      <c r="U436" s="1" t="s">
        <v>3794</v>
      </c>
      <c r="V436" s="1" t="s">
        <v>9063</v>
      </c>
      <c r="W436" s="1" t="s">
        <v>9064</v>
      </c>
      <c r="X436" s="1" t="s">
        <v>6465</v>
      </c>
      <c r="Y436" s="1" t="s">
        <v>9065</v>
      </c>
      <c r="Z436" s="1" t="s">
        <v>74</v>
      </c>
      <c r="AA436" s="1" t="s">
        <v>74</v>
      </c>
      <c r="AB436" s="1" t="s">
        <v>9066</v>
      </c>
      <c r="AC436" s="1" t="s">
        <v>9067</v>
      </c>
      <c r="AD436" s="1" t="s">
        <v>9068</v>
      </c>
      <c r="AE436" s="1" t="s">
        <v>9069</v>
      </c>
      <c r="AF436" s="1" t="s">
        <v>74</v>
      </c>
      <c r="AG436" s="1">
        <v>84.0</v>
      </c>
      <c r="AH436" s="1">
        <v>23.0</v>
      </c>
      <c r="AI436" s="1">
        <v>23.0</v>
      </c>
      <c r="AJ436" s="1">
        <v>12.0</v>
      </c>
      <c r="AK436" s="1">
        <v>88.0</v>
      </c>
      <c r="AL436" s="1" t="s">
        <v>4583</v>
      </c>
      <c r="AM436" s="1" t="s">
        <v>4584</v>
      </c>
      <c r="AN436" s="1" t="s">
        <v>4585</v>
      </c>
      <c r="AO436" s="1" t="s">
        <v>9070</v>
      </c>
      <c r="AP436" s="1" t="s">
        <v>9071</v>
      </c>
      <c r="AQ436" s="1" t="s">
        <v>74</v>
      </c>
      <c r="AR436" s="1" t="s">
        <v>9072</v>
      </c>
      <c r="AS436" s="1" t="s">
        <v>9073</v>
      </c>
      <c r="AT436" s="1" t="s">
        <v>870</v>
      </c>
      <c r="AU436" s="1">
        <v>2020.0</v>
      </c>
      <c r="AV436" s="1">
        <v>5.0</v>
      </c>
      <c r="AW436" s="1">
        <v>1.0</v>
      </c>
      <c r="AX436" s="1" t="s">
        <v>74</v>
      </c>
      <c r="AY436" s="1" t="s">
        <v>74</v>
      </c>
      <c r="AZ436" s="1" t="s">
        <v>74</v>
      </c>
      <c r="BA436" s="1" t="s">
        <v>74</v>
      </c>
      <c r="BB436" s="1">
        <v>84.0</v>
      </c>
      <c r="BC436" s="1">
        <v>104.0</v>
      </c>
      <c r="BD436" s="1" t="s">
        <v>74</v>
      </c>
      <c r="BE436" s="1" t="s">
        <v>9074</v>
      </c>
      <c r="BF436" s="2" t="str">
        <f>HYPERLINK("http://dx.doi.org/10.1017/bhj.2019.28","http://dx.doi.org/10.1017/bhj.2019.28")</f>
        <v>http://dx.doi.org/10.1017/bhj.2019.28</v>
      </c>
      <c r="BG436" s="1" t="s">
        <v>74</v>
      </c>
      <c r="BH436" s="1" t="s">
        <v>74</v>
      </c>
      <c r="BI436" s="1">
        <v>21.0</v>
      </c>
      <c r="BJ436" s="1" t="s">
        <v>9001</v>
      </c>
      <c r="BK436" s="1" t="s">
        <v>172</v>
      </c>
      <c r="BL436" s="1" t="s">
        <v>9002</v>
      </c>
      <c r="BM436" s="1" t="s">
        <v>9075</v>
      </c>
      <c r="BN436" s="1" t="s">
        <v>74</v>
      </c>
      <c r="BO436" s="1" t="s">
        <v>74</v>
      </c>
      <c r="BP436" s="1" t="s">
        <v>74</v>
      </c>
      <c r="BQ436" s="1" t="s">
        <v>74</v>
      </c>
      <c r="BR436" s="1" t="s">
        <v>102</v>
      </c>
      <c r="BS436" s="1" t="s">
        <v>9076</v>
      </c>
      <c r="BT436" s="1" t="str">
        <f>HYPERLINK("https%3A%2F%2Fwww.webofscience.com%2Fwos%2Fwoscc%2Ffull-record%2FWOS:000525138700004","View Full Record in Web of Science")</f>
        <v>View Full Record in Web of Science</v>
      </c>
    </row>
    <row r="437" ht="12.75" customHeight="1">
      <c r="A437" s="1" t="s">
        <v>132</v>
      </c>
      <c r="B437" s="1" t="s">
        <v>9077</v>
      </c>
      <c r="C437" s="1" t="s">
        <v>74</v>
      </c>
      <c r="D437" s="1" t="s">
        <v>74</v>
      </c>
      <c r="E437" s="1" t="s">
        <v>74</v>
      </c>
      <c r="F437" s="1" t="s">
        <v>9078</v>
      </c>
      <c r="G437" s="1" t="s">
        <v>74</v>
      </c>
      <c r="H437" s="1" t="s">
        <v>74</v>
      </c>
      <c r="I437" s="1" t="s">
        <v>9079</v>
      </c>
      <c r="J437" s="1" t="s">
        <v>9080</v>
      </c>
      <c r="K437" s="1" t="s">
        <v>74</v>
      </c>
      <c r="L437" s="1" t="s">
        <v>74</v>
      </c>
      <c r="M437" s="1" t="s">
        <v>80</v>
      </c>
      <c r="N437" s="1" t="s">
        <v>136</v>
      </c>
      <c r="O437" s="1" t="s">
        <v>74</v>
      </c>
      <c r="P437" s="1" t="s">
        <v>74</v>
      </c>
      <c r="Q437" s="1" t="s">
        <v>74</v>
      </c>
      <c r="R437" s="1" t="s">
        <v>74</v>
      </c>
      <c r="S437" s="1" t="s">
        <v>74</v>
      </c>
      <c r="T437" s="1" t="s">
        <v>9081</v>
      </c>
      <c r="U437" s="1" t="s">
        <v>74</v>
      </c>
      <c r="V437" s="1" t="s">
        <v>9082</v>
      </c>
      <c r="W437" s="1" t="s">
        <v>9083</v>
      </c>
      <c r="X437" s="1" t="s">
        <v>9084</v>
      </c>
      <c r="Y437" s="1" t="s">
        <v>9085</v>
      </c>
      <c r="Z437" s="1" t="s">
        <v>9086</v>
      </c>
      <c r="AA437" s="1" t="s">
        <v>9087</v>
      </c>
      <c r="AB437" s="1" t="s">
        <v>74</v>
      </c>
      <c r="AC437" s="1" t="s">
        <v>74</v>
      </c>
      <c r="AD437" s="1" t="s">
        <v>74</v>
      </c>
      <c r="AE437" s="1" t="s">
        <v>74</v>
      </c>
      <c r="AF437" s="1" t="s">
        <v>74</v>
      </c>
      <c r="AG437" s="1">
        <v>15.0</v>
      </c>
      <c r="AH437" s="1">
        <v>0.0</v>
      </c>
      <c r="AI437" s="1">
        <v>0.0</v>
      </c>
      <c r="AJ437" s="1">
        <v>0.0</v>
      </c>
      <c r="AK437" s="1">
        <v>0.0</v>
      </c>
      <c r="AL437" s="1" t="s">
        <v>9088</v>
      </c>
      <c r="AM437" s="1" t="s">
        <v>9089</v>
      </c>
      <c r="AN437" s="1" t="s">
        <v>9090</v>
      </c>
      <c r="AO437" s="1" t="s">
        <v>9091</v>
      </c>
      <c r="AP437" s="1" t="s">
        <v>9092</v>
      </c>
      <c r="AQ437" s="1" t="s">
        <v>74</v>
      </c>
      <c r="AR437" s="1" t="s">
        <v>9093</v>
      </c>
      <c r="AS437" s="1" t="s">
        <v>9094</v>
      </c>
      <c r="AT437" s="1" t="s">
        <v>1279</v>
      </c>
      <c r="AU437" s="1">
        <v>2022.0</v>
      </c>
      <c r="AV437" s="1">
        <v>50.0</v>
      </c>
      <c r="AW437" s="1" t="s">
        <v>74</v>
      </c>
      <c r="AX437" s="1" t="s">
        <v>74</v>
      </c>
      <c r="AY437" s="1" t="s">
        <v>74</v>
      </c>
      <c r="AZ437" s="1" t="s">
        <v>474</v>
      </c>
      <c r="BA437" s="1" t="s">
        <v>74</v>
      </c>
      <c r="BB437" s="1">
        <v>251.0</v>
      </c>
      <c r="BC437" s="1">
        <v>262.0</v>
      </c>
      <c r="BD437" s="1" t="s">
        <v>74</v>
      </c>
      <c r="BE437" s="1" t="s">
        <v>9095</v>
      </c>
      <c r="BF437" s="2" t="str">
        <f>HYPERLINK("http://dx.doi.org/10.4038/jnsfsr.v50i0.11242","http://dx.doi.org/10.4038/jnsfsr.v50i0.11242")</f>
        <v>http://dx.doi.org/10.4038/jnsfsr.v50i0.11242</v>
      </c>
      <c r="BG437" s="1" t="s">
        <v>74</v>
      </c>
      <c r="BH437" s="1" t="s">
        <v>74</v>
      </c>
      <c r="BI437" s="1">
        <v>12.0</v>
      </c>
      <c r="BJ437" s="1" t="s">
        <v>4714</v>
      </c>
      <c r="BK437" s="1" t="s">
        <v>149</v>
      </c>
      <c r="BL437" s="1" t="s">
        <v>4715</v>
      </c>
      <c r="BM437" s="1" t="s">
        <v>9096</v>
      </c>
      <c r="BN437" s="1" t="s">
        <v>74</v>
      </c>
      <c r="BO437" s="1" t="s">
        <v>174</v>
      </c>
      <c r="BP437" s="1" t="s">
        <v>74</v>
      </c>
      <c r="BQ437" s="1" t="s">
        <v>74</v>
      </c>
      <c r="BR437" s="1" t="s">
        <v>102</v>
      </c>
      <c r="BS437" s="1" t="s">
        <v>9097</v>
      </c>
      <c r="BT437" s="1" t="str">
        <f>HYPERLINK("https%3A%2F%2Fwww.webofscience.com%2Fwos%2Fwoscc%2Ffull-record%2FWOS:000891153200007","View Full Record in Web of Science")</f>
        <v>View Full Record in Web of Science</v>
      </c>
    </row>
    <row r="438" ht="12.75" customHeight="1">
      <c r="A438" s="1" t="s">
        <v>132</v>
      </c>
      <c r="B438" s="1" t="s">
        <v>9098</v>
      </c>
      <c r="C438" s="1" t="s">
        <v>74</v>
      </c>
      <c r="D438" s="1" t="s">
        <v>74</v>
      </c>
      <c r="E438" s="1" t="s">
        <v>74</v>
      </c>
      <c r="F438" s="1" t="s">
        <v>9099</v>
      </c>
      <c r="G438" s="1" t="s">
        <v>74</v>
      </c>
      <c r="H438" s="1" t="s">
        <v>74</v>
      </c>
      <c r="I438" s="1" t="s">
        <v>9100</v>
      </c>
      <c r="J438" s="1" t="s">
        <v>9101</v>
      </c>
      <c r="K438" s="1" t="s">
        <v>74</v>
      </c>
      <c r="L438" s="1" t="s">
        <v>74</v>
      </c>
      <c r="M438" s="1" t="s">
        <v>80</v>
      </c>
      <c r="N438" s="1" t="s">
        <v>136</v>
      </c>
      <c r="O438" s="1" t="s">
        <v>74</v>
      </c>
      <c r="P438" s="1" t="s">
        <v>74</v>
      </c>
      <c r="Q438" s="1" t="s">
        <v>74</v>
      </c>
      <c r="R438" s="1" t="s">
        <v>74</v>
      </c>
      <c r="S438" s="1" t="s">
        <v>74</v>
      </c>
      <c r="T438" s="1" t="s">
        <v>9102</v>
      </c>
      <c r="U438" s="1" t="s">
        <v>74</v>
      </c>
      <c r="V438" s="1" t="s">
        <v>9103</v>
      </c>
      <c r="W438" s="1" t="s">
        <v>9104</v>
      </c>
      <c r="X438" s="1" t="s">
        <v>9105</v>
      </c>
      <c r="Y438" s="1" t="s">
        <v>9106</v>
      </c>
      <c r="Z438" s="1" t="s">
        <v>9107</v>
      </c>
      <c r="AA438" s="1" t="s">
        <v>74</v>
      </c>
      <c r="AB438" s="1" t="s">
        <v>74</v>
      </c>
      <c r="AC438" s="1" t="s">
        <v>74</v>
      </c>
      <c r="AD438" s="1" t="s">
        <v>74</v>
      </c>
      <c r="AE438" s="1" t="s">
        <v>74</v>
      </c>
      <c r="AF438" s="1" t="s">
        <v>74</v>
      </c>
      <c r="AG438" s="1">
        <v>64.0</v>
      </c>
      <c r="AH438" s="1">
        <v>9.0</v>
      </c>
      <c r="AI438" s="1">
        <v>9.0</v>
      </c>
      <c r="AJ438" s="1">
        <v>9.0</v>
      </c>
      <c r="AK438" s="1">
        <v>90.0</v>
      </c>
      <c r="AL438" s="1" t="s">
        <v>2928</v>
      </c>
      <c r="AM438" s="1" t="s">
        <v>1090</v>
      </c>
      <c r="AN438" s="1" t="s">
        <v>2929</v>
      </c>
      <c r="AO438" s="1" t="s">
        <v>9108</v>
      </c>
      <c r="AP438" s="1" t="s">
        <v>9109</v>
      </c>
      <c r="AQ438" s="1" t="s">
        <v>74</v>
      </c>
      <c r="AR438" s="1" t="s">
        <v>9110</v>
      </c>
      <c r="AS438" s="1" t="s">
        <v>9111</v>
      </c>
      <c r="AT438" s="1" t="s">
        <v>9112</v>
      </c>
      <c r="AU438" s="1">
        <v>2021.0</v>
      </c>
      <c r="AV438" s="1">
        <v>37.0</v>
      </c>
      <c r="AW438" s="1">
        <v>3.0</v>
      </c>
      <c r="AX438" s="1" t="s">
        <v>74</v>
      </c>
      <c r="AY438" s="1" t="s">
        <v>74</v>
      </c>
      <c r="AZ438" s="1" t="s">
        <v>474</v>
      </c>
      <c r="BA438" s="1" t="s">
        <v>74</v>
      </c>
      <c r="BB438" s="1">
        <v>417.0</v>
      </c>
      <c r="BC438" s="1">
        <v>434.0</v>
      </c>
      <c r="BD438" s="1" t="s">
        <v>74</v>
      </c>
      <c r="BE438" s="1" t="s">
        <v>9113</v>
      </c>
      <c r="BF438" s="2" t="str">
        <f>HYPERLINK("http://dx.doi.org/10.1093/oxrep/grab015","http://dx.doi.org/10.1093/oxrep/grab015")</f>
        <v>http://dx.doi.org/10.1093/oxrep/grab015</v>
      </c>
      <c r="BG438" s="1" t="s">
        <v>74</v>
      </c>
      <c r="BH438" s="1" t="s">
        <v>74</v>
      </c>
      <c r="BI438" s="1">
        <v>18.0</v>
      </c>
      <c r="BJ438" s="1" t="s">
        <v>202</v>
      </c>
      <c r="BK438" s="1" t="s">
        <v>203</v>
      </c>
      <c r="BL438" s="1" t="s">
        <v>204</v>
      </c>
      <c r="BM438" s="1" t="s">
        <v>9114</v>
      </c>
      <c r="BN438" s="1" t="s">
        <v>74</v>
      </c>
      <c r="BO438" s="1" t="s">
        <v>74</v>
      </c>
      <c r="BP438" s="1" t="s">
        <v>74</v>
      </c>
      <c r="BQ438" s="1" t="s">
        <v>74</v>
      </c>
      <c r="BR438" s="1" t="s">
        <v>102</v>
      </c>
      <c r="BS438" s="1" t="s">
        <v>9115</v>
      </c>
      <c r="BT438" s="1" t="str">
        <f>HYPERLINK("https%3A%2F%2Fwww.webofscience.com%2Fwos%2Fwoscc%2Ffull-record%2FWOS:000704017400001","View Full Record in Web of Science")</f>
        <v>View Full Record in Web of Science</v>
      </c>
    </row>
    <row r="439" ht="12.75" customHeight="1">
      <c r="A439" s="1" t="s">
        <v>132</v>
      </c>
      <c r="B439" s="1" t="s">
        <v>9116</v>
      </c>
      <c r="C439" s="1" t="s">
        <v>74</v>
      </c>
      <c r="D439" s="1" t="s">
        <v>74</v>
      </c>
      <c r="E439" s="1" t="s">
        <v>74</v>
      </c>
      <c r="F439" s="1" t="s">
        <v>9117</v>
      </c>
      <c r="G439" s="1" t="s">
        <v>74</v>
      </c>
      <c r="H439" s="1" t="s">
        <v>74</v>
      </c>
      <c r="I439" s="1" t="s">
        <v>9118</v>
      </c>
      <c r="J439" s="1" t="s">
        <v>263</v>
      </c>
      <c r="K439" s="1" t="s">
        <v>74</v>
      </c>
      <c r="L439" s="1" t="s">
        <v>74</v>
      </c>
      <c r="M439" s="1" t="s">
        <v>80</v>
      </c>
      <c r="N439" s="1" t="s">
        <v>136</v>
      </c>
      <c r="O439" s="1" t="s">
        <v>74</v>
      </c>
      <c r="P439" s="1" t="s">
        <v>74</v>
      </c>
      <c r="Q439" s="1" t="s">
        <v>74</v>
      </c>
      <c r="R439" s="1" t="s">
        <v>74</v>
      </c>
      <c r="S439" s="1" t="s">
        <v>74</v>
      </c>
      <c r="T439" s="1" t="s">
        <v>9119</v>
      </c>
      <c r="U439" s="1" t="s">
        <v>9120</v>
      </c>
      <c r="V439" s="1" t="s">
        <v>9121</v>
      </c>
      <c r="W439" s="1" t="s">
        <v>9122</v>
      </c>
      <c r="X439" s="1" t="s">
        <v>9123</v>
      </c>
      <c r="Y439" s="1" t="s">
        <v>9124</v>
      </c>
      <c r="Z439" s="1" t="s">
        <v>9125</v>
      </c>
      <c r="AA439" s="1" t="s">
        <v>74</v>
      </c>
      <c r="AB439" s="1" t="s">
        <v>74</v>
      </c>
      <c r="AC439" s="1" t="s">
        <v>74</v>
      </c>
      <c r="AD439" s="1" t="s">
        <v>74</v>
      </c>
      <c r="AE439" s="1" t="s">
        <v>74</v>
      </c>
      <c r="AF439" s="1" t="s">
        <v>74</v>
      </c>
      <c r="AG439" s="1">
        <v>38.0</v>
      </c>
      <c r="AH439" s="1">
        <v>15.0</v>
      </c>
      <c r="AI439" s="1">
        <v>15.0</v>
      </c>
      <c r="AJ439" s="1">
        <v>33.0</v>
      </c>
      <c r="AK439" s="1">
        <v>134.0</v>
      </c>
      <c r="AL439" s="1" t="s">
        <v>275</v>
      </c>
      <c r="AM439" s="1" t="s">
        <v>276</v>
      </c>
      <c r="AN439" s="1" t="s">
        <v>277</v>
      </c>
      <c r="AO439" s="1" t="s">
        <v>74</v>
      </c>
      <c r="AP439" s="1" t="s">
        <v>278</v>
      </c>
      <c r="AQ439" s="1" t="s">
        <v>74</v>
      </c>
      <c r="AR439" s="1" t="s">
        <v>279</v>
      </c>
      <c r="AS439" s="1" t="s">
        <v>280</v>
      </c>
      <c r="AT439" s="1" t="s">
        <v>7941</v>
      </c>
      <c r="AU439" s="1">
        <v>2022.0</v>
      </c>
      <c r="AV439" s="1">
        <v>5.0</v>
      </c>
      <c r="AW439" s="1" t="s">
        <v>74</v>
      </c>
      <c r="AX439" s="1" t="s">
        <v>74</v>
      </c>
      <c r="AY439" s="1" t="s">
        <v>74</v>
      </c>
      <c r="AZ439" s="1" t="s">
        <v>74</v>
      </c>
      <c r="BA439" s="1" t="s">
        <v>74</v>
      </c>
      <c r="BB439" s="1" t="s">
        <v>74</v>
      </c>
      <c r="BC439" s="1" t="s">
        <v>74</v>
      </c>
      <c r="BD439" s="1">
        <v>832736.0</v>
      </c>
      <c r="BE439" s="1" t="s">
        <v>9126</v>
      </c>
      <c r="BF439" s="2" t="str">
        <f>HYPERLINK("http://dx.doi.org/10.3389/frai.2022.832736","http://dx.doi.org/10.3389/frai.2022.832736")</f>
        <v>http://dx.doi.org/10.3389/frai.2022.832736</v>
      </c>
      <c r="BG439" s="1" t="s">
        <v>74</v>
      </c>
      <c r="BH439" s="1" t="s">
        <v>74</v>
      </c>
      <c r="BI439" s="1">
        <v>29.0</v>
      </c>
      <c r="BJ439" s="1" t="s">
        <v>282</v>
      </c>
      <c r="BK439" s="1" t="s">
        <v>172</v>
      </c>
      <c r="BL439" s="1" t="s">
        <v>232</v>
      </c>
      <c r="BM439" s="1" t="s">
        <v>9127</v>
      </c>
      <c r="BN439" s="1">
        <v>3.5620279E7</v>
      </c>
      <c r="BO439" s="1" t="s">
        <v>1667</v>
      </c>
      <c r="BP439" s="1" t="s">
        <v>74</v>
      </c>
      <c r="BQ439" s="1" t="s">
        <v>74</v>
      </c>
      <c r="BR439" s="1" t="s">
        <v>102</v>
      </c>
      <c r="BS439" s="1" t="s">
        <v>9128</v>
      </c>
      <c r="BT439" s="1" t="str">
        <f>HYPERLINK("https%3A%2F%2Fwww.webofscience.com%2Fwos%2Fwoscc%2Ffull-record%2FWOS:000918043700001","View Full Record in Web of Science")</f>
        <v>View Full Record in Web of Science</v>
      </c>
    </row>
    <row r="440" ht="12.75" customHeight="1">
      <c r="A440" s="1" t="s">
        <v>132</v>
      </c>
      <c r="B440" s="1" t="s">
        <v>9129</v>
      </c>
      <c r="C440" s="1" t="s">
        <v>74</v>
      </c>
      <c r="D440" s="1" t="s">
        <v>74</v>
      </c>
      <c r="E440" s="1" t="s">
        <v>74</v>
      </c>
      <c r="F440" s="1" t="s">
        <v>9130</v>
      </c>
      <c r="G440" s="1" t="s">
        <v>74</v>
      </c>
      <c r="H440" s="1" t="s">
        <v>74</v>
      </c>
      <c r="I440" s="1" t="s">
        <v>9131</v>
      </c>
      <c r="J440" s="1" t="s">
        <v>9132</v>
      </c>
      <c r="K440" s="1" t="s">
        <v>74</v>
      </c>
      <c r="L440" s="1" t="s">
        <v>74</v>
      </c>
      <c r="M440" s="1" t="s">
        <v>80</v>
      </c>
      <c r="N440" s="1" t="s">
        <v>136</v>
      </c>
      <c r="O440" s="1" t="s">
        <v>74</v>
      </c>
      <c r="P440" s="1" t="s">
        <v>74</v>
      </c>
      <c r="Q440" s="1" t="s">
        <v>74</v>
      </c>
      <c r="R440" s="1" t="s">
        <v>74</v>
      </c>
      <c r="S440" s="1" t="s">
        <v>74</v>
      </c>
      <c r="T440" s="1" t="s">
        <v>9133</v>
      </c>
      <c r="U440" s="1" t="s">
        <v>9134</v>
      </c>
      <c r="V440" s="1" t="s">
        <v>9135</v>
      </c>
      <c r="W440" s="1" t="s">
        <v>9136</v>
      </c>
      <c r="X440" s="1" t="s">
        <v>9137</v>
      </c>
      <c r="Y440" s="1" t="s">
        <v>9138</v>
      </c>
      <c r="Z440" s="1" t="s">
        <v>9139</v>
      </c>
      <c r="AA440" s="1" t="s">
        <v>74</v>
      </c>
      <c r="AB440" s="1" t="s">
        <v>9140</v>
      </c>
      <c r="AC440" s="1" t="s">
        <v>9141</v>
      </c>
      <c r="AD440" s="1" t="s">
        <v>9141</v>
      </c>
      <c r="AE440" s="1" t="s">
        <v>9142</v>
      </c>
      <c r="AF440" s="1" t="s">
        <v>74</v>
      </c>
      <c r="AG440" s="1">
        <v>142.0</v>
      </c>
      <c r="AH440" s="1">
        <v>2.0</v>
      </c>
      <c r="AI440" s="1">
        <v>2.0</v>
      </c>
      <c r="AJ440" s="1">
        <v>430.0</v>
      </c>
      <c r="AK440" s="1">
        <v>450.0</v>
      </c>
      <c r="AL440" s="1" t="s">
        <v>8311</v>
      </c>
      <c r="AM440" s="1" t="s">
        <v>8312</v>
      </c>
      <c r="AN440" s="1" t="s">
        <v>8313</v>
      </c>
      <c r="AO440" s="1" t="s">
        <v>9143</v>
      </c>
      <c r="AP440" s="1" t="s">
        <v>9144</v>
      </c>
      <c r="AQ440" s="1" t="s">
        <v>74</v>
      </c>
      <c r="AR440" s="1" t="s">
        <v>9145</v>
      </c>
      <c r="AS440" s="1" t="s">
        <v>9146</v>
      </c>
      <c r="AT440" s="1" t="s">
        <v>199</v>
      </c>
      <c r="AU440" s="1">
        <v>2024.0</v>
      </c>
      <c r="AV440" s="1">
        <v>109.0</v>
      </c>
      <c r="AW440" s="1">
        <v>11.0</v>
      </c>
      <c r="AX440" s="1" t="s">
        <v>74</v>
      </c>
      <c r="AY440" s="1" t="s">
        <v>74</v>
      </c>
      <c r="AZ440" s="1" t="s">
        <v>74</v>
      </c>
      <c r="BA440" s="1" t="s">
        <v>74</v>
      </c>
      <c r="BB440" s="1">
        <v>1794.0</v>
      </c>
      <c r="BC440" s="1">
        <v>1816.0</v>
      </c>
      <c r="BD440" s="1" t="s">
        <v>74</v>
      </c>
      <c r="BE440" s="1" t="s">
        <v>9147</v>
      </c>
      <c r="BF440" s="2" t="str">
        <f>HYPERLINK("http://dx.doi.org/10.1037/apl0001200","http://dx.doi.org/10.1037/apl0001200")</f>
        <v>http://dx.doi.org/10.1037/apl0001200</v>
      </c>
      <c r="BG440" s="1" t="s">
        <v>74</v>
      </c>
      <c r="BH440" s="1" t="s">
        <v>3129</v>
      </c>
      <c r="BI440" s="1">
        <v>23.0</v>
      </c>
      <c r="BJ440" s="1" t="s">
        <v>9148</v>
      </c>
      <c r="BK440" s="1" t="s">
        <v>203</v>
      </c>
      <c r="BL440" s="1" t="s">
        <v>9149</v>
      </c>
      <c r="BM440" s="1" t="s">
        <v>9150</v>
      </c>
      <c r="BN440" s="1">
        <v>3.8815093E7</v>
      </c>
      <c r="BO440" s="1" t="s">
        <v>306</v>
      </c>
      <c r="BP440" s="1" t="s">
        <v>74</v>
      </c>
      <c r="BQ440" s="1" t="s">
        <v>74</v>
      </c>
      <c r="BR440" s="1" t="s">
        <v>102</v>
      </c>
      <c r="BS440" s="1" t="s">
        <v>9151</v>
      </c>
      <c r="BT440" s="1" t="str">
        <f>HYPERLINK("https%3A%2F%2Fwww.webofscience.com%2Fwos%2Fwoscc%2Ffull-record%2FWOS:001300883100001","View Full Record in Web of Science")</f>
        <v>View Full Record in Web of Science</v>
      </c>
    </row>
    <row r="441" ht="12.75" customHeight="1">
      <c r="A441" s="1" t="s">
        <v>132</v>
      </c>
      <c r="B441" s="1" t="s">
        <v>9152</v>
      </c>
      <c r="C441" s="1" t="s">
        <v>74</v>
      </c>
      <c r="D441" s="1" t="s">
        <v>74</v>
      </c>
      <c r="E441" s="1" t="s">
        <v>74</v>
      </c>
      <c r="F441" s="1" t="s">
        <v>9153</v>
      </c>
      <c r="G441" s="1" t="s">
        <v>74</v>
      </c>
      <c r="H441" s="1" t="s">
        <v>74</v>
      </c>
      <c r="I441" s="1" t="s">
        <v>9154</v>
      </c>
      <c r="J441" s="1" t="s">
        <v>289</v>
      </c>
      <c r="K441" s="1" t="s">
        <v>74</v>
      </c>
      <c r="L441" s="1" t="s">
        <v>74</v>
      </c>
      <c r="M441" s="1" t="s">
        <v>80</v>
      </c>
      <c r="N441" s="1" t="s">
        <v>136</v>
      </c>
      <c r="O441" s="1" t="s">
        <v>74</v>
      </c>
      <c r="P441" s="1" t="s">
        <v>74</v>
      </c>
      <c r="Q441" s="1" t="s">
        <v>74</v>
      </c>
      <c r="R441" s="1" t="s">
        <v>74</v>
      </c>
      <c r="S441" s="1" t="s">
        <v>74</v>
      </c>
      <c r="T441" s="1" t="s">
        <v>9155</v>
      </c>
      <c r="U441" s="1" t="s">
        <v>74</v>
      </c>
      <c r="V441" s="1" t="s">
        <v>9156</v>
      </c>
      <c r="W441" s="1" t="s">
        <v>9157</v>
      </c>
      <c r="X441" s="1" t="s">
        <v>9158</v>
      </c>
      <c r="Y441" s="1" t="s">
        <v>9159</v>
      </c>
      <c r="Z441" s="1" t="s">
        <v>9160</v>
      </c>
      <c r="AA441" s="1" t="s">
        <v>74</v>
      </c>
      <c r="AB441" s="1" t="s">
        <v>9161</v>
      </c>
      <c r="AC441" s="1" t="s">
        <v>74</v>
      </c>
      <c r="AD441" s="1" t="s">
        <v>74</v>
      </c>
      <c r="AE441" s="1" t="s">
        <v>74</v>
      </c>
      <c r="AF441" s="1" t="s">
        <v>74</v>
      </c>
      <c r="AG441" s="1">
        <v>7.0</v>
      </c>
      <c r="AH441" s="1">
        <v>3.0</v>
      </c>
      <c r="AI441" s="1">
        <v>3.0</v>
      </c>
      <c r="AJ441" s="1">
        <v>17.0</v>
      </c>
      <c r="AK441" s="1">
        <v>48.0</v>
      </c>
      <c r="AL441" s="1" t="s">
        <v>296</v>
      </c>
      <c r="AM441" s="1" t="s">
        <v>297</v>
      </c>
      <c r="AN441" s="1" t="s">
        <v>298</v>
      </c>
      <c r="AO441" s="1" t="s">
        <v>299</v>
      </c>
      <c r="AP441" s="1" t="s">
        <v>300</v>
      </c>
      <c r="AQ441" s="1" t="s">
        <v>74</v>
      </c>
      <c r="AR441" s="1" t="s">
        <v>289</v>
      </c>
      <c r="AS441" s="1" t="s">
        <v>301</v>
      </c>
      <c r="AT441" s="1" t="s">
        <v>870</v>
      </c>
      <c r="AU441" s="1">
        <v>2024.0</v>
      </c>
      <c r="AV441" s="1">
        <v>57.0</v>
      </c>
      <c r="AW441" s="1">
        <v>1.0</v>
      </c>
      <c r="AX441" s="1" t="s">
        <v>74</v>
      </c>
      <c r="AY441" s="1" t="s">
        <v>74</v>
      </c>
      <c r="AZ441" s="1" t="s">
        <v>74</v>
      </c>
      <c r="BA441" s="1" t="s">
        <v>74</v>
      </c>
      <c r="BB441" s="1">
        <v>27.0</v>
      </c>
      <c r="BC441" s="1">
        <v>32.0</v>
      </c>
      <c r="BD441" s="1" t="s">
        <v>74</v>
      </c>
      <c r="BE441" s="1" t="s">
        <v>9162</v>
      </c>
      <c r="BF441" s="2" t="str">
        <f>HYPERLINK("http://dx.doi.org/10.1109/MC.2023.3306998","http://dx.doi.org/10.1109/MC.2023.3306998")</f>
        <v>http://dx.doi.org/10.1109/MC.2023.3306998</v>
      </c>
      <c r="BG441" s="1" t="s">
        <v>74</v>
      </c>
      <c r="BH441" s="1" t="s">
        <v>74</v>
      </c>
      <c r="BI441" s="1">
        <v>6.0</v>
      </c>
      <c r="BJ441" s="1" t="s">
        <v>304</v>
      </c>
      <c r="BK441" s="1" t="s">
        <v>149</v>
      </c>
      <c r="BL441" s="1" t="s">
        <v>232</v>
      </c>
      <c r="BM441" s="1" t="s">
        <v>9163</v>
      </c>
      <c r="BN441" s="1" t="s">
        <v>74</v>
      </c>
      <c r="BO441" s="1" t="s">
        <v>632</v>
      </c>
      <c r="BP441" s="1" t="s">
        <v>74</v>
      </c>
      <c r="BQ441" s="1" t="s">
        <v>74</v>
      </c>
      <c r="BR441" s="1" t="s">
        <v>102</v>
      </c>
      <c r="BS441" s="1" t="s">
        <v>9164</v>
      </c>
      <c r="BT441" s="1" t="str">
        <f>HYPERLINK("https%3A%2F%2Fwww.webofscience.com%2Fwos%2Fwoscc%2Ffull-record%2FWOS:001136783900007","View Full Record in Web of Science")</f>
        <v>View Full Record in Web of Science</v>
      </c>
    </row>
    <row r="442" ht="12.75" customHeight="1">
      <c r="A442" s="1" t="s">
        <v>132</v>
      </c>
      <c r="B442" s="1" t="s">
        <v>9165</v>
      </c>
      <c r="C442" s="1" t="s">
        <v>74</v>
      </c>
      <c r="D442" s="1" t="s">
        <v>74</v>
      </c>
      <c r="E442" s="1" t="s">
        <v>74</v>
      </c>
      <c r="F442" s="1" t="s">
        <v>9166</v>
      </c>
      <c r="G442" s="1" t="s">
        <v>74</v>
      </c>
      <c r="H442" s="1" t="s">
        <v>74</v>
      </c>
      <c r="I442" s="1" t="s">
        <v>9167</v>
      </c>
      <c r="J442" s="1" t="s">
        <v>9168</v>
      </c>
      <c r="K442" s="1" t="s">
        <v>74</v>
      </c>
      <c r="L442" s="1" t="s">
        <v>74</v>
      </c>
      <c r="M442" s="1" t="s">
        <v>80</v>
      </c>
      <c r="N442" s="1" t="s">
        <v>136</v>
      </c>
      <c r="O442" s="1" t="s">
        <v>74</v>
      </c>
      <c r="P442" s="1" t="s">
        <v>74</v>
      </c>
      <c r="Q442" s="1" t="s">
        <v>74</v>
      </c>
      <c r="R442" s="1" t="s">
        <v>74</v>
      </c>
      <c r="S442" s="1" t="s">
        <v>74</v>
      </c>
      <c r="T442" s="1" t="s">
        <v>9169</v>
      </c>
      <c r="U442" s="1" t="s">
        <v>9170</v>
      </c>
      <c r="V442" s="1" t="s">
        <v>9171</v>
      </c>
      <c r="W442" s="1" t="s">
        <v>9172</v>
      </c>
      <c r="X442" s="1" t="s">
        <v>9173</v>
      </c>
      <c r="Y442" s="1" t="s">
        <v>9174</v>
      </c>
      <c r="Z442" s="1" t="s">
        <v>9175</v>
      </c>
      <c r="AA442" s="1" t="s">
        <v>9176</v>
      </c>
      <c r="AB442" s="1" t="s">
        <v>74</v>
      </c>
      <c r="AC442" s="1" t="s">
        <v>9177</v>
      </c>
      <c r="AD442" s="1" t="s">
        <v>9178</v>
      </c>
      <c r="AE442" s="1" t="s">
        <v>9179</v>
      </c>
      <c r="AF442" s="1" t="s">
        <v>74</v>
      </c>
      <c r="AG442" s="1">
        <v>33.0</v>
      </c>
      <c r="AH442" s="1">
        <v>29.0</v>
      </c>
      <c r="AI442" s="1">
        <v>30.0</v>
      </c>
      <c r="AJ442" s="1">
        <v>45.0</v>
      </c>
      <c r="AK442" s="1">
        <v>227.0</v>
      </c>
      <c r="AL442" s="1" t="s">
        <v>1357</v>
      </c>
      <c r="AM442" s="1" t="s">
        <v>1358</v>
      </c>
      <c r="AN442" s="1" t="s">
        <v>1359</v>
      </c>
      <c r="AO442" s="1" t="s">
        <v>9180</v>
      </c>
      <c r="AP442" s="1" t="s">
        <v>9181</v>
      </c>
      <c r="AQ442" s="1" t="s">
        <v>74</v>
      </c>
      <c r="AR442" s="1" t="s">
        <v>9182</v>
      </c>
      <c r="AS442" s="1" t="s">
        <v>9183</v>
      </c>
      <c r="AT442" s="1" t="s">
        <v>1027</v>
      </c>
      <c r="AU442" s="1">
        <v>2021.0</v>
      </c>
      <c r="AV442" s="1">
        <v>29.0</v>
      </c>
      <c r="AW442" s="1">
        <v>2.0</v>
      </c>
      <c r="AX442" s="1" t="s">
        <v>74</v>
      </c>
      <c r="AY442" s="1" t="s">
        <v>74</v>
      </c>
      <c r="AZ442" s="1" t="s">
        <v>474</v>
      </c>
      <c r="BA442" s="1" t="s">
        <v>74</v>
      </c>
      <c r="BB442" s="1">
        <v>350.0</v>
      </c>
      <c r="BC442" s="1">
        <v>358.0</v>
      </c>
      <c r="BD442" s="1" t="s">
        <v>74</v>
      </c>
      <c r="BE442" s="1" t="s">
        <v>9184</v>
      </c>
      <c r="BF442" s="2" t="str">
        <f>HYPERLINK("http://dx.doi.org/10.1002/cae.22235","http://dx.doi.org/10.1002/cae.22235")</f>
        <v>http://dx.doi.org/10.1002/cae.22235</v>
      </c>
      <c r="BG442" s="1" t="s">
        <v>74</v>
      </c>
      <c r="BH442" s="1" t="s">
        <v>9185</v>
      </c>
      <c r="BI442" s="1">
        <v>9.0</v>
      </c>
      <c r="BJ442" s="1" t="s">
        <v>9186</v>
      </c>
      <c r="BK442" s="1" t="s">
        <v>783</v>
      </c>
      <c r="BL442" s="1" t="s">
        <v>9187</v>
      </c>
      <c r="BM442" s="1" t="s">
        <v>9188</v>
      </c>
      <c r="BN442" s="1" t="s">
        <v>74</v>
      </c>
      <c r="BO442" s="1" t="s">
        <v>74</v>
      </c>
      <c r="BP442" s="1" t="s">
        <v>74</v>
      </c>
      <c r="BQ442" s="1" t="s">
        <v>74</v>
      </c>
      <c r="BR442" s="1" t="s">
        <v>102</v>
      </c>
      <c r="BS442" s="1" t="s">
        <v>9189</v>
      </c>
      <c r="BT442" s="1" t="str">
        <f>HYPERLINK("https%3A%2F%2Fwww.webofscience.com%2Fwos%2Fwoscc%2Ffull-record%2FWOS:000522302300001","View Full Record in Web of Science")</f>
        <v>View Full Record in Web of Science</v>
      </c>
    </row>
    <row r="443" ht="12.75" customHeight="1">
      <c r="A443" s="1" t="s">
        <v>132</v>
      </c>
      <c r="B443" s="1" t="s">
        <v>9190</v>
      </c>
      <c r="C443" s="1" t="s">
        <v>74</v>
      </c>
      <c r="D443" s="1" t="s">
        <v>74</v>
      </c>
      <c r="E443" s="1" t="s">
        <v>74</v>
      </c>
      <c r="F443" s="1" t="s">
        <v>9191</v>
      </c>
      <c r="G443" s="1" t="s">
        <v>74</v>
      </c>
      <c r="H443" s="1" t="s">
        <v>74</v>
      </c>
      <c r="I443" s="1" t="s">
        <v>9192</v>
      </c>
      <c r="J443" s="1" t="s">
        <v>9193</v>
      </c>
      <c r="K443" s="1" t="s">
        <v>74</v>
      </c>
      <c r="L443" s="1" t="s">
        <v>74</v>
      </c>
      <c r="M443" s="1" t="s">
        <v>80</v>
      </c>
      <c r="N443" s="1" t="s">
        <v>136</v>
      </c>
      <c r="O443" s="1" t="s">
        <v>74</v>
      </c>
      <c r="P443" s="1" t="s">
        <v>74</v>
      </c>
      <c r="Q443" s="1" t="s">
        <v>74</v>
      </c>
      <c r="R443" s="1" t="s">
        <v>74</v>
      </c>
      <c r="S443" s="1" t="s">
        <v>74</v>
      </c>
      <c r="T443" s="1" t="s">
        <v>9194</v>
      </c>
      <c r="U443" s="1" t="s">
        <v>9195</v>
      </c>
      <c r="V443" s="1" t="s">
        <v>9196</v>
      </c>
      <c r="W443" s="1" t="s">
        <v>9197</v>
      </c>
      <c r="X443" s="1" t="s">
        <v>9198</v>
      </c>
      <c r="Y443" s="1" t="s">
        <v>9199</v>
      </c>
      <c r="Z443" s="1" t="s">
        <v>9200</v>
      </c>
      <c r="AA443" s="1" t="s">
        <v>9201</v>
      </c>
      <c r="AB443" s="1" t="s">
        <v>9202</v>
      </c>
      <c r="AC443" s="1" t="s">
        <v>9203</v>
      </c>
      <c r="AD443" s="1" t="s">
        <v>9204</v>
      </c>
      <c r="AE443" s="1" t="s">
        <v>9205</v>
      </c>
      <c r="AF443" s="1" t="s">
        <v>74</v>
      </c>
      <c r="AG443" s="1">
        <v>46.0</v>
      </c>
      <c r="AH443" s="1">
        <v>3.0</v>
      </c>
      <c r="AI443" s="1">
        <v>3.0</v>
      </c>
      <c r="AJ443" s="1">
        <v>6.0</v>
      </c>
      <c r="AK443" s="1">
        <v>19.0</v>
      </c>
      <c r="AL443" s="1" t="s">
        <v>321</v>
      </c>
      <c r="AM443" s="1" t="s">
        <v>322</v>
      </c>
      <c r="AN443" s="1" t="s">
        <v>323</v>
      </c>
      <c r="AO443" s="1" t="s">
        <v>9206</v>
      </c>
      <c r="AP443" s="1" t="s">
        <v>9207</v>
      </c>
      <c r="AQ443" s="1" t="s">
        <v>74</v>
      </c>
      <c r="AR443" s="1" t="s">
        <v>9208</v>
      </c>
      <c r="AS443" s="1" t="s">
        <v>9209</v>
      </c>
      <c r="AT443" s="1" t="s">
        <v>6830</v>
      </c>
      <c r="AU443" s="1">
        <v>2023.0</v>
      </c>
      <c r="AV443" s="1">
        <v>387.0</v>
      </c>
      <c r="AW443" s="1" t="s">
        <v>74</v>
      </c>
      <c r="AX443" s="1" t="s">
        <v>74</v>
      </c>
      <c r="AY443" s="1" t="s">
        <v>74</v>
      </c>
      <c r="AZ443" s="1" t="s">
        <v>74</v>
      </c>
      <c r="BA443" s="1" t="s">
        <v>74</v>
      </c>
      <c r="BB443" s="1" t="s">
        <v>74</v>
      </c>
      <c r="BC443" s="1" t="s">
        <v>74</v>
      </c>
      <c r="BD443" s="1">
        <v>122592.0</v>
      </c>
      <c r="BE443" s="1" t="s">
        <v>9210</v>
      </c>
      <c r="BF443" s="2" t="str">
        <f>HYPERLINK("http://dx.doi.org/10.1016/j.molliq.2023.122592","http://dx.doi.org/10.1016/j.molliq.2023.122592")</f>
        <v>http://dx.doi.org/10.1016/j.molliq.2023.122592</v>
      </c>
      <c r="BG443" s="1" t="s">
        <v>74</v>
      </c>
      <c r="BH443" s="1" t="s">
        <v>3074</v>
      </c>
      <c r="BI443" s="1">
        <v>11.0</v>
      </c>
      <c r="BJ443" s="1" t="s">
        <v>9211</v>
      </c>
      <c r="BK443" s="1" t="s">
        <v>149</v>
      </c>
      <c r="BL443" s="1" t="s">
        <v>9212</v>
      </c>
      <c r="BM443" s="1" t="s">
        <v>9213</v>
      </c>
      <c r="BN443" s="1" t="s">
        <v>74</v>
      </c>
      <c r="BO443" s="1" t="s">
        <v>74</v>
      </c>
      <c r="BP443" s="1" t="s">
        <v>74</v>
      </c>
      <c r="BQ443" s="1" t="s">
        <v>74</v>
      </c>
      <c r="BR443" s="1" t="s">
        <v>102</v>
      </c>
      <c r="BS443" s="1" t="s">
        <v>9214</v>
      </c>
      <c r="BT443" s="1" t="str">
        <f>HYPERLINK("https%3A%2F%2Fwww.webofscience.com%2Fwos%2Fwoscc%2Ffull-record%2FWOS:001060213800001","View Full Record in Web of Science")</f>
        <v>View Full Record in Web of Science</v>
      </c>
    </row>
    <row r="444" ht="12.75" customHeight="1">
      <c r="A444" s="1" t="s">
        <v>132</v>
      </c>
      <c r="B444" s="1" t="s">
        <v>9215</v>
      </c>
      <c r="C444" s="1" t="s">
        <v>74</v>
      </c>
      <c r="D444" s="1" t="s">
        <v>74</v>
      </c>
      <c r="E444" s="1" t="s">
        <v>74</v>
      </c>
      <c r="F444" s="1" t="s">
        <v>9216</v>
      </c>
      <c r="G444" s="1" t="s">
        <v>74</v>
      </c>
      <c r="H444" s="1" t="s">
        <v>74</v>
      </c>
      <c r="I444" s="1" t="s">
        <v>9217</v>
      </c>
      <c r="J444" s="1" t="s">
        <v>6306</v>
      </c>
      <c r="K444" s="1" t="s">
        <v>74</v>
      </c>
      <c r="L444" s="1" t="s">
        <v>74</v>
      </c>
      <c r="M444" s="1" t="s">
        <v>80</v>
      </c>
      <c r="N444" s="1" t="s">
        <v>1010</v>
      </c>
      <c r="O444" s="1" t="s">
        <v>74</v>
      </c>
      <c r="P444" s="1" t="s">
        <v>74</v>
      </c>
      <c r="Q444" s="1" t="s">
        <v>74</v>
      </c>
      <c r="R444" s="1" t="s">
        <v>74</v>
      </c>
      <c r="S444" s="1" t="s">
        <v>74</v>
      </c>
      <c r="T444" s="1" t="s">
        <v>9218</v>
      </c>
      <c r="U444" s="1" t="s">
        <v>9219</v>
      </c>
      <c r="V444" s="1" t="s">
        <v>9220</v>
      </c>
      <c r="W444" s="1" t="s">
        <v>9221</v>
      </c>
      <c r="X444" s="1" t="s">
        <v>9222</v>
      </c>
      <c r="Y444" s="1" t="s">
        <v>9223</v>
      </c>
      <c r="Z444" s="1" t="s">
        <v>9224</v>
      </c>
      <c r="AA444" s="1" t="s">
        <v>9225</v>
      </c>
      <c r="AB444" s="1" t="s">
        <v>9226</v>
      </c>
      <c r="AC444" s="1" t="s">
        <v>74</v>
      </c>
      <c r="AD444" s="1" t="s">
        <v>74</v>
      </c>
      <c r="AE444" s="1" t="s">
        <v>74</v>
      </c>
      <c r="AF444" s="1" t="s">
        <v>74</v>
      </c>
      <c r="AG444" s="1">
        <v>60.0</v>
      </c>
      <c r="AH444" s="1">
        <v>12.0</v>
      </c>
      <c r="AI444" s="1">
        <v>12.0</v>
      </c>
      <c r="AJ444" s="1">
        <v>17.0</v>
      </c>
      <c r="AK444" s="1">
        <v>39.0</v>
      </c>
      <c r="AL444" s="1" t="s">
        <v>321</v>
      </c>
      <c r="AM444" s="1" t="s">
        <v>322</v>
      </c>
      <c r="AN444" s="1" t="s">
        <v>323</v>
      </c>
      <c r="AO444" s="1" t="s">
        <v>6316</v>
      </c>
      <c r="AP444" s="1" t="s">
        <v>6317</v>
      </c>
      <c r="AQ444" s="1" t="s">
        <v>74</v>
      </c>
      <c r="AR444" s="1" t="s">
        <v>6318</v>
      </c>
      <c r="AS444" s="1" t="s">
        <v>6319</v>
      </c>
      <c r="AT444" s="1" t="s">
        <v>1051</v>
      </c>
      <c r="AU444" s="1">
        <v>2023.0</v>
      </c>
      <c r="AV444" s="1">
        <v>146.0</v>
      </c>
      <c r="AW444" s="1" t="s">
        <v>74</v>
      </c>
      <c r="AX444" s="1" t="s">
        <v>74</v>
      </c>
      <c r="AY444" s="1" t="s">
        <v>74</v>
      </c>
      <c r="AZ444" s="1" t="s">
        <v>74</v>
      </c>
      <c r="BA444" s="1" t="s">
        <v>74</v>
      </c>
      <c r="BB444" s="1" t="s">
        <v>74</v>
      </c>
      <c r="BC444" s="1" t="s">
        <v>74</v>
      </c>
      <c r="BD444" s="1">
        <v>102693.0</v>
      </c>
      <c r="BE444" s="1" t="s">
        <v>9227</v>
      </c>
      <c r="BF444" s="2" t="str">
        <f>HYPERLINK("http://dx.doi.org/10.1016/j.artmed.2023.102693","http://dx.doi.org/10.1016/j.artmed.2023.102693")</f>
        <v>http://dx.doi.org/10.1016/j.artmed.2023.102693</v>
      </c>
      <c r="BG444" s="1" t="s">
        <v>74</v>
      </c>
      <c r="BH444" s="1" t="s">
        <v>201</v>
      </c>
      <c r="BI444" s="1">
        <v>11.0</v>
      </c>
      <c r="BJ444" s="1" t="s">
        <v>6322</v>
      </c>
      <c r="BK444" s="1" t="s">
        <v>149</v>
      </c>
      <c r="BL444" s="1" t="s">
        <v>6323</v>
      </c>
      <c r="BM444" s="1" t="s">
        <v>9228</v>
      </c>
      <c r="BN444" s="1">
        <v>3.8042593E7</v>
      </c>
      <c r="BO444" s="1" t="s">
        <v>306</v>
      </c>
      <c r="BP444" s="1" t="s">
        <v>74</v>
      </c>
      <c r="BQ444" s="1" t="s">
        <v>74</v>
      </c>
      <c r="BR444" s="1" t="s">
        <v>102</v>
      </c>
      <c r="BS444" s="1" t="s">
        <v>9229</v>
      </c>
      <c r="BT444" s="1" t="str">
        <f>HYPERLINK("https%3A%2F%2Fwww.webofscience.com%2Fwos%2Fwoscc%2Ffull-record%2FWOS:001115017200001","View Full Record in Web of Science")</f>
        <v>View Full Record in Web of Science</v>
      </c>
    </row>
    <row r="445" ht="12.75" customHeight="1">
      <c r="A445" s="1" t="s">
        <v>132</v>
      </c>
      <c r="B445" s="1" t="s">
        <v>9230</v>
      </c>
      <c r="C445" s="1" t="s">
        <v>74</v>
      </c>
      <c r="D445" s="1" t="s">
        <v>74</v>
      </c>
      <c r="E445" s="1" t="s">
        <v>74</v>
      </c>
      <c r="F445" s="1" t="s">
        <v>9231</v>
      </c>
      <c r="G445" s="1" t="s">
        <v>74</v>
      </c>
      <c r="H445" s="1" t="s">
        <v>74</v>
      </c>
      <c r="I445" s="1" t="s">
        <v>9232</v>
      </c>
      <c r="J445" s="1" t="s">
        <v>9233</v>
      </c>
      <c r="K445" s="1" t="s">
        <v>74</v>
      </c>
      <c r="L445" s="1" t="s">
        <v>74</v>
      </c>
      <c r="M445" s="1" t="s">
        <v>80</v>
      </c>
      <c r="N445" s="1" t="s">
        <v>136</v>
      </c>
      <c r="O445" s="1" t="s">
        <v>74</v>
      </c>
      <c r="P445" s="1" t="s">
        <v>74</v>
      </c>
      <c r="Q445" s="1" t="s">
        <v>74</v>
      </c>
      <c r="R445" s="1" t="s">
        <v>74</v>
      </c>
      <c r="S445" s="1" t="s">
        <v>74</v>
      </c>
      <c r="T445" s="1" t="s">
        <v>9234</v>
      </c>
      <c r="U445" s="1" t="s">
        <v>9235</v>
      </c>
      <c r="V445" s="1" t="s">
        <v>9236</v>
      </c>
      <c r="W445" s="1" t="s">
        <v>9237</v>
      </c>
      <c r="X445" s="1" t="s">
        <v>9238</v>
      </c>
      <c r="Y445" s="1" t="s">
        <v>9239</v>
      </c>
      <c r="Z445" s="1" t="s">
        <v>9240</v>
      </c>
      <c r="AA445" s="1" t="s">
        <v>9241</v>
      </c>
      <c r="AB445" s="1" t="s">
        <v>9242</v>
      </c>
      <c r="AC445" s="1" t="s">
        <v>74</v>
      </c>
      <c r="AD445" s="1" t="s">
        <v>74</v>
      </c>
      <c r="AE445" s="1" t="s">
        <v>74</v>
      </c>
      <c r="AF445" s="1" t="s">
        <v>74</v>
      </c>
      <c r="AG445" s="1">
        <v>61.0</v>
      </c>
      <c r="AH445" s="1">
        <v>1.0</v>
      </c>
      <c r="AI445" s="1">
        <v>1.0</v>
      </c>
      <c r="AJ445" s="1">
        <v>28.0</v>
      </c>
      <c r="AK445" s="1">
        <v>28.0</v>
      </c>
      <c r="AL445" s="1" t="s">
        <v>9243</v>
      </c>
      <c r="AM445" s="1" t="s">
        <v>349</v>
      </c>
      <c r="AN445" s="1" t="s">
        <v>9244</v>
      </c>
      <c r="AO445" s="1" t="s">
        <v>9245</v>
      </c>
      <c r="AP445" s="1" t="s">
        <v>9246</v>
      </c>
      <c r="AQ445" s="1" t="s">
        <v>74</v>
      </c>
      <c r="AR445" s="1" t="s">
        <v>9247</v>
      </c>
      <c r="AS445" s="1" t="s">
        <v>9248</v>
      </c>
      <c r="AT445" s="1" t="s">
        <v>199</v>
      </c>
      <c r="AU445" s="1">
        <v>2024.0</v>
      </c>
      <c r="AV445" s="1">
        <v>370.0</v>
      </c>
      <c r="AW445" s="1" t="s">
        <v>74</v>
      </c>
      <c r="AX445" s="1" t="s">
        <v>74</v>
      </c>
      <c r="AY445" s="1" t="s">
        <v>74</v>
      </c>
      <c r="AZ445" s="1" t="s">
        <v>74</v>
      </c>
      <c r="BA445" s="1" t="s">
        <v>74</v>
      </c>
      <c r="BB445" s="1" t="s">
        <v>74</v>
      </c>
      <c r="BC445" s="1" t="s">
        <v>74</v>
      </c>
      <c r="BD445" s="1">
        <v>122679.0</v>
      </c>
      <c r="BE445" s="1" t="s">
        <v>9249</v>
      </c>
      <c r="BF445" s="2" t="str">
        <f>HYPERLINK("http://dx.doi.org/10.1016/j.jenvman.2024.122679","http://dx.doi.org/10.1016/j.jenvman.2024.122679")</f>
        <v>http://dx.doi.org/10.1016/j.jenvman.2024.122679</v>
      </c>
      <c r="BG445" s="1" t="s">
        <v>74</v>
      </c>
      <c r="BH445" s="1" t="s">
        <v>2753</v>
      </c>
      <c r="BI445" s="1">
        <v>14.0</v>
      </c>
      <c r="BJ445" s="1" t="s">
        <v>893</v>
      </c>
      <c r="BK445" s="1" t="s">
        <v>149</v>
      </c>
      <c r="BL445" s="1" t="s">
        <v>894</v>
      </c>
      <c r="BM445" s="1" t="s">
        <v>9250</v>
      </c>
      <c r="BN445" s="1">
        <v>3.9362164E7</v>
      </c>
      <c r="BO445" s="1" t="s">
        <v>306</v>
      </c>
      <c r="BP445" s="1" t="s">
        <v>74</v>
      </c>
      <c r="BQ445" s="1" t="s">
        <v>74</v>
      </c>
      <c r="BR445" s="1" t="s">
        <v>102</v>
      </c>
      <c r="BS445" s="1" t="s">
        <v>9251</v>
      </c>
      <c r="BT445" s="1" t="str">
        <f>HYPERLINK("https%3A%2F%2Fwww.webofscience.com%2Fwos%2Fwoscc%2Ffull-record%2FWOS:001331401800001","View Full Record in Web of Science")</f>
        <v>View Full Record in Web of Science</v>
      </c>
    </row>
    <row r="446" ht="12.75" customHeight="1">
      <c r="A446" s="1" t="s">
        <v>72</v>
      </c>
      <c r="B446" s="1" t="s">
        <v>9252</v>
      </c>
      <c r="C446" s="1" t="s">
        <v>74</v>
      </c>
      <c r="D446" s="1" t="s">
        <v>74</v>
      </c>
      <c r="E446" s="1" t="s">
        <v>236</v>
      </c>
      <c r="F446" s="1" t="s">
        <v>9253</v>
      </c>
      <c r="G446" s="1" t="s">
        <v>74</v>
      </c>
      <c r="H446" s="1" t="s">
        <v>74</v>
      </c>
      <c r="I446" s="1" t="s">
        <v>9254</v>
      </c>
      <c r="J446" s="1" t="s">
        <v>9255</v>
      </c>
      <c r="K446" s="1" t="s">
        <v>74</v>
      </c>
      <c r="L446" s="1" t="s">
        <v>74</v>
      </c>
      <c r="M446" s="1" t="s">
        <v>80</v>
      </c>
      <c r="N446" s="1" t="s">
        <v>81</v>
      </c>
      <c r="O446" s="1" t="s">
        <v>9256</v>
      </c>
      <c r="P446" s="1" t="s">
        <v>9257</v>
      </c>
      <c r="Q446" s="1" t="s">
        <v>9258</v>
      </c>
      <c r="R446" s="1" t="s">
        <v>9259</v>
      </c>
      <c r="S446" s="1" t="s">
        <v>74</v>
      </c>
      <c r="T446" s="1" t="s">
        <v>9260</v>
      </c>
      <c r="U446" s="1" t="s">
        <v>74</v>
      </c>
      <c r="V446" s="1" t="s">
        <v>9261</v>
      </c>
      <c r="W446" s="1" t="s">
        <v>9262</v>
      </c>
      <c r="X446" s="1" t="s">
        <v>9263</v>
      </c>
      <c r="Y446" s="1" t="s">
        <v>9264</v>
      </c>
      <c r="Z446" s="1" t="s">
        <v>9265</v>
      </c>
      <c r="AA446" s="1" t="s">
        <v>74</v>
      </c>
      <c r="AB446" s="1" t="s">
        <v>9266</v>
      </c>
      <c r="AC446" s="1" t="s">
        <v>74</v>
      </c>
      <c r="AD446" s="1" t="s">
        <v>74</v>
      </c>
      <c r="AE446" s="1" t="s">
        <v>74</v>
      </c>
      <c r="AF446" s="1" t="s">
        <v>74</v>
      </c>
      <c r="AG446" s="1">
        <v>11.0</v>
      </c>
      <c r="AH446" s="1">
        <v>4.0</v>
      </c>
      <c r="AI446" s="1">
        <v>4.0</v>
      </c>
      <c r="AJ446" s="1">
        <v>1.0</v>
      </c>
      <c r="AK446" s="1">
        <v>17.0</v>
      </c>
      <c r="AL446" s="1" t="s">
        <v>236</v>
      </c>
      <c r="AM446" s="1" t="s">
        <v>193</v>
      </c>
      <c r="AN446" s="1" t="s">
        <v>252</v>
      </c>
      <c r="AO446" s="1" t="s">
        <v>74</v>
      </c>
      <c r="AP446" s="1" t="s">
        <v>74</v>
      </c>
      <c r="AQ446" s="1" t="s">
        <v>9267</v>
      </c>
      <c r="AR446" s="1" t="s">
        <v>74</v>
      </c>
      <c r="AS446" s="1" t="s">
        <v>74</v>
      </c>
      <c r="AT446" s="1" t="s">
        <v>74</v>
      </c>
      <c r="AU446" s="1">
        <v>2021.0</v>
      </c>
      <c r="AV446" s="1" t="s">
        <v>74</v>
      </c>
      <c r="AW446" s="1" t="s">
        <v>74</v>
      </c>
      <c r="AX446" s="1" t="s">
        <v>74</v>
      </c>
      <c r="AY446" s="1" t="s">
        <v>74</v>
      </c>
      <c r="AZ446" s="1" t="s">
        <v>74</v>
      </c>
      <c r="BA446" s="1" t="s">
        <v>74</v>
      </c>
      <c r="BB446" s="1">
        <v>557.0</v>
      </c>
      <c r="BC446" s="1">
        <v>563.0</v>
      </c>
      <c r="BD446" s="1" t="s">
        <v>74</v>
      </c>
      <c r="BE446" s="1" t="s">
        <v>9268</v>
      </c>
      <c r="BF446" s="2" t="str">
        <f>HYPERLINK("http://dx.doi.org/10.1109/ICICT50816.2021.9358507","http://dx.doi.org/10.1109/ICICT50816.2021.9358507")</f>
        <v>http://dx.doi.org/10.1109/ICICT50816.2021.9358507</v>
      </c>
      <c r="BG446" s="1" t="s">
        <v>74</v>
      </c>
      <c r="BH446" s="1" t="s">
        <v>74</v>
      </c>
      <c r="BI446" s="1">
        <v>7.0</v>
      </c>
      <c r="BJ446" s="1" t="s">
        <v>9269</v>
      </c>
      <c r="BK446" s="1" t="s">
        <v>128</v>
      </c>
      <c r="BL446" s="1" t="s">
        <v>1325</v>
      </c>
      <c r="BM446" s="1" t="s">
        <v>9270</v>
      </c>
      <c r="BN446" s="1" t="s">
        <v>74</v>
      </c>
      <c r="BO446" s="1" t="s">
        <v>74</v>
      </c>
      <c r="BP446" s="1" t="s">
        <v>74</v>
      </c>
      <c r="BQ446" s="1" t="s">
        <v>74</v>
      </c>
      <c r="BR446" s="1" t="s">
        <v>102</v>
      </c>
      <c r="BS446" s="1" t="s">
        <v>9271</v>
      </c>
      <c r="BT446" s="1" t="str">
        <f>HYPERLINK("https%3A%2F%2Fwww.webofscience.com%2Fwos%2Fwoscc%2Ffull-record%2FWOS:000722293800099","View Full Record in Web of Science")</f>
        <v>View Full Record in Web of Science</v>
      </c>
    </row>
    <row r="447" ht="12.75" customHeight="1">
      <c r="A447" s="1" t="s">
        <v>132</v>
      </c>
      <c r="B447" s="1" t="s">
        <v>9272</v>
      </c>
      <c r="C447" s="1" t="s">
        <v>74</v>
      </c>
      <c r="D447" s="1" t="s">
        <v>74</v>
      </c>
      <c r="E447" s="1" t="s">
        <v>74</v>
      </c>
      <c r="F447" s="1" t="s">
        <v>9273</v>
      </c>
      <c r="G447" s="1" t="s">
        <v>74</v>
      </c>
      <c r="H447" s="1" t="s">
        <v>74</v>
      </c>
      <c r="I447" s="1" t="s">
        <v>9274</v>
      </c>
      <c r="J447" s="1" t="s">
        <v>9275</v>
      </c>
      <c r="K447" s="1" t="s">
        <v>74</v>
      </c>
      <c r="L447" s="1" t="s">
        <v>74</v>
      </c>
      <c r="M447" s="1" t="s">
        <v>80</v>
      </c>
      <c r="N447" s="1" t="s">
        <v>136</v>
      </c>
      <c r="O447" s="1" t="s">
        <v>74</v>
      </c>
      <c r="P447" s="1" t="s">
        <v>74</v>
      </c>
      <c r="Q447" s="1" t="s">
        <v>74</v>
      </c>
      <c r="R447" s="1" t="s">
        <v>74</v>
      </c>
      <c r="S447" s="1" t="s">
        <v>74</v>
      </c>
      <c r="T447" s="1" t="s">
        <v>9276</v>
      </c>
      <c r="U447" s="1" t="s">
        <v>9277</v>
      </c>
      <c r="V447" s="1" t="s">
        <v>9278</v>
      </c>
      <c r="W447" s="1" t="s">
        <v>9279</v>
      </c>
      <c r="X447" s="1" t="s">
        <v>9280</v>
      </c>
      <c r="Y447" s="1" t="s">
        <v>9281</v>
      </c>
      <c r="Z447" s="1" t="s">
        <v>9282</v>
      </c>
      <c r="AA447" s="1" t="s">
        <v>9283</v>
      </c>
      <c r="AB447" s="1" t="s">
        <v>9284</v>
      </c>
      <c r="AC447" s="1" t="s">
        <v>74</v>
      </c>
      <c r="AD447" s="1" t="s">
        <v>74</v>
      </c>
      <c r="AE447" s="1" t="s">
        <v>74</v>
      </c>
      <c r="AF447" s="1" t="s">
        <v>74</v>
      </c>
      <c r="AG447" s="1">
        <v>67.0</v>
      </c>
      <c r="AH447" s="1">
        <v>11.0</v>
      </c>
      <c r="AI447" s="1">
        <v>14.0</v>
      </c>
      <c r="AJ447" s="1">
        <v>11.0</v>
      </c>
      <c r="AK447" s="1">
        <v>76.0</v>
      </c>
      <c r="AL447" s="1" t="s">
        <v>9285</v>
      </c>
      <c r="AM447" s="1" t="s">
        <v>349</v>
      </c>
      <c r="AN447" s="1" t="s">
        <v>9286</v>
      </c>
      <c r="AO447" s="1" t="s">
        <v>9287</v>
      </c>
      <c r="AP447" s="1" t="s">
        <v>9288</v>
      </c>
      <c r="AQ447" s="1" t="s">
        <v>74</v>
      </c>
      <c r="AR447" s="1" t="s">
        <v>9289</v>
      </c>
      <c r="AS447" s="1" t="s">
        <v>9290</v>
      </c>
      <c r="AT447" s="1" t="s">
        <v>74</v>
      </c>
      <c r="AU447" s="1">
        <v>2020.0</v>
      </c>
      <c r="AV447" s="1">
        <v>18.0</v>
      </c>
      <c r="AW447" s="1">
        <v>2.0</v>
      </c>
      <c r="AX447" s="1" t="s">
        <v>74</v>
      </c>
      <c r="AY447" s="1" t="s">
        <v>74</v>
      </c>
      <c r="AZ447" s="1" t="s">
        <v>74</v>
      </c>
      <c r="BA447" s="1" t="s">
        <v>74</v>
      </c>
      <c r="BB447" s="1">
        <v>163.0</v>
      </c>
      <c r="BC447" s="1">
        <v>177.0</v>
      </c>
      <c r="BD447" s="1" t="s">
        <v>74</v>
      </c>
      <c r="BE447" s="1" t="s">
        <v>9291</v>
      </c>
      <c r="BF447" s="2" t="str">
        <f>HYPERLINK("http://dx.doi.org/10.14324/LRE.18.2.02","http://dx.doi.org/10.14324/LRE.18.2.02")</f>
        <v>http://dx.doi.org/10.14324/LRE.18.2.02</v>
      </c>
      <c r="BG447" s="1" t="s">
        <v>74</v>
      </c>
      <c r="BH447" s="1" t="s">
        <v>74</v>
      </c>
      <c r="BI447" s="1">
        <v>15.0</v>
      </c>
      <c r="BJ447" s="1" t="s">
        <v>171</v>
      </c>
      <c r="BK447" s="1" t="s">
        <v>172</v>
      </c>
      <c r="BL447" s="1" t="s">
        <v>171</v>
      </c>
      <c r="BM447" s="1" t="s">
        <v>9292</v>
      </c>
      <c r="BN447" s="1" t="s">
        <v>74</v>
      </c>
      <c r="BO447" s="1" t="s">
        <v>1161</v>
      </c>
      <c r="BP447" s="1" t="s">
        <v>74</v>
      </c>
      <c r="BQ447" s="1" t="s">
        <v>74</v>
      </c>
      <c r="BR447" s="1" t="s">
        <v>102</v>
      </c>
      <c r="BS447" s="1" t="s">
        <v>9293</v>
      </c>
      <c r="BT447" s="1" t="str">
        <f>HYPERLINK("https%3A%2F%2Fwww.webofscience.com%2Fwos%2Fwoscc%2Ffull-record%2FWOS:000615929700002","View Full Record in Web of Science")</f>
        <v>View Full Record in Web of Science</v>
      </c>
    </row>
    <row r="448" ht="12.75" customHeight="1">
      <c r="A448" s="1" t="s">
        <v>132</v>
      </c>
      <c r="B448" s="1" t="s">
        <v>9294</v>
      </c>
      <c r="C448" s="1" t="s">
        <v>74</v>
      </c>
      <c r="D448" s="1" t="s">
        <v>74</v>
      </c>
      <c r="E448" s="1" t="s">
        <v>74</v>
      </c>
      <c r="F448" s="1" t="s">
        <v>9295</v>
      </c>
      <c r="G448" s="1" t="s">
        <v>74</v>
      </c>
      <c r="H448" s="1" t="s">
        <v>74</v>
      </c>
      <c r="I448" s="1" t="s">
        <v>9296</v>
      </c>
      <c r="J448" s="1" t="s">
        <v>9297</v>
      </c>
      <c r="K448" s="1" t="s">
        <v>74</v>
      </c>
      <c r="L448" s="1" t="s">
        <v>74</v>
      </c>
      <c r="M448" s="1" t="s">
        <v>80</v>
      </c>
      <c r="N448" s="1" t="s">
        <v>1010</v>
      </c>
      <c r="O448" s="1" t="s">
        <v>74</v>
      </c>
      <c r="P448" s="1" t="s">
        <v>74</v>
      </c>
      <c r="Q448" s="1" t="s">
        <v>74</v>
      </c>
      <c r="R448" s="1" t="s">
        <v>74</v>
      </c>
      <c r="S448" s="1" t="s">
        <v>74</v>
      </c>
      <c r="T448" s="1" t="s">
        <v>9298</v>
      </c>
      <c r="U448" s="1" t="s">
        <v>9299</v>
      </c>
      <c r="V448" s="1" t="s">
        <v>9300</v>
      </c>
      <c r="W448" s="1" t="s">
        <v>9301</v>
      </c>
      <c r="X448" s="1" t="s">
        <v>9302</v>
      </c>
      <c r="Y448" s="1" t="s">
        <v>9303</v>
      </c>
      <c r="Z448" s="1" t="s">
        <v>9304</v>
      </c>
      <c r="AA448" s="1" t="s">
        <v>74</v>
      </c>
      <c r="AB448" s="1" t="s">
        <v>74</v>
      </c>
      <c r="AC448" s="1" t="s">
        <v>9305</v>
      </c>
      <c r="AD448" s="1" t="s">
        <v>9305</v>
      </c>
      <c r="AE448" s="1" t="s">
        <v>9306</v>
      </c>
      <c r="AF448" s="1" t="s">
        <v>74</v>
      </c>
      <c r="AG448" s="1">
        <v>52.0</v>
      </c>
      <c r="AH448" s="1">
        <v>1.0</v>
      </c>
      <c r="AI448" s="1">
        <v>1.0</v>
      </c>
      <c r="AJ448" s="1">
        <v>3.0</v>
      </c>
      <c r="AK448" s="1">
        <v>112.0</v>
      </c>
      <c r="AL448" s="1" t="s">
        <v>1089</v>
      </c>
      <c r="AM448" s="1" t="s">
        <v>1090</v>
      </c>
      <c r="AN448" s="1" t="s">
        <v>1091</v>
      </c>
      <c r="AO448" s="1" t="s">
        <v>9307</v>
      </c>
      <c r="AP448" s="1" t="s">
        <v>9308</v>
      </c>
      <c r="AQ448" s="1" t="s">
        <v>74</v>
      </c>
      <c r="AR448" s="1" t="s">
        <v>9309</v>
      </c>
      <c r="AS448" s="1" t="s">
        <v>9310</v>
      </c>
      <c r="AT448" s="1" t="s">
        <v>870</v>
      </c>
      <c r="AU448" s="1">
        <v>2023.0</v>
      </c>
      <c r="AV448" s="1">
        <v>202.0</v>
      </c>
      <c r="AW448" s="1" t="s">
        <v>74</v>
      </c>
      <c r="AX448" s="1" t="s">
        <v>74</v>
      </c>
      <c r="AY448" s="1" t="s">
        <v>74</v>
      </c>
      <c r="AZ448" s="1" t="s">
        <v>74</v>
      </c>
      <c r="BA448" s="1" t="s">
        <v>74</v>
      </c>
      <c r="BB448" s="1" t="s">
        <v>74</v>
      </c>
      <c r="BC448" s="1" t="s">
        <v>74</v>
      </c>
      <c r="BD448" s="1">
        <v>110469.0</v>
      </c>
      <c r="BE448" s="1" t="s">
        <v>9311</v>
      </c>
      <c r="BF448" s="2" t="str">
        <f>HYPERLINK("http://dx.doi.org/10.1016/j.radphyschem.2022.110469","http://dx.doi.org/10.1016/j.radphyschem.2022.110469")</f>
        <v>http://dx.doi.org/10.1016/j.radphyschem.2022.110469</v>
      </c>
      <c r="BG448" s="1" t="s">
        <v>74</v>
      </c>
      <c r="BH448" s="1" t="s">
        <v>2017</v>
      </c>
      <c r="BI448" s="1">
        <v>6.0</v>
      </c>
      <c r="BJ448" s="1" t="s">
        <v>9312</v>
      </c>
      <c r="BK448" s="1" t="s">
        <v>149</v>
      </c>
      <c r="BL448" s="1" t="s">
        <v>9313</v>
      </c>
      <c r="BM448" s="1" t="s">
        <v>9314</v>
      </c>
      <c r="BN448" s="1" t="s">
        <v>74</v>
      </c>
      <c r="BO448" s="1" t="s">
        <v>74</v>
      </c>
      <c r="BP448" s="1" t="s">
        <v>74</v>
      </c>
      <c r="BQ448" s="1" t="s">
        <v>74</v>
      </c>
      <c r="BR448" s="1" t="s">
        <v>102</v>
      </c>
      <c r="BS448" s="1" t="s">
        <v>9315</v>
      </c>
      <c r="BT448" s="1" t="str">
        <f>HYPERLINK("https%3A%2F%2Fwww.webofscience.com%2Fwos%2Fwoscc%2Ffull-record%2FWOS:000861309900002","View Full Record in Web of Science")</f>
        <v>View Full Record in Web of Science</v>
      </c>
    </row>
    <row r="449" ht="12.75" customHeight="1">
      <c r="A449" s="1" t="s">
        <v>72</v>
      </c>
      <c r="B449" s="1" t="s">
        <v>9316</v>
      </c>
      <c r="C449" s="1" t="s">
        <v>74</v>
      </c>
      <c r="D449" s="1" t="s">
        <v>74</v>
      </c>
      <c r="E449" s="1" t="s">
        <v>74</v>
      </c>
      <c r="F449" s="1" t="s">
        <v>9317</v>
      </c>
      <c r="G449" s="1" t="s">
        <v>74</v>
      </c>
      <c r="H449" s="1" t="s">
        <v>74</v>
      </c>
      <c r="I449" s="1" t="s">
        <v>9318</v>
      </c>
      <c r="J449" s="1" t="s">
        <v>9319</v>
      </c>
      <c r="K449" s="1" t="s">
        <v>74</v>
      </c>
      <c r="L449" s="1" t="s">
        <v>74</v>
      </c>
      <c r="M449" s="1" t="s">
        <v>80</v>
      </c>
      <c r="N449" s="1" t="s">
        <v>81</v>
      </c>
      <c r="O449" s="1" t="s">
        <v>9320</v>
      </c>
      <c r="P449" s="1" t="s">
        <v>9321</v>
      </c>
      <c r="Q449" s="1" t="s">
        <v>9322</v>
      </c>
      <c r="R449" s="1" t="s">
        <v>74</v>
      </c>
      <c r="S449" s="1" t="s">
        <v>74</v>
      </c>
      <c r="T449" s="1" t="s">
        <v>9323</v>
      </c>
      <c r="U449" s="1" t="s">
        <v>9324</v>
      </c>
      <c r="V449" s="1" t="s">
        <v>9325</v>
      </c>
      <c r="W449" s="1" t="s">
        <v>9326</v>
      </c>
      <c r="X449" s="1" t="s">
        <v>9327</v>
      </c>
      <c r="Y449" s="1" t="s">
        <v>9328</v>
      </c>
      <c r="Z449" s="1" t="s">
        <v>9329</v>
      </c>
      <c r="AA449" s="1" t="s">
        <v>9330</v>
      </c>
      <c r="AB449" s="1" t="s">
        <v>74</v>
      </c>
      <c r="AC449" s="1" t="s">
        <v>9331</v>
      </c>
      <c r="AD449" s="1" t="s">
        <v>9332</v>
      </c>
      <c r="AE449" s="1" t="s">
        <v>9333</v>
      </c>
      <c r="AF449" s="1" t="s">
        <v>74</v>
      </c>
      <c r="AG449" s="1">
        <v>52.0</v>
      </c>
      <c r="AH449" s="1">
        <v>2.0</v>
      </c>
      <c r="AI449" s="1">
        <v>2.0</v>
      </c>
      <c r="AJ449" s="1">
        <v>7.0</v>
      </c>
      <c r="AK449" s="1">
        <v>26.0</v>
      </c>
      <c r="AL449" s="1" t="s">
        <v>9334</v>
      </c>
      <c r="AM449" s="1" t="s">
        <v>9335</v>
      </c>
      <c r="AN449" s="1" t="s">
        <v>9336</v>
      </c>
      <c r="AO449" s="1" t="s">
        <v>9337</v>
      </c>
      <c r="AP449" s="1" t="s">
        <v>74</v>
      </c>
      <c r="AQ449" s="1" t="s">
        <v>74</v>
      </c>
      <c r="AR449" s="1" t="s">
        <v>9338</v>
      </c>
      <c r="AS449" s="1" t="s">
        <v>9339</v>
      </c>
      <c r="AT449" s="1" t="s">
        <v>302</v>
      </c>
      <c r="AU449" s="1">
        <v>2022.0</v>
      </c>
      <c r="AV449" s="1">
        <v>7.0</v>
      </c>
      <c r="AW449" s="1">
        <v>17.0</v>
      </c>
      <c r="AX449" s="1" t="s">
        <v>74</v>
      </c>
      <c r="AY449" s="1" t="s">
        <v>74</v>
      </c>
      <c r="AZ449" s="1" t="s">
        <v>474</v>
      </c>
      <c r="BA449" s="1" t="s">
        <v>74</v>
      </c>
      <c r="BB449" s="1">
        <v>433.0</v>
      </c>
      <c r="BC449" s="1">
        <v>440.0</v>
      </c>
      <c r="BD449" s="1" t="s">
        <v>74</v>
      </c>
      <c r="BE449" s="1" t="s">
        <v>9340</v>
      </c>
      <c r="BF449" s="2" t="str">
        <f>HYPERLINK("http://dx.doi.org/10.21834/ebpj.v7iSI7.3812","http://dx.doi.org/10.21834/ebpj.v7iSI7.3812")</f>
        <v>http://dx.doi.org/10.21834/ebpj.v7iSI7.3812</v>
      </c>
      <c r="BG449" s="1" t="s">
        <v>74</v>
      </c>
      <c r="BH449" s="1" t="s">
        <v>74</v>
      </c>
      <c r="BI449" s="1">
        <v>8.0</v>
      </c>
      <c r="BJ449" s="1" t="s">
        <v>1002</v>
      </c>
      <c r="BK449" s="1" t="s">
        <v>128</v>
      </c>
      <c r="BL449" s="1" t="s">
        <v>894</v>
      </c>
      <c r="BM449" s="1" t="s">
        <v>9341</v>
      </c>
      <c r="BN449" s="1" t="s">
        <v>74</v>
      </c>
      <c r="BO449" s="1" t="s">
        <v>306</v>
      </c>
      <c r="BP449" s="1" t="s">
        <v>74</v>
      </c>
      <c r="BQ449" s="1" t="s">
        <v>74</v>
      </c>
      <c r="BR449" s="1" t="s">
        <v>102</v>
      </c>
      <c r="BS449" s="1" t="s">
        <v>9342</v>
      </c>
      <c r="BT449" s="1" t="str">
        <f>HYPERLINK("https%3A%2F%2Fwww.webofscience.com%2Fwos%2Fwoscc%2Ffull-record%2FWOS:001039360300019","View Full Record in Web of Science")</f>
        <v>View Full Record in Web of Science</v>
      </c>
    </row>
    <row r="450" ht="12.75" customHeight="1">
      <c r="A450" s="1" t="s">
        <v>132</v>
      </c>
      <c r="B450" s="1" t="s">
        <v>9343</v>
      </c>
      <c r="C450" s="1" t="s">
        <v>74</v>
      </c>
      <c r="D450" s="1" t="s">
        <v>74</v>
      </c>
      <c r="E450" s="1" t="s">
        <v>74</v>
      </c>
      <c r="F450" s="1" t="s">
        <v>9344</v>
      </c>
      <c r="G450" s="1" t="s">
        <v>74</v>
      </c>
      <c r="H450" s="1" t="s">
        <v>74</v>
      </c>
      <c r="I450" s="1" t="s">
        <v>9345</v>
      </c>
      <c r="J450" s="1" t="s">
        <v>9346</v>
      </c>
      <c r="K450" s="1" t="s">
        <v>74</v>
      </c>
      <c r="L450" s="1" t="s">
        <v>74</v>
      </c>
      <c r="M450" s="1" t="s">
        <v>80</v>
      </c>
      <c r="N450" s="1" t="s">
        <v>338</v>
      </c>
      <c r="O450" s="1" t="s">
        <v>74</v>
      </c>
      <c r="P450" s="1" t="s">
        <v>74</v>
      </c>
      <c r="Q450" s="1" t="s">
        <v>74</v>
      </c>
      <c r="R450" s="1" t="s">
        <v>74</v>
      </c>
      <c r="S450" s="1" t="s">
        <v>74</v>
      </c>
      <c r="T450" s="1" t="s">
        <v>9347</v>
      </c>
      <c r="U450" s="1" t="s">
        <v>9348</v>
      </c>
      <c r="V450" s="1" t="s">
        <v>9349</v>
      </c>
      <c r="W450" s="1" t="s">
        <v>9350</v>
      </c>
      <c r="X450" s="1" t="s">
        <v>9351</v>
      </c>
      <c r="Y450" s="1" t="s">
        <v>9352</v>
      </c>
      <c r="Z450" s="1" t="s">
        <v>9353</v>
      </c>
      <c r="AA450" s="1" t="s">
        <v>9354</v>
      </c>
      <c r="AB450" s="1" t="s">
        <v>9355</v>
      </c>
      <c r="AC450" s="1" t="s">
        <v>74</v>
      </c>
      <c r="AD450" s="1" t="s">
        <v>74</v>
      </c>
      <c r="AE450" s="1" t="s">
        <v>74</v>
      </c>
      <c r="AF450" s="1" t="s">
        <v>74</v>
      </c>
      <c r="AG450" s="1">
        <v>132.0</v>
      </c>
      <c r="AH450" s="1">
        <v>3.0</v>
      </c>
      <c r="AI450" s="1">
        <v>3.0</v>
      </c>
      <c r="AJ450" s="1">
        <v>53.0</v>
      </c>
      <c r="AK450" s="1">
        <v>58.0</v>
      </c>
      <c r="AL450" s="1" t="s">
        <v>466</v>
      </c>
      <c r="AM450" s="1" t="s">
        <v>467</v>
      </c>
      <c r="AN450" s="1" t="s">
        <v>468</v>
      </c>
      <c r="AO450" s="1" t="s">
        <v>9356</v>
      </c>
      <c r="AP450" s="1" t="s">
        <v>9357</v>
      </c>
      <c r="AQ450" s="1" t="s">
        <v>74</v>
      </c>
      <c r="AR450" s="1" t="s">
        <v>9358</v>
      </c>
      <c r="AS450" s="1" t="s">
        <v>9359</v>
      </c>
      <c r="AT450" s="1" t="s">
        <v>9360</v>
      </c>
      <c r="AU450" s="1">
        <v>2024.0</v>
      </c>
      <c r="AV450" s="1" t="s">
        <v>74</v>
      </c>
      <c r="AW450" s="1" t="s">
        <v>74</v>
      </c>
      <c r="AX450" s="1" t="s">
        <v>74</v>
      </c>
      <c r="AY450" s="1" t="s">
        <v>74</v>
      </c>
      <c r="AZ450" s="1" t="s">
        <v>74</v>
      </c>
      <c r="BA450" s="1" t="s">
        <v>74</v>
      </c>
      <c r="BB450" s="1" t="s">
        <v>74</v>
      </c>
      <c r="BC450" s="1" t="s">
        <v>74</v>
      </c>
      <c r="BD450" s="1" t="s">
        <v>74</v>
      </c>
      <c r="BE450" s="1" t="s">
        <v>9361</v>
      </c>
      <c r="BF450" s="2" t="str">
        <f>HYPERLINK("http://dx.doi.org/10.1080/00207543.2024.2368698","http://dx.doi.org/10.1080/00207543.2024.2368698")</f>
        <v>http://dx.doi.org/10.1080/00207543.2024.2368698</v>
      </c>
      <c r="BG450" s="1" t="s">
        <v>74</v>
      </c>
      <c r="BH450" s="1" t="s">
        <v>5364</v>
      </c>
      <c r="BI450" s="1">
        <v>17.0</v>
      </c>
      <c r="BJ450" s="1" t="s">
        <v>9362</v>
      </c>
      <c r="BK450" s="1" t="s">
        <v>149</v>
      </c>
      <c r="BL450" s="1" t="s">
        <v>6006</v>
      </c>
      <c r="BM450" s="1" t="s">
        <v>9363</v>
      </c>
      <c r="BN450" s="1" t="s">
        <v>74</v>
      </c>
      <c r="BO450" s="1" t="s">
        <v>306</v>
      </c>
      <c r="BP450" s="1" t="s">
        <v>74</v>
      </c>
      <c r="BQ450" s="1" t="s">
        <v>74</v>
      </c>
      <c r="BR450" s="1" t="s">
        <v>102</v>
      </c>
      <c r="BS450" s="1" t="s">
        <v>9364</v>
      </c>
      <c r="BT450" s="1" t="str">
        <f>HYPERLINK("https%3A%2F%2Fwww.webofscience.com%2Fwos%2Fwoscc%2Ffull-record%2FWOS:001260274200001","View Full Record in Web of Science")</f>
        <v>View Full Record in Web of Science</v>
      </c>
    </row>
    <row r="451" ht="12.75" customHeight="1">
      <c r="A451" s="1" t="s">
        <v>132</v>
      </c>
      <c r="B451" s="1" t="s">
        <v>9365</v>
      </c>
      <c r="C451" s="1" t="s">
        <v>74</v>
      </c>
      <c r="D451" s="1" t="s">
        <v>74</v>
      </c>
      <c r="E451" s="1" t="s">
        <v>74</v>
      </c>
      <c r="F451" s="1" t="s">
        <v>9366</v>
      </c>
      <c r="G451" s="1" t="s">
        <v>74</v>
      </c>
      <c r="H451" s="1" t="s">
        <v>74</v>
      </c>
      <c r="I451" s="1" t="s">
        <v>9367</v>
      </c>
      <c r="J451" s="1" t="s">
        <v>9368</v>
      </c>
      <c r="K451" s="1" t="s">
        <v>74</v>
      </c>
      <c r="L451" s="1" t="s">
        <v>74</v>
      </c>
      <c r="M451" s="1" t="s">
        <v>80</v>
      </c>
      <c r="N451" s="1" t="s">
        <v>136</v>
      </c>
      <c r="O451" s="1" t="s">
        <v>74</v>
      </c>
      <c r="P451" s="1" t="s">
        <v>74</v>
      </c>
      <c r="Q451" s="1" t="s">
        <v>74</v>
      </c>
      <c r="R451" s="1" t="s">
        <v>74</v>
      </c>
      <c r="S451" s="1" t="s">
        <v>74</v>
      </c>
      <c r="T451" s="1" t="s">
        <v>9369</v>
      </c>
      <c r="U451" s="1" t="s">
        <v>9370</v>
      </c>
      <c r="V451" s="1" t="s">
        <v>9371</v>
      </c>
      <c r="W451" s="1" t="s">
        <v>9372</v>
      </c>
      <c r="X451" s="1" t="s">
        <v>9373</v>
      </c>
      <c r="Y451" s="1" t="s">
        <v>9374</v>
      </c>
      <c r="Z451" s="1" t="s">
        <v>9375</v>
      </c>
      <c r="AA451" s="1" t="s">
        <v>74</v>
      </c>
      <c r="AB451" s="1" t="s">
        <v>9376</v>
      </c>
      <c r="AC451" s="1" t="s">
        <v>9377</v>
      </c>
      <c r="AD451" s="1" t="s">
        <v>9378</v>
      </c>
      <c r="AE451" s="1" t="s">
        <v>9379</v>
      </c>
      <c r="AF451" s="1" t="s">
        <v>74</v>
      </c>
      <c r="AG451" s="1">
        <v>35.0</v>
      </c>
      <c r="AH451" s="1">
        <v>6.0</v>
      </c>
      <c r="AI451" s="1">
        <v>6.0</v>
      </c>
      <c r="AJ451" s="1">
        <v>141.0</v>
      </c>
      <c r="AK451" s="1">
        <v>308.0</v>
      </c>
      <c r="AL451" s="1" t="s">
        <v>595</v>
      </c>
      <c r="AM451" s="1" t="s">
        <v>467</v>
      </c>
      <c r="AN451" s="1" t="s">
        <v>596</v>
      </c>
      <c r="AO451" s="1" t="s">
        <v>9380</v>
      </c>
      <c r="AP451" s="1" t="s">
        <v>9381</v>
      </c>
      <c r="AQ451" s="1" t="s">
        <v>74</v>
      </c>
      <c r="AR451" s="1" t="s">
        <v>9382</v>
      </c>
      <c r="AS451" s="1" t="s">
        <v>9383</v>
      </c>
      <c r="AT451" s="1" t="s">
        <v>8962</v>
      </c>
      <c r="AU451" s="1">
        <v>2024.0</v>
      </c>
      <c r="AV451" s="1">
        <v>56.0</v>
      </c>
      <c r="AW451" s="1">
        <v>57.0</v>
      </c>
      <c r="AX451" s="1" t="s">
        <v>74</v>
      </c>
      <c r="AY451" s="1" t="s">
        <v>74</v>
      </c>
      <c r="AZ451" s="1" t="s">
        <v>74</v>
      </c>
      <c r="BA451" s="1" t="s">
        <v>74</v>
      </c>
      <c r="BB451" s="1">
        <v>7971.0</v>
      </c>
      <c r="BC451" s="1">
        <v>7986.0</v>
      </c>
      <c r="BD451" s="1" t="s">
        <v>74</v>
      </c>
      <c r="BE451" s="1" t="s">
        <v>9384</v>
      </c>
      <c r="BF451" s="2" t="str">
        <f>HYPERLINK("http://dx.doi.org/10.1080/00036846.2023.2289916","http://dx.doi.org/10.1080/00036846.2023.2289916")</f>
        <v>http://dx.doi.org/10.1080/00036846.2023.2289916</v>
      </c>
      <c r="BG451" s="1" t="s">
        <v>74</v>
      </c>
      <c r="BH451" s="1" t="s">
        <v>5056</v>
      </c>
      <c r="BI451" s="1">
        <v>16.0</v>
      </c>
      <c r="BJ451" s="1" t="s">
        <v>202</v>
      </c>
      <c r="BK451" s="1" t="s">
        <v>203</v>
      </c>
      <c r="BL451" s="1" t="s">
        <v>204</v>
      </c>
      <c r="BM451" s="1" t="s">
        <v>9385</v>
      </c>
      <c r="BN451" s="1" t="s">
        <v>74</v>
      </c>
      <c r="BO451" s="1" t="s">
        <v>74</v>
      </c>
      <c r="BP451" s="1" t="s">
        <v>74</v>
      </c>
      <c r="BQ451" s="1" t="s">
        <v>74</v>
      </c>
      <c r="BR451" s="1" t="s">
        <v>102</v>
      </c>
      <c r="BS451" s="1" t="s">
        <v>9386</v>
      </c>
      <c r="BT451" s="1" t="str">
        <f>HYPERLINK("https%3A%2F%2Fwww.webofscience.com%2Fwos%2Fwoscc%2Ffull-record%2FWOS:001112755000001","View Full Record in Web of Science")</f>
        <v>View Full Record in Web of Science</v>
      </c>
    </row>
    <row r="452" ht="12.75" customHeight="1">
      <c r="A452" s="1" t="s">
        <v>132</v>
      </c>
      <c r="B452" s="1" t="s">
        <v>9387</v>
      </c>
      <c r="C452" s="1" t="s">
        <v>74</v>
      </c>
      <c r="D452" s="1" t="s">
        <v>74</v>
      </c>
      <c r="E452" s="1" t="s">
        <v>74</v>
      </c>
      <c r="F452" s="1" t="s">
        <v>9388</v>
      </c>
      <c r="G452" s="1" t="s">
        <v>74</v>
      </c>
      <c r="H452" s="1" t="s">
        <v>74</v>
      </c>
      <c r="I452" s="1" t="s">
        <v>9389</v>
      </c>
      <c r="J452" s="1" t="s">
        <v>5457</v>
      </c>
      <c r="K452" s="1" t="s">
        <v>74</v>
      </c>
      <c r="L452" s="1" t="s">
        <v>74</v>
      </c>
      <c r="M452" s="1" t="s">
        <v>80</v>
      </c>
      <c r="N452" s="1" t="s">
        <v>136</v>
      </c>
      <c r="O452" s="1" t="s">
        <v>74</v>
      </c>
      <c r="P452" s="1" t="s">
        <v>74</v>
      </c>
      <c r="Q452" s="1" t="s">
        <v>74</v>
      </c>
      <c r="R452" s="1" t="s">
        <v>74</v>
      </c>
      <c r="S452" s="1" t="s">
        <v>74</v>
      </c>
      <c r="T452" s="1" t="s">
        <v>9390</v>
      </c>
      <c r="U452" s="1" t="s">
        <v>74</v>
      </c>
      <c r="V452" s="1" t="s">
        <v>9391</v>
      </c>
      <c r="W452" s="1" t="s">
        <v>9392</v>
      </c>
      <c r="X452" s="1" t="s">
        <v>5461</v>
      </c>
      <c r="Y452" s="1" t="s">
        <v>9393</v>
      </c>
      <c r="Z452" s="1" t="s">
        <v>9394</v>
      </c>
      <c r="AA452" s="1" t="s">
        <v>9395</v>
      </c>
      <c r="AB452" s="1" t="s">
        <v>9396</v>
      </c>
      <c r="AC452" s="1" t="s">
        <v>9397</v>
      </c>
      <c r="AD452" s="1" t="s">
        <v>9398</v>
      </c>
      <c r="AE452" s="1" t="s">
        <v>9399</v>
      </c>
      <c r="AF452" s="1" t="s">
        <v>74</v>
      </c>
      <c r="AG452" s="1">
        <v>14.0</v>
      </c>
      <c r="AH452" s="1">
        <v>1.0</v>
      </c>
      <c r="AI452" s="1">
        <v>1.0</v>
      </c>
      <c r="AJ452" s="1">
        <v>16.0</v>
      </c>
      <c r="AK452" s="1">
        <v>16.0</v>
      </c>
      <c r="AL452" s="1" t="s">
        <v>3701</v>
      </c>
      <c r="AM452" s="1" t="s">
        <v>3702</v>
      </c>
      <c r="AN452" s="1" t="s">
        <v>3703</v>
      </c>
      <c r="AO452" s="1" t="s">
        <v>5469</v>
      </c>
      <c r="AP452" s="1" t="s">
        <v>5470</v>
      </c>
      <c r="AQ452" s="1" t="s">
        <v>74</v>
      </c>
      <c r="AR452" s="1" t="s">
        <v>5471</v>
      </c>
      <c r="AS452" s="1" t="s">
        <v>5472</v>
      </c>
      <c r="AT452" s="1" t="s">
        <v>74</v>
      </c>
      <c r="AU452" s="1">
        <v>2024.0</v>
      </c>
      <c r="AV452" s="1">
        <v>32.0</v>
      </c>
      <c r="AW452" s="1">
        <v>3.0</v>
      </c>
      <c r="AX452" s="1" t="s">
        <v>74</v>
      </c>
      <c r="AY452" s="1" t="s">
        <v>5473</v>
      </c>
      <c r="AZ452" s="1" t="s">
        <v>74</v>
      </c>
      <c r="BA452" s="1" t="s">
        <v>74</v>
      </c>
      <c r="BB452" s="1">
        <v>42.0</v>
      </c>
      <c r="BC452" s="1">
        <v>51.0</v>
      </c>
      <c r="BD452" s="1" t="s">
        <v>74</v>
      </c>
      <c r="BE452" s="1" t="s">
        <v>9400</v>
      </c>
      <c r="BF452" s="2" t="str">
        <f>HYPERLINK("http://dx.doi.org/10.53656/str2024-3s-4-cha","http://dx.doi.org/10.53656/str2024-3s-4-cha")</f>
        <v>http://dx.doi.org/10.53656/str2024-3s-4-cha</v>
      </c>
      <c r="BG452" s="1" t="s">
        <v>74</v>
      </c>
      <c r="BH452" s="1" t="s">
        <v>74</v>
      </c>
      <c r="BI452" s="1">
        <v>10.0</v>
      </c>
      <c r="BJ452" s="1" t="s">
        <v>171</v>
      </c>
      <c r="BK452" s="1" t="s">
        <v>172</v>
      </c>
      <c r="BL452" s="1" t="s">
        <v>171</v>
      </c>
      <c r="BM452" s="1" t="s">
        <v>9401</v>
      </c>
      <c r="BN452" s="1" t="s">
        <v>74</v>
      </c>
      <c r="BO452" s="1" t="s">
        <v>74</v>
      </c>
      <c r="BP452" s="1" t="s">
        <v>74</v>
      </c>
      <c r="BQ452" s="1" t="s">
        <v>74</v>
      </c>
      <c r="BR452" s="1" t="s">
        <v>102</v>
      </c>
      <c r="BS452" s="1" t="s">
        <v>9402</v>
      </c>
      <c r="BT452" s="1" t="str">
        <f>HYPERLINK("https%3A%2F%2Fwww.webofscience.com%2Fwos%2Fwoscc%2Ffull-record%2FWOS:001291557000004","View Full Record in Web of Science")</f>
        <v>View Full Record in Web of Science</v>
      </c>
    </row>
    <row r="453" ht="12.75" customHeight="1">
      <c r="A453" s="1" t="s">
        <v>72</v>
      </c>
      <c r="B453" s="1" t="s">
        <v>9403</v>
      </c>
      <c r="C453" s="1" t="s">
        <v>74</v>
      </c>
      <c r="D453" s="1" t="s">
        <v>74</v>
      </c>
      <c r="E453" s="1" t="s">
        <v>236</v>
      </c>
      <c r="F453" s="1" t="s">
        <v>9404</v>
      </c>
      <c r="G453" s="1" t="s">
        <v>74</v>
      </c>
      <c r="H453" s="1" t="s">
        <v>74</v>
      </c>
      <c r="I453" s="1" t="s">
        <v>9405</v>
      </c>
      <c r="J453" s="1" t="s">
        <v>9406</v>
      </c>
      <c r="K453" s="1" t="s">
        <v>74</v>
      </c>
      <c r="L453" s="1" t="s">
        <v>74</v>
      </c>
      <c r="M453" s="1" t="s">
        <v>80</v>
      </c>
      <c r="N453" s="1" t="s">
        <v>81</v>
      </c>
      <c r="O453" s="1" t="s">
        <v>9407</v>
      </c>
      <c r="P453" s="1" t="s">
        <v>9408</v>
      </c>
      <c r="Q453" s="1" t="s">
        <v>9409</v>
      </c>
      <c r="R453" s="1" t="s">
        <v>9410</v>
      </c>
      <c r="S453" s="1" t="s">
        <v>74</v>
      </c>
      <c r="T453" s="1" t="s">
        <v>9411</v>
      </c>
      <c r="U453" s="1" t="s">
        <v>74</v>
      </c>
      <c r="V453" s="1" t="s">
        <v>9412</v>
      </c>
      <c r="W453" s="1" t="s">
        <v>9413</v>
      </c>
      <c r="X453" s="1" t="s">
        <v>9414</v>
      </c>
      <c r="Y453" s="1" t="s">
        <v>9415</v>
      </c>
      <c r="Z453" s="1" t="s">
        <v>9416</v>
      </c>
      <c r="AA453" s="1" t="s">
        <v>74</v>
      </c>
      <c r="AB453" s="1" t="s">
        <v>74</v>
      </c>
      <c r="AC453" s="1" t="s">
        <v>74</v>
      </c>
      <c r="AD453" s="1" t="s">
        <v>74</v>
      </c>
      <c r="AE453" s="1" t="s">
        <v>74</v>
      </c>
      <c r="AF453" s="1" t="s">
        <v>74</v>
      </c>
      <c r="AG453" s="1">
        <v>24.0</v>
      </c>
      <c r="AH453" s="1">
        <v>0.0</v>
      </c>
      <c r="AI453" s="1">
        <v>0.0</v>
      </c>
      <c r="AJ453" s="1">
        <v>14.0</v>
      </c>
      <c r="AK453" s="1">
        <v>59.0</v>
      </c>
      <c r="AL453" s="1" t="s">
        <v>236</v>
      </c>
      <c r="AM453" s="1" t="s">
        <v>193</v>
      </c>
      <c r="AN453" s="1" t="s">
        <v>252</v>
      </c>
      <c r="AO453" s="1" t="s">
        <v>74</v>
      </c>
      <c r="AP453" s="1" t="s">
        <v>74</v>
      </c>
      <c r="AQ453" s="1" t="s">
        <v>9417</v>
      </c>
      <c r="AR453" s="1" t="s">
        <v>74</v>
      </c>
      <c r="AS453" s="1" t="s">
        <v>74</v>
      </c>
      <c r="AT453" s="1" t="s">
        <v>74</v>
      </c>
      <c r="AU453" s="1">
        <v>2021.0</v>
      </c>
      <c r="AV453" s="1" t="s">
        <v>74</v>
      </c>
      <c r="AW453" s="1" t="s">
        <v>74</v>
      </c>
      <c r="AX453" s="1" t="s">
        <v>74</v>
      </c>
      <c r="AY453" s="1" t="s">
        <v>74</v>
      </c>
      <c r="AZ453" s="1" t="s">
        <v>74</v>
      </c>
      <c r="BA453" s="1" t="s">
        <v>74</v>
      </c>
      <c r="BB453" s="1">
        <v>373.0</v>
      </c>
      <c r="BC453" s="1">
        <v>377.0</v>
      </c>
      <c r="BD453" s="1" t="s">
        <v>74</v>
      </c>
      <c r="BE453" s="1" t="s">
        <v>9418</v>
      </c>
      <c r="BF453" s="2" t="str">
        <f>HYPERLINK("http://dx.doi.org/10.1109/iSES52644.2021.00092","http://dx.doi.org/10.1109/iSES52644.2021.00092")</f>
        <v>http://dx.doi.org/10.1109/iSES52644.2021.00092</v>
      </c>
      <c r="BG453" s="1" t="s">
        <v>74</v>
      </c>
      <c r="BH453" s="1" t="s">
        <v>74</v>
      </c>
      <c r="BI453" s="1">
        <v>5.0</v>
      </c>
      <c r="BJ453" s="1" t="s">
        <v>9419</v>
      </c>
      <c r="BK453" s="1" t="s">
        <v>128</v>
      </c>
      <c r="BL453" s="1" t="s">
        <v>1325</v>
      </c>
      <c r="BM453" s="1" t="s">
        <v>9420</v>
      </c>
      <c r="BN453" s="1" t="s">
        <v>74</v>
      </c>
      <c r="BO453" s="1" t="s">
        <v>556</v>
      </c>
      <c r="BP453" s="1" t="s">
        <v>74</v>
      </c>
      <c r="BQ453" s="1" t="s">
        <v>74</v>
      </c>
      <c r="BR453" s="1" t="s">
        <v>102</v>
      </c>
      <c r="BS453" s="1" t="s">
        <v>9421</v>
      </c>
      <c r="BT453" s="1" t="str">
        <f>HYPERLINK("https%3A%2F%2Fwww.webofscience.com%2Fwos%2Fwoscc%2Ffull-record%2FWOS:000792441600099","View Full Record in Web of Science")</f>
        <v>View Full Record in Web of Science</v>
      </c>
    </row>
    <row r="454" ht="12.75" customHeight="1">
      <c r="A454" s="1" t="s">
        <v>132</v>
      </c>
      <c r="B454" s="1" t="s">
        <v>9422</v>
      </c>
      <c r="C454" s="1" t="s">
        <v>74</v>
      </c>
      <c r="D454" s="1" t="s">
        <v>74</v>
      </c>
      <c r="E454" s="1" t="s">
        <v>74</v>
      </c>
      <c r="F454" s="1" t="s">
        <v>9423</v>
      </c>
      <c r="G454" s="1" t="s">
        <v>74</v>
      </c>
      <c r="H454" s="1" t="s">
        <v>74</v>
      </c>
      <c r="I454" s="1" t="s">
        <v>9424</v>
      </c>
      <c r="J454" s="1" t="s">
        <v>9425</v>
      </c>
      <c r="K454" s="1" t="s">
        <v>74</v>
      </c>
      <c r="L454" s="1" t="s">
        <v>74</v>
      </c>
      <c r="M454" s="1" t="s">
        <v>3863</v>
      </c>
      <c r="N454" s="1" t="s">
        <v>136</v>
      </c>
      <c r="O454" s="1" t="s">
        <v>74</v>
      </c>
      <c r="P454" s="1" t="s">
        <v>74</v>
      </c>
      <c r="Q454" s="1" t="s">
        <v>74</v>
      </c>
      <c r="R454" s="1" t="s">
        <v>74</v>
      </c>
      <c r="S454" s="1" t="s">
        <v>74</v>
      </c>
      <c r="T454" s="1" t="s">
        <v>9426</v>
      </c>
      <c r="U454" s="1" t="s">
        <v>74</v>
      </c>
      <c r="V454" s="1" t="s">
        <v>9427</v>
      </c>
      <c r="W454" s="1" t="s">
        <v>9428</v>
      </c>
      <c r="X454" s="1" t="s">
        <v>74</v>
      </c>
      <c r="Y454" s="1" t="s">
        <v>9429</v>
      </c>
      <c r="Z454" s="1" t="s">
        <v>9430</v>
      </c>
      <c r="AA454" s="1" t="s">
        <v>9431</v>
      </c>
      <c r="AB454" s="1" t="s">
        <v>74</v>
      </c>
      <c r="AC454" s="1" t="s">
        <v>74</v>
      </c>
      <c r="AD454" s="1" t="s">
        <v>74</v>
      </c>
      <c r="AE454" s="1" t="s">
        <v>74</v>
      </c>
      <c r="AF454" s="1" t="s">
        <v>74</v>
      </c>
      <c r="AG454" s="1">
        <v>33.0</v>
      </c>
      <c r="AH454" s="1">
        <v>0.0</v>
      </c>
      <c r="AI454" s="1">
        <v>0.0</v>
      </c>
      <c r="AJ454" s="1">
        <v>5.0</v>
      </c>
      <c r="AK454" s="1">
        <v>18.0</v>
      </c>
      <c r="AL454" s="1" t="s">
        <v>7311</v>
      </c>
      <c r="AM454" s="1" t="s">
        <v>7312</v>
      </c>
      <c r="AN454" s="1" t="s">
        <v>7313</v>
      </c>
      <c r="AO454" s="1" t="s">
        <v>9432</v>
      </c>
      <c r="AP454" s="1" t="s">
        <v>9433</v>
      </c>
      <c r="AQ454" s="1" t="s">
        <v>74</v>
      </c>
      <c r="AR454" s="1" t="s">
        <v>9434</v>
      </c>
      <c r="AS454" s="1" t="s">
        <v>9435</v>
      </c>
      <c r="AT454" s="1" t="s">
        <v>1301</v>
      </c>
      <c r="AU454" s="1">
        <v>2022.0</v>
      </c>
      <c r="AV454" s="1" t="s">
        <v>74</v>
      </c>
      <c r="AW454" s="1">
        <v>475.0</v>
      </c>
      <c r="AX454" s="1" t="s">
        <v>74</v>
      </c>
      <c r="AY454" s="1" t="s">
        <v>74</v>
      </c>
      <c r="AZ454" s="1" t="s">
        <v>74</v>
      </c>
      <c r="BA454" s="1" t="s">
        <v>74</v>
      </c>
      <c r="BB454" s="1">
        <v>229.0</v>
      </c>
      <c r="BC454" s="1">
        <v>237.0</v>
      </c>
      <c r="BD454" s="1" t="s">
        <v>74</v>
      </c>
      <c r="BE454" s="1" t="s">
        <v>9436</v>
      </c>
      <c r="BF454" s="2" t="str">
        <f>HYPERLINK("http://dx.doi.org/10.17223/15617793/475/28","http://dx.doi.org/10.17223/15617793/475/28")</f>
        <v>http://dx.doi.org/10.17223/15617793/475/28</v>
      </c>
      <c r="BG454" s="1" t="s">
        <v>74</v>
      </c>
      <c r="BH454" s="1" t="s">
        <v>74</v>
      </c>
      <c r="BI454" s="1">
        <v>9.0</v>
      </c>
      <c r="BJ454" s="1" t="s">
        <v>4714</v>
      </c>
      <c r="BK454" s="1" t="s">
        <v>172</v>
      </c>
      <c r="BL454" s="1" t="s">
        <v>4715</v>
      </c>
      <c r="BM454" s="1" t="s">
        <v>9437</v>
      </c>
      <c r="BN454" s="1" t="s">
        <v>74</v>
      </c>
      <c r="BO454" s="1" t="s">
        <v>74</v>
      </c>
      <c r="BP454" s="1" t="s">
        <v>74</v>
      </c>
      <c r="BQ454" s="1" t="s">
        <v>74</v>
      </c>
      <c r="BR454" s="1" t="s">
        <v>102</v>
      </c>
      <c r="BS454" s="1" t="s">
        <v>9438</v>
      </c>
      <c r="BT454" s="1" t="str">
        <f>HYPERLINK("https%3A%2F%2Fwww.webofscience.com%2Fwos%2Fwoscc%2Ffull-record%2FWOS:000868950200028","View Full Record in Web of Science")</f>
        <v>View Full Record in Web of Science</v>
      </c>
    </row>
    <row r="455" ht="12.75" customHeight="1">
      <c r="A455" s="1" t="s">
        <v>132</v>
      </c>
      <c r="B455" s="1" t="s">
        <v>9439</v>
      </c>
      <c r="C455" s="1" t="s">
        <v>74</v>
      </c>
      <c r="D455" s="1" t="s">
        <v>74</v>
      </c>
      <c r="E455" s="1" t="s">
        <v>74</v>
      </c>
      <c r="F455" s="1" t="s">
        <v>9440</v>
      </c>
      <c r="G455" s="1" t="s">
        <v>74</v>
      </c>
      <c r="H455" s="1" t="s">
        <v>74</v>
      </c>
      <c r="I455" s="1" t="s">
        <v>9441</v>
      </c>
      <c r="J455" s="1" t="s">
        <v>9442</v>
      </c>
      <c r="K455" s="1" t="s">
        <v>74</v>
      </c>
      <c r="L455" s="1" t="s">
        <v>74</v>
      </c>
      <c r="M455" s="1" t="s">
        <v>80</v>
      </c>
      <c r="N455" s="1" t="s">
        <v>1010</v>
      </c>
      <c r="O455" s="1" t="s">
        <v>74</v>
      </c>
      <c r="P455" s="1" t="s">
        <v>74</v>
      </c>
      <c r="Q455" s="1" t="s">
        <v>74</v>
      </c>
      <c r="R455" s="1" t="s">
        <v>74</v>
      </c>
      <c r="S455" s="1" t="s">
        <v>74</v>
      </c>
      <c r="T455" s="1" t="s">
        <v>9443</v>
      </c>
      <c r="U455" s="1" t="s">
        <v>9444</v>
      </c>
      <c r="V455" s="1" t="s">
        <v>9445</v>
      </c>
      <c r="W455" s="1" t="s">
        <v>9446</v>
      </c>
      <c r="X455" s="1" t="s">
        <v>9447</v>
      </c>
      <c r="Y455" s="1" t="s">
        <v>9448</v>
      </c>
      <c r="Z455" s="1" t="s">
        <v>9449</v>
      </c>
      <c r="AA455" s="1" t="s">
        <v>9450</v>
      </c>
      <c r="AB455" s="1" t="s">
        <v>74</v>
      </c>
      <c r="AC455" s="1" t="s">
        <v>9451</v>
      </c>
      <c r="AD455" s="1" t="s">
        <v>9452</v>
      </c>
      <c r="AE455" s="1" t="s">
        <v>7358</v>
      </c>
      <c r="AF455" s="1" t="s">
        <v>74</v>
      </c>
      <c r="AG455" s="1">
        <v>64.0</v>
      </c>
      <c r="AH455" s="1">
        <v>0.0</v>
      </c>
      <c r="AI455" s="1">
        <v>0.0</v>
      </c>
      <c r="AJ455" s="1">
        <v>23.0</v>
      </c>
      <c r="AK455" s="1">
        <v>23.0</v>
      </c>
      <c r="AL455" s="1" t="s">
        <v>192</v>
      </c>
      <c r="AM455" s="1" t="s">
        <v>193</v>
      </c>
      <c r="AN455" s="1" t="s">
        <v>194</v>
      </c>
      <c r="AO455" s="1" t="s">
        <v>9453</v>
      </c>
      <c r="AP455" s="1" t="s">
        <v>74</v>
      </c>
      <c r="AQ455" s="1" t="s">
        <v>74</v>
      </c>
      <c r="AR455" s="1" t="s">
        <v>9454</v>
      </c>
      <c r="AS455" s="1" t="s">
        <v>9455</v>
      </c>
      <c r="AT455" s="1" t="s">
        <v>9456</v>
      </c>
      <c r="AU455" s="1">
        <v>2024.0</v>
      </c>
      <c r="AV455" s="1">
        <v>9.0</v>
      </c>
      <c r="AW455" s="1">
        <v>1.0</v>
      </c>
      <c r="AX455" s="1" t="s">
        <v>74</v>
      </c>
      <c r="AY455" s="1" t="s">
        <v>74</v>
      </c>
      <c r="AZ455" s="1" t="s">
        <v>74</v>
      </c>
      <c r="BA455" s="1" t="s">
        <v>74</v>
      </c>
      <c r="BB455" s="1" t="s">
        <v>74</v>
      </c>
      <c r="BC455" s="1" t="s">
        <v>74</v>
      </c>
      <c r="BD455" s="1">
        <v>46.0</v>
      </c>
      <c r="BE455" s="1" t="s">
        <v>9457</v>
      </c>
      <c r="BF455" s="2" t="str">
        <f>HYPERLINK("http://dx.doi.org/10.1186/s41235-024-00572-8","http://dx.doi.org/10.1186/s41235-024-00572-8")</f>
        <v>http://dx.doi.org/10.1186/s41235-024-00572-8</v>
      </c>
      <c r="BG455" s="1" t="s">
        <v>74</v>
      </c>
      <c r="BH455" s="1" t="s">
        <v>74</v>
      </c>
      <c r="BI455" s="1">
        <v>9.0</v>
      </c>
      <c r="BJ455" s="1" t="s">
        <v>9458</v>
      </c>
      <c r="BK455" s="1" t="s">
        <v>203</v>
      </c>
      <c r="BL455" s="1" t="s">
        <v>3261</v>
      </c>
      <c r="BM455" s="1" t="s">
        <v>9459</v>
      </c>
      <c r="BN455" s="1">
        <v>3.8992285E7</v>
      </c>
      <c r="BO455" s="1" t="s">
        <v>284</v>
      </c>
      <c r="BP455" s="1" t="s">
        <v>74</v>
      </c>
      <c r="BQ455" s="1" t="s">
        <v>74</v>
      </c>
      <c r="BR455" s="1" t="s">
        <v>102</v>
      </c>
      <c r="BS455" s="1" t="s">
        <v>9460</v>
      </c>
      <c r="BT455" s="1" t="str">
        <f>HYPERLINK("https%3A%2F%2Fwww.webofscience.com%2Fwos%2Fwoscc%2Ffull-record%2FWOS:001269870900001","View Full Record in Web of Science")</f>
        <v>View Full Record in Web of Science</v>
      </c>
    </row>
    <row r="456" ht="12.75" customHeight="1">
      <c r="A456" s="1" t="s">
        <v>72</v>
      </c>
      <c r="B456" s="1" t="s">
        <v>9461</v>
      </c>
      <c r="C456" s="1" t="s">
        <v>74</v>
      </c>
      <c r="D456" s="1" t="s">
        <v>9462</v>
      </c>
      <c r="E456" s="1" t="s">
        <v>74</v>
      </c>
      <c r="F456" s="1" t="s">
        <v>9463</v>
      </c>
      <c r="G456" s="1" t="s">
        <v>74</v>
      </c>
      <c r="H456" s="1" t="s">
        <v>74</v>
      </c>
      <c r="I456" s="1" t="s">
        <v>9464</v>
      </c>
      <c r="J456" s="1" t="s">
        <v>9465</v>
      </c>
      <c r="K456" s="1" t="s">
        <v>74</v>
      </c>
      <c r="L456" s="1" t="s">
        <v>74</v>
      </c>
      <c r="M456" s="1" t="s">
        <v>80</v>
      </c>
      <c r="N456" s="1" t="s">
        <v>81</v>
      </c>
      <c r="O456" s="1" t="s">
        <v>9466</v>
      </c>
      <c r="P456" s="1" t="s">
        <v>9467</v>
      </c>
      <c r="Q456" s="1" t="s">
        <v>9468</v>
      </c>
      <c r="R456" s="1" t="s">
        <v>9469</v>
      </c>
      <c r="S456" s="1" t="s">
        <v>9470</v>
      </c>
      <c r="T456" s="1" t="s">
        <v>9471</v>
      </c>
      <c r="U456" s="1" t="s">
        <v>74</v>
      </c>
      <c r="V456" s="1" t="s">
        <v>9472</v>
      </c>
      <c r="W456" s="1" t="s">
        <v>9473</v>
      </c>
      <c r="X456" s="1" t="s">
        <v>9474</v>
      </c>
      <c r="Y456" s="1" t="s">
        <v>9475</v>
      </c>
      <c r="Z456" s="1" t="s">
        <v>9476</v>
      </c>
      <c r="AA456" s="1" t="s">
        <v>9477</v>
      </c>
      <c r="AB456" s="1" t="s">
        <v>74</v>
      </c>
      <c r="AC456" s="1" t="s">
        <v>74</v>
      </c>
      <c r="AD456" s="1" t="s">
        <v>74</v>
      </c>
      <c r="AE456" s="1" t="s">
        <v>74</v>
      </c>
      <c r="AF456" s="1" t="s">
        <v>74</v>
      </c>
      <c r="AG456" s="1">
        <v>21.0</v>
      </c>
      <c r="AH456" s="1">
        <v>8.0</v>
      </c>
      <c r="AI456" s="1">
        <v>8.0</v>
      </c>
      <c r="AJ456" s="1">
        <v>4.0</v>
      </c>
      <c r="AK456" s="1">
        <v>19.0</v>
      </c>
      <c r="AL456" s="1" t="s">
        <v>9478</v>
      </c>
      <c r="AM456" s="1" t="s">
        <v>9479</v>
      </c>
      <c r="AN456" s="1" t="s">
        <v>9480</v>
      </c>
      <c r="AO456" s="1" t="s">
        <v>74</v>
      </c>
      <c r="AP456" s="1" t="s">
        <v>74</v>
      </c>
      <c r="AQ456" s="1" t="s">
        <v>9481</v>
      </c>
      <c r="AR456" s="1" t="s">
        <v>74</v>
      </c>
      <c r="AS456" s="1" t="s">
        <v>74</v>
      </c>
      <c r="AT456" s="1" t="s">
        <v>74</v>
      </c>
      <c r="AU456" s="1">
        <v>2018.0</v>
      </c>
      <c r="AV456" s="1" t="s">
        <v>74</v>
      </c>
      <c r="AW456" s="1" t="s">
        <v>74</v>
      </c>
      <c r="AX456" s="1" t="s">
        <v>74</v>
      </c>
      <c r="AY456" s="1" t="s">
        <v>74</v>
      </c>
      <c r="AZ456" s="1" t="s">
        <v>74</v>
      </c>
      <c r="BA456" s="1" t="s">
        <v>74</v>
      </c>
      <c r="BB456" s="1">
        <v>77.0</v>
      </c>
      <c r="BC456" s="1">
        <v>84.0</v>
      </c>
      <c r="BD456" s="1" t="s">
        <v>74</v>
      </c>
      <c r="BE456" s="1" t="s">
        <v>74</v>
      </c>
      <c r="BF456" s="1" t="s">
        <v>74</v>
      </c>
      <c r="BG456" s="1" t="s">
        <v>74</v>
      </c>
      <c r="BH456" s="1" t="s">
        <v>74</v>
      </c>
      <c r="BI456" s="1">
        <v>8.0</v>
      </c>
      <c r="BJ456" s="1" t="s">
        <v>7998</v>
      </c>
      <c r="BK456" s="1" t="s">
        <v>128</v>
      </c>
      <c r="BL456" s="1" t="s">
        <v>232</v>
      </c>
      <c r="BM456" s="1" t="s">
        <v>9482</v>
      </c>
      <c r="BN456" s="1" t="s">
        <v>74</v>
      </c>
      <c r="BO456" s="1" t="s">
        <v>74</v>
      </c>
      <c r="BP456" s="1" t="s">
        <v>74</v>
      </c>
      <c r="BQ456" s="1" t="s">
        <v>74</v>
      </c>
      <c r="BR456" s="1" t="s">
        <v>102</v>
      </c>
      <c r="BS456" s="1" t="s">
        <v>9483</v>
      </c>
      <c r="BT456" s="1" t="str">
        <f>HYPERLINK("https%3A%2F%2Fwww.webofscience.com%2Fwos%2Fwoscc%2Ffull-record%2FWOS:000507565700015","View Full Record in Web of Science")</f>
        <v>View Full Record in Web of Science</v>
      </c>
    </row>
    <row r="457" ht="12.75" customHeight="1">
      <c r="A457" s="1" t="s">
        <v>132</v>
      </c>
      <c r="B457" s="1" t="s">
        <v>9484</v>
      </c>
      <c r="C457" s="1" t="s">
        <v>74</v>
      </c>
      <c r="D457" s="1" t="s">
        <v>74</v>
      </c>
      <c r="E457" s="1" t="s">
        <v>74</v>
      </c>
      <c r="F457" s="1" t="s">
        <v>9485</v>
      </c>
      <c r="G457" s="1" t="s">
        <v>74</v>
      </c>
      <c r="H457" s="1" t="s">
        <v>74</v>
      </c>
      <c r="I457" s="1" t="s">
        <v>9486</v>
      </c>
      <c r="J457" s="1" t="s">
        <v>9487</v>
      </c>
      <c r="K457" s="1" t="s">
        <v>74</v>
      </c>
      <c r="L457" s="1" t="s">
        <v>74</v>
      </c>
      <c r="M457" s="1" t="s">
        <v>80</v>
      </c>
      <c r="N457" s="1" t="s">
        <v>136</v>
      </c>
      <c r="O457" s="1" t="s">
        <v>74</v>
      </c>
      <c r="P457" s="1" t="s">
        <v>74</v>
      </c>
      <c r="Q457" s="1" t="s">
        <v>74</v>
      </c>
      <c r="R457" s="1" t="s">
        <v>74</v>
      </c>
      <c r="S457" s="1" t="s">
        <v>74</v>
      </c>
      <c r="T457" s="1" t="s">
        <v>9488</v>
      </c>
      <c r="U457" s="1" t="s">
        <v>9489</v>
      </c>
      <c r="V457" s="1" t="s">
        <v>9490</v>
      </c>
      <c r="W457" s="1" t="s">
        <v>9491</v>
      </c>
      <c r="X457" s="1" t="s">
        <v>9492</v>
      </c>
      <c r="Y457" s="1" t="s">
        <v>9493</v>
      </c>
      <c r="Z457" s="1" t="s">
        <v>9494</v>
      </c>
      <c r="AA457" s="1" t="s">
        <v>9495</v>
      </c>
      <c r="AB457" s="1" t="s">
        <v>9496</v>
      </c>
      <c r="AC457" s="1" t="s">
        <v>74</v>
      </c>
      <c r="AD457" s="1" t="s">
        <v>74</v>
      </c>
      <c r="AE457" s="1" t="s">
        <v>74</v>
      </c>
      <c r="AF457" s="1" t="s">
        <v>74</v>
      </c>
      <c r="AG457" s="1">
        <v>25.0</v>
      </c>
      <c r="AH457" s="1">
        <v>4.0</v>
      </c>
      <c r="AI457" s="1">
        <v>4.0</v>
      </c>
      <c r="AJ457" s="1">
        <v>15.0</v>
      </c>
      <c r="AK457" s="1">
        <v>28.0</v>
      </c>
      <c r="AL457" s="1" t="s">
        <v>9497</v>
      </c>
      <c r="AM457" s="1" t="s">
        <v>9498</v>
      </c>
      <c r="AN457" s="1" t="s">
        <v>9499</v>
      </c>
      <c r="AO457" s="1" t="s">
        <v>74</v>
      </c>
      <c r="AP457" s="1" t="s">
        <v>9500</v>
      </c>
      <c r="AQ457" s="1" t="s">
        <v>74</v>
      </c>
      <c r="AR457" s="1" t="s">
        <v>9501</v>
      </c>
      <c r="AS457" s="1" t="s">
        <v>9502</v>
      </c>
      <c r="AT457" s="1" t="s">
        <v>870</v>
      </c>
      <c r="AU457" s="1">
        <v>2024.0</v>
      </c>
      <c r="AV457" s="1">
        <v>5.0</v>
      </c>
      <c r="AW457" s="1">
        <v>1.0</v>
      </c>
      <c r="AX457" s="1" t="s">
        <v>74</v>
      </c>
      <c r="AY457" s="1" t="s">
        <v>74</v>
      </c>
      <c r="AZ457" s="1" t="s">
        <v>74</v>
      </c>
      <c r="BA457" s="1" t="s">
        <v>74</v>
      </c>
      <c r="BB457" s="1">
        <v>125.0</v>
      </c>
      <c r="BC457" s="1">
        <v>140.0</v>
      </c>
      <c r="BD457" s="1" t="s">
        <v>74</v>
      </c>
      <c r="BE457" s="1" t="s">
        <v>9503</v>
      </c>
      <c r="BF457" s="2" t="str">
        <f>HYPERLINK("http://dx.doi.org/10.46656/access.2024.5.1(8)","http://dx.doi.org/10.46656/access.2024.5.1(8)")</f>
        <v>http://dx.doi.org/10.46656/access.2024.5.1(8)</v>
      </c>
      <c r="BG457" s="1" t="s">
        <v>74</v>
      </c>
      <c r="BH457" s="1" t="s">
        <v>74</v>
      </c>
      <c r="BI457" s="1">
        <v>16.0</v>
      </c>
      <c r="BJ457" s="1" t="s">
        <v>9504</v>
      </c>
      <c r="BK457" s="1" t="s">
        <v>172</v>
      </c>
      <c r="BL457" s="1" t="s">
        <v>406</v>
      </c>
      <c r="BM457" s="1" t="s">
        <v>9505</v>
      </c>
      <c r="BN457" s="1" t="s">
        <v>74</v>
      </c>
      <c r="BO457" s="1" t="s">
        <v>174</v>
      </c>
      <c r="BP457" s="1" t="s">
        <v>74</v>
      </c>
      <c r="BQ457" s="1" t="s">
        <v>74</v>
      </c>
      <c r="BR457" s="1" t="s">
        <v>102</v>
      </c>
      <c r="BS457" s="1" t="s">
        <v>9506</v>
      </c>
      <c r="BT457" s="1" t="str">
        <f>HYPERLINK("https%3A%2F%2Fwww.webofscience.com%2Fwos%2Fwoscc%2Ffull-record%2FWOS:001177996000005","View Full Record in Web of Science")</f>
        <v>View Full Record in Web of Science</v>
      </c>
    </row>
    <row r="458" ht="12.75" customHeight="1">
      <c r="A458" s="1" t="s">
        <v>132</v>
      </c>
      <c r="B458" s="1" t="s">
        <v>9507</v>
      </c>
      <c r="C458" s="1" t="s">
        <v>74</v>
      </c>
      <c r="D458" s="1" t="s">
        <v>74</v>
      </c>
      <c r="E458" s="1" t="s">
        <v>74</v>
      </c>
      <c r="F458" s="1" t="s">
        <v>9508</v>
      </c>
      <c r="G458" s="1" t="s">
        <v>74</v>
      </c>
      <c r="H458" s="1" t="s">
        <v>74</v>
      </c>
      <c r="I458" s="1" t="s">
        <v>9509</v>
      </c>
      <c r="J458" s="1" t="s">
        <v>9510</v>
      </c>
      <c r="K458" s="1" t="s">
        <v>74</v>
      </c>
      <c r="L458" s="1" t="s">
        <v>74</v>
      </c>
      <c r="M458" s="1" t="s">
        <v>80</v>
      </c>
      <c r="N458" s="1" t="s">
        <v>136</v>
      </c>
      <c r="O458" s="1" t="s">
        <v>74</v>
      </c>
      <c r="P458" s="1" t="s">
        <v>74</v>
      </c>
      <c r="Q458" s="1" t="s">
        <v>74</v>
      </c>
      <c r="R458" s="1" t="s">
        <v>74</v>
      </c>
      <c r="S458" s="1" t="s">
        <v>74</v>
      </c>
      <c r="T458" s="1" t="s">
        <v>9511</v>
      </c>
      <c r="U458" s="1" t="s">
        <v>9512</v>
      </c>
      <c r="V458" s="1" t="s">
        <v>9513</v>
      </c>
      <c r="W458" s="1" t="s">
        <v>9514</v>
      </c>
      <c r="X458" s="1" t="s">
        <v>9515</v>
      </c>
      <c r="Y458" s="1" t="s">
        <v>9516</v>
      </c>
      <c r="Z458" s="1" t="s">
        <v>9517</v>
      </c>
      <c r="AA458" s="1" t="s">
        <v>9518</v>
      </c>
      <c r="AB458" s="1" t="s">
        <v>9519</v>
      </c>
      <c r="AC458" s="1" t="s">
        <v>9520</v>
      </c>
      <c r="AD458" s="1" t="s">
        <v>9521</v>
      </c>
      <c r="AE458" s="1" t="s">
        <v>9522</v>
      </c>
      <c r="AF458" s="1" t="s">
        <v>74</v>
      </c>
      <c r="AG458" s="1">
        <v>55.0</v>
      </c>
      <c r="AH458" s="1">
        <v>11.0</v>
      </c>
      <c r="AI458" s="1">
        <v>11.0</v>
      </c>
      <c r="AJ458" s="1">
        <v>19.0</v>
      </c>
      <c r="AK458" s="1">
        <v>83.0</v>
      </c>
      <c r="AL458" s="1" t="s">
        <v>571</v>
      </c>
      <c r="AM458" s="1" t="s">
        <v>572</v>
      </c>
      <c r="AN458" s="1" t="s">
        <v>573</v>
      </c>
      <c r="AO458" s="1" t="s">
        <v>9523</v>
      </c>
      <c r="AP458" s="1" t="s">
        <v>9524</v>
      </c>
      <c r="AQ458" s="1" t="s">
        <v>74</v>
      </c>
      <c r="AR458" s="1" t="s">
        <v>9525</v>
      </c>
      <c r="AS458" s="1" t="s">
        <v>9526</v>
      </c>
      <c r="AT458" s="1" t="s">
        <v>5426</v>
      </c>
      <c r="AU458" s="1">
        <v>2024.0</v>
      </c>
      <c r="AV458" s="1">
        <v>79.0</v>
      </c>
      <c r="AW458" s="1">
        <v>2.0</v>
      </c>
      <c r="AX458" s="1" t="s">
        <v>74</v>
      </c>
      <c r="AY458" s="1" t="s">
        <v>74</v>
      </c>
      <c r="AZ458" s="1" t="s">
        <v>74</v>
      </c>
      <c r="BA458" s="1" t="s">
        <v>74</v>
      </c>
      <c r="BB458" s="1">
        <v>392.0</v>
      </c>
      <c r="BC458" s="1">
        <v>407.0</v>
      </c>
      <c r="BD458" s="1" t="s">
        <v>74</v>
      </c>
      <c r="BE458" s="1" t="s">
        <v>9527</v>
      </c>
      <c r="BF458" s="2" t="str">
        <f>HYPERLINK("http://dx.doi.org/10.1108/TR-01-2023-0017","http://dx.doi.org/10.1108/TR-01-2023-0017")</f>
        <v>http://dx.doi.org/10.1108/TR-01-2023-0017</v>
      </c>
      <c r="BG458" s="1" t="s">
        <v>74</v>
      </c>
      <c r="BH458" s="1" t="s">
        <v>8208</v>
      </c>
      <c r="BI458" s="1">
        <v>16.0</v>
      </c>
      <c r="BJ458" s="1" t="s">
        <v>2100</v>
      </c>
      <c r="BK458" s="1" t="s">
        <v>203</v>
      </c>
      <c r="BL458" s="1" t="s">
        <v>100</v>
      </c>
      <c r="BM458" s="1" t="s">
        <v>9528</v>
      </c>
      <c r="BN458" s="1" t="s">
        <v>74</v>
      </c>
      <c r="BO458" s="1" t="s">
        <v>74</v>
      </c>
      <c r="BP458" s="1" t="s">
        <v>74</v>
      </c>
      <c r="BQ458" s="1" t="s">
        <v>74</v>
      </c>
      <c r="BR458" s="1" t="s">
        <v>102</v>
      </c>
      <c r="BS458" s="1" t="s">
        <v>9529</v>
      </c>
      <c r="BT458" s="1" t="str">
        <f>HYPERLINK("https%3A%2F%2Fwww.webofscience.com%2Fwos%2Fwoscc%2Ffull-record%2FWOS:000989831100001","View Full Record in Web of Science")</f>
        <v>View Full Record in Web of Science</v>
      </c>
    </row>
    <row r="459" ht="12.75" customHeight="1">
      <c r="A459" s="1" t="s">
        <v>132</v>
      </c>
      <c r="B459" s="1" t="s">
        <v>9530</v>
      </c>
      <c r="C459" s="1" t="s">
        <v>74</v>
      </c>
      <c r="D459" s="1" t="s">
        <v>74</v>
      </c>
      <c r="E459" s="1" t="s">
        <v>74</v>
      </c>
      <c r="F459" s="1" t="s">
        <v>9531</v>
      </c>
      <c r="G459" s="1" t="s">
        <v>74</v>
      </c>
      <c r="H459" s="1" t="s">
        <v>74</v>
      </c>
      <c r="I459" s="1" t="s">
        <v>9532</v>
      </c>
      <c r="J459" s="1" t="s">
        <v>9533</v>
      </c>
      <c r="K459" s="1" t="s">
        <v>74</v>
      </c>
      <c r="L459" s="1" t="s">
        <v>74</v>
      </c>
      <c r="M459" s="1" t="s">
        <v>80</v>
      </c>
      <c r="N459" s="1" t="s">
        <v>136</v>
      </c>
      <c r="O459" s="1" t="s">
        <v>74</v>
      </c>
      <c r="P459" s="1" t="s">
        <v>74</v>
      </c>
      <c r="Q459" s="1" t="s">
        <v>74</v>
      </c>
      <c r="R459" s="1" t="s">
        <v>74</v>
      </c>
      <c r="S459" s="1" t="s">
        <v>74</v>
      </c>
      <c r="T459" s="1" t="s">
        <v>9534</v>
      </c>
      <c r="U459" s="1" t="s">
        <v>74</v>
      </c>
      <c r="V459" s="1" t="s">
        <v>9535</v>
      </c>
      <c r="W459" s="1" t="s">
        <v>9536</v>
      </c>
      <c r="X459" s="1" t="s">
        <v>9537</v>
      </c>
      <c r="Y459" s="1" t="s">
        <v>9538</v>
      </c>
      <c r="Z459" s="1" t="s">
        <v>9539</v>
      </c>
      <c r="AA459" s="1" t="s">
        <v>9540</v>
      </c>
      <c r="AB459" s="1" t="s">
        <v>74</v>
      </c>
      <c r="AC459" s="1" t="s">
        <v>74</v>
      </c>
      <c r="AD459" s="1" t="s">
        <v>74</v>
      </c>
      <c r="AE459" s="1" t="s">
        <v>74</v>
      </c>
      <c r="AF459" s="1" t="s">
        <v>74</v>
      </c>
      <c r="AG459" s="1">
        <v>40.0</v>
      </c>
      <c r="AH459" s="1">
        <v>6.0</v>
      </c>
      <c r="AI459" s="1">
        <v>6.0</v>
      </c>
      <c r="AJ459" s="1">
        <v>79.0</v>
      </c>
      <c r="AK459" s="1">
        <v>283.0</v>
      </c>
      <c r="AL459" s="1" t="s">
        <v>9541</v>
      </c>
      <c r="AM459" s="1" t="s">
        <v>648</v>
      </c>
      <c r="AN459" s="1" t="s">
        <v>9542</v>
      </c>
      <c r="AO459" s="1" t="s">
        <v>9543</v>
      </c>
      <c r="AP459" s="1" t="s">
        <v>74</v>
      </c>
      <c r="AQ459" s="1" t="s">
        <v>74</v>
      </c>
      <c r="AR459" s="1" t="s">
        <v>9544</v>
      </c>
      <c r="AS459" s="1" t="s">
        <v>9545</v>
      </c>
      <c r="AT459" s="1" t="s">
        <v>199</v>
      </c>
      <c r="AU459" s="1">
        <v>2023.0</v>
      </c>
      <c r="AV459" s="1">
        <v>11.0</v>
      </c>
      <c r="AW459" s="1">
        <v>2.0</v>
      </c>
      <c r="AX459" s="1" t="s">
        <v>74</v>
      </c>
      <c r="AY459" s="1" t="s">
        <v>74</v>
      </c>
      <c r="AZ459" s="1" t="s">
        <v>74</v>
      </c>
      <c r="BA459" s="1" t="s">
        <v>74</v>
      </c>
      <c r="BB459" s="1" t="s">
        <v>74</v>
      </c>
      <c r="BC459" s="1" t="s">
        <v>74</v>
      </c>
      <c r="BD459" s="1" t="s">
        <v>9546</v>
      </c>
      <c r="BE459" s="1" t="s">
        <v>9547</v>
      </c>
      <c r="BF459" s="2" t="str">
        <f>HYPERLINK("http://dx.doi.org/10.17502/mrcs.v11i2.710","http://dx.doi.org/10.17502/mrcs.v11i2.710")</f>
        <v>http://dx.doi.org/10.17502/mrcs.v11i2.710</v>
      </c>
      <c r="BG459" s="1" t="s">
        <v>74</v>
      </c>
      <c r="BH459" s="1" t="s">
        <v>74</v>
      </c>
      <c r="BI459" s="1">
        <v>17.0</v>
      </c>
      <c r="BJ459" s="1" t="s">
        <v>3130</v>
      </c>
      <c r="BK459" s="1" t="s">
        <v>172</v>
      </c>
      <c r="BL459" s="1" t="s">
        <v>3130</v>
      </c>
      <c r="BM459" s="1" t="s">
        <v>9548</v>
      </c>
      <c r="BN459" s="1" t="s">
        <v>74</v>
      </c>
      <c r="BO459" s="1" t="s">
        <v>3076</v>
      </c>
      <c r="BP459" s="1" t="s">
        <v>74</v>
      </c>
      <c r="BQ459" s="1" t="s">
        <v>74</v>
      </c>
      <c r="BR459" s="1" t="s">
        <v>102</v>
      </c>
      <c r="BS459" s="1" t="s">
        <v>9549</v>
      </c>
      <c r="BT459" s="1" t="str">
        <f>HYPERLINK("https%3A%2F%2Fwww.webofscience.com%2Fwos%2Fwoscc%2Ffull-record%2FWOS:001069731400001","View Full Record in Web of Science")</f>
        <v>View Full Record in Web of Science</v>
      </c>
    </row>
    <row r="460" ht="12.75" customHeight="1">
      <c r="A460" s="1" t="s">
        <v>132</v>
      </c>
      <c r="B460" s="1" t="s">
        <v>9550</v>
      </c>
      <c r="C460" s="1" t="s">
        <v>74</v>
      </c>
      <c r="D460" s="1" t="s">
        <v>74</v>
      </c>
      <c r="E460" s="1" t="s">
        <v>74</v>
      </c>
      <c r="F460" s="1" t="s">
        <v>9551</v>
      </c>
      <c r="G460" s="1" t="s">
        <v>74</v>
      </c>
      <c r="H460" s="1" t="s">
        <v>74</v>
      </c>
      <c r="I460" s="1" t="s">
        <v>9552</v>
      </c>
      <c r="J460" s="1" t="s">
        <v>263</v>
      </c>
      <c r="K460" s="1" t="s">
        <v>74</v>
      </c>
      <c r="L460" s="1" t="s">
        <v>74</v>
      </c>
      <c r="M460" s="1" t="s">
        <v>80</v>
      </c>
      <c r="N460" s="1" t="s">
        <v>1010</v>
      </c>
      <c r="O460" s="1" t="s">
        <v>74</v>
      </c>
      <c r="P460" s="1" t="s">
        <v>74</v>
      </c>
      <c r="Q460" s="1" t="s">
        <v>74</v>
      </c>
      <c r="R460" s="1" t="s">
        <v>74</v>
      </c>
      <c r="S460" s="1" t="s">
        <v>74</v>
      </c>
      <c r="T460" s="1" t="s">
        <v>9553</v>
      </c>
      <c r="U460" s="1" t="s">
        <v>9554</v>
      </c>
      <c r="V460" s="1" t="s">
        <v>9555</v>
      </c>
      <c r="W460" s="1" t="s">
        <v>9556</v>
      </c>
      <c r="X460" s="1" t="s">
        <v>9557</v>
      </c>
      <c r="Y460" s="1" t="s">
        <v>9558</v>
      </c>
      <c r="Z460" s="1" t="s">
        <v>9559</v>
      </c>
      <c r="AA460" s="1" t="s">
        <v>74</v>
      </c>
      <c r="AB460" s="1" t="s">
        <v>9560</v>
      </c>
      <c r="AC460" s="1" t="s">
        <v>74</v>
      </c>
      <c r="AD460" s="1" t="s">
        <v>74</v>
      </c>
      <c r="AE460" s="1" t="s">
        <v>74</v>
      </c>
      <c r="AF460" s="1" t="s">
        <v>74</v>
      </c>
      <c r="AG460" s="1">
        <v>37.0</v>
      </c>
      <c r="AH460" s="1">
        <v>0.0</v>
      </c>
      <c r="AI460" s="1">
        <v>0.0</v>
      </c>
      <c r="AJ460" s="1">
        <v>9.0</v>
      </c>
      <c r="AK460" s="1">
        <v>13.0</v>
      </c>
      <c r="AL460" s="1" t="s">
        <v>275</v>
      </c>
      <c r="AM460" s="1" t="s">
        <v>276</v>
      </c>
      <c r="AN460" s="1" t="s">
        <v>277</v>
      </c>
      <c r="AO460" s="1" t="s">
        <v>74</v>
      </c>
      <c r="AP460" s="1" t="s">
        <v>278</v>
      </c>
      <c r="AQ460" s="1" t="s">
        <v>74</v>
      </c>
      <c r="AR460" s="1" t="s">
        <v>279</v>
      </c>
      <c r="AS460" s="1" t="s">
        <v>280</v>
      </c>
      <c r="AT460" s="1" t="s">
        <v>9561</v>
      </c>
      <c r="AU460" s="1">
        <v>2024.0</v>
      </c>
      <c r="AV460" s="1">
        <v>7.0</v>
      </c>
      <c r="AW460" s="1" t="s">
        <v>74</v>
      </c>
      <c r="AX460" s="1" t="s">
        <v>74</v>
      </c>
      <c r="AY460" s="1" t="s">
        <v>74</v>
      </c>
      <c r="AZ460" s="1" t="s">
        <v>74</v>
      </c>
      <c r="BA460" s="1" t="s">
        <v>74</v>
      </c>
      <c r="BB460" s="1" t="s">
        <v>74</v>
      </c>
      <c r="BC460" s="1" t="s">
        <v>74</v>
      </c>
      <c r="BD460" s="1">
        <v>1364149.0</v>
      </c>
      <c r="BE460" s="1" t="s">
        <v>9562</v>
      </c>
      <c r="BF460" s="2" t="str">
        <f>HYPERLINK("http://dx.doi.org/10.3389/frai.2024.1364149","http://dx.doi.org/10.3389/frai.2024.1364149")</f>
        <v>http://dx.doi.org/10.3389/frai.2024.1364149</v>
      </c>
      <c r="BG460" s="1" t="s">
        <v>74</v>
      </c>
      <c r="BH460" s="1" t="s">
        <v>74</v>
      </c>
      <c r="BI460" s="1">
        <v>6.0</v>
      </c>
      <c r="BJ460" s="1" t="s">
        <v>282</v>
      </c>
      <c r="BK460" s="1" t="s">
        <v>172</v>
      </c>
      <c r="BL460" s="1" t="s">
        <v>232</v>
      </c>
      <c r="BM460" s="1" t="s">
        <v>9563</v>
      </c>
      <c r="BN460" s="1">
        <v>3.8481822E7</v>
      </c>
      <c r="BO460" s="1" t="s">
        <v>284</v>
      </c>
      <c r="BP460" s="1" t="s">
        <v>74</v>
      </c>
      <c r="BQ460" s="1" t="s">
        <v>74</v>
      </c>
      <c r="BR460" s="1" t="s">
        <v>102</v>
      </c>
      <c r="BS460" s="1" t="s">
        <v>9564</v>
      </c>
      <c r="BT460" s="1" t="str">
        <f>HYPERLINK("https%3A%2F%2Fwww.webofscience.com%2Fwos%2Fwoscc%2Ffull-record%2FWOS:001182351800001","View Full Record in Web of Science")</f>
        <v>View Full Record in Web of Science</v>
      </c>
    </row>
    <row r="461" ht="12.75" customHeight="1">
      <c r="A461" s="1" t="s">
        <v>72</v>
      </c>
      <c r="B461" s="1" t="s">
        <v>9565</v>
      </c>
      <c r="C461" s="1" t="s">
        <v>74</v>
      </c>
      <c r="D461" s="1" t="s">
        <v>9566</v>
      </c>
      <c r="E461" s="1" t="s">
        <v>74</v>
      </c>
      <c r="F461" s="1" t="s">
        <v>9567</v>
      </c>
      <c r="G461" s="1" t="s">
        <v>74</v>
      </c>
      <c r="H461" s="1" t="s">
        <v>74</v>
      </c>
      <c r="I461" s="1" t="s">
        <v>9568</v>
      </c>
      <c r="J461" s="1" t="s">
        <v>9569</v>
      </c>
      <c r="K461" s="1" t="s">
        <v>414</v>
      </c>
      <c r="L461" s="1" t="s">
        <v>74</v>
      </c>
      <c r="M461" s="1" t="s">
        <v>80</v>
      </c>
      <c r="N461" s="1" t="s">
        <v>81</v>
      </c>
      <c r="O461" s="1" t="s">
        <v>9570</v>
      </c>
      <c r="P461" s="1" t="s">
        <v>9571</v>
      </c>
      <c r="Q461" s="1" t="s">
        <v>9572</v>
      </c>
      <c r="R461" s="1" t="s">
        <v>9573</v>
      </c>
      <c r="S461" s="1" t="s">
        <v>74</v>
      </c>
      <c r="T461" s="1" t="s">
        <v>9574</v>
      </c>
      <c r="U461" s="1" t="s">
        <v>74</v>
      </c>
      <c r="V461" s="1" t="s">
        <v>9575</v>
      </c>
      <c r="W461" s="1" t="s">
        <v>9576</v>
      </c>
      <c r="X461" s="1" t="s">
        <v>9577</v>
      </c>
      <c r="Y461" s="1" t="s">
        <v>9578</v>
      </c>
      <c r="Z461" s="1" t="s">
        <v>9579</v>
      </c>
      <c r="AA461" s="1" t="s">
        <v>74</v>
      </c>
      <c r="AB461" s="1" t="s">
        <v>9580</v>
      </c>
      <c r="AC461" s="1" t="s">
        <v>9581</v>
      </c>
      <c r="AD461" s="1" t="s">
        <v>9582</v>
      </c>
      <c r="AE461" s="1" t="s">
        <v>9583</v>
      </c>
      <c r="AF461" s="1" t="s">
        <v>74</v>
      </c>
      <c r="AG461" s="1">
        <v>28.0</v>
      </c>
      <c r="AH461" s="1">
        <v>0.0</v>
      </c>
      <c r="AI461" s="1">
        <v>0.0</v>
      </c>
      <c r="AJ461" s="1">
        <v>3.0</v>
      </c>
      <c r="AK461" s="1">
        <v>3.0</v>
      </c>
      <c r="AL461" s="1" t="s">
        <v>223</v>
      </c>
      <c r="AM461" s="1" t="s">
        <v>224</v>
      </c>
      <c r="AN461" s="1" t="s">
        <v>225</v>
      </c>
      <c r="AO461" s="1" t="s">
        <v>430</v>
      </c>
      <c r="AP461" s="1" t="s">
        <v>431</v>
      </c>
      <c r="AQ461" s="1" t="s">
        <v>9584</v>
      </c>
      <c r="AR461" s="1" t="s">
        <v>433</v>
      </c>
      <c r="AS461" s="1" t="s">
        <v>74</v>
      </c>
      <c r="AT461" s="1" t="s">
        <v>74</v>
      </c>
      <c r="AU461" s="1">
        <v>2024.0</v>
      </c>
      <c r="AV461" s="1">
        <v>2127.0</v>
      </c>
      <c r="AW461" s="1" t="s">
        <v>74</v>
      </c>
      <c r="AX461" s="1" t="s">
        <v>74</v>
      </c>
      <c r="AY461" s="1" t="s">
        <v>74</v>
      </c>
      <c r="AZ461" s="1" t="s">
        <v>74</v>
      </c>
      <c r="BA461" s="1" t="s">
        <v>74</v>
      </c>
      <c r="BB461" s="1">
        <v>30.0</v>
      </c>
      <c r="BC461" s="1">
        <v>43.0</v>
      </c>
      <c r="BD461" s="1" t="s">
        <v>74</v>
      </c>
      <c r="BE461" s="1" t="s">
        <v>9585</v>
      </c>
      <c r="BF461" s="2" t="str">
        <f>HYPERLINK("http://dx.doi.org/10.1007/978-3-031-68617-7_3","http://dx.doi.org/10.1007/978-3-031-68617-7_3")</f>
        <v>http://dx.doi.org/10.1007/978-3-031-68617-7_3</v>
      </c>
      <c r="BG461" s="1" t="s">
        <v>74</v>
      </c>
      <c r="BH461" s="1" t="s">
        <v>74</v>
      </c>
      <c r="BI461" s="1">
        <v>14.0</v>
      </c>
      <c r="BJ461" s="1" t="s">
        <v>257</v>
      </c>
      <c r="BK461" s="1" t="s">
        <v>128</v>
      </c>
      <c r="BL461" s="1" t="s">
        <v>232</v>
      </c>
      <c r="BM461" s="1" t="s">
        <v>9586</v>
      </c>
      <c r="BN461" s="1" t="s">
        <v>74</v>
      </c>
      <c r="BO461" s="1" t="s">
        <v>74</v>
      </c>
      <c r="BP461" s="1" t="s">
        <v>74</v>
      </c>
      <c r="BQ461" s="1" t="s">
        <v>74</v>
      </c>
      <c r="BR461" s="1" t="s">
        <v>102</v>
      </c>
      <c r="BS461" s="1" t="s">
        <v>9587</v>
      </c>
      <c r="BT461" s="1" t="str">
        <f>HYPERLINK("https%3A%2F%2Fwww.webofscience.com%2Fwos%2Fwoscc%2Ffull-record%2FWOS:001321501500003","View Full Record in Web of Science")</f>
        <v>View Full Record in Web of Science</v>
      </c>
    </row>
    <row r="462" ht="12.75" customHeight="1">
      <c r="A462" s="1" t="s">
        <v>72</v>
      </c>
      <c r="B462" s="1" t="s">
        <v>9588</v>
      </c>
      <c r="C462" s="1" t="s">
        <v>74</v>
      </c>
      <c r="D462" s="1" t="s">
        <v>9589</v>
      </c>
      <c r="E462" s="1" t="s">
        <v>74</v>
      </c>
      <c r="F462" s="1" t="s">
        <v>9590</v>
      </c>
      <c r="G462" s="1" t="s">
        <v>74</v>
      </c>
      <c r="H462" s="1" t="s">
        <v>74</v>
      </c>
      <c r="I462" s="1" t="s">
        <v>9591</v>
      </c>
      <c r="J462" s="1" t="s">
        <v>9592</v>
      </c>
      <c r="K462" s="1" t="s">
        <v>924</v>
      </c>
      <c r="L462" s="1" t="s">
        <v>74</v>
      </c>
      <c r="M462" s="1" t="s">
        <v>80</v>
      </c>
      <c r="N462" s="1" t="s">
        <v>81</v>
      </c>
      <c r="O462" s="1" t="s">
        <v>9593</v>
      </c>
      <c r="P462" s="1" t="s">
        <v>9594</v>
      </c>
      <c r="Q462" s="1" t="s">
        <v>9595</v>
      </c>
      <c r="R462" s="1" t="s">
        <v>9596</v>
      </c>
      <c r="S462" s="1" t="s">
        <v>74</v>
      </c>
      <c r="T462" s="1" t="s">
        <v>9597</v>
      </c>
      <c r="U462" s="1" t="s">
        <v>74</v>
      </c>
      <c r="V462" s="1" t="s">
        <v>9598</v>
      </c>
      <c r="W462" s="1" t="s">
        <v>9599</v>
      </c>
      <c r="X462" s="1" t="s">
        <v>9600</v>
      </c>
      <c r="Y462" s="1" t="s">
        <v>9601</v>
      </c>
      <c r="Z462" s="1" t="s">
        <v>9602</v>
      </c>
      <c r="AA462" s="1" t="s">
        <v>9603</v>
      </c>
      <c r="AB462" s="1" t="s">
        <v>9604</v>
      </c>
      <c r="AC462" s="1" t="s">
        <v>74</v>
      </c>
      <c r="AD462" s="1" t="s">
        <v>74</v>
      </c>
      <c r="AE462" s="1" t="s">
        <v>74</v>
      </c>
      <c r="AF462" s="1" t="s">
        <v>74</v>
      </c>
      <c r="AG462" s="1">
        <v>6.0</v>
      </c>
      <c r="AH462" s="1">
        <v>11.0</v>
      </c>
      <c r="AI462" s="1">
        <v>11.0</v>
      </c>
      <c r="AJ462" s="1">
        <v>0.0</v>
      </c>
      <c r="AK462" s="1">
        <v>4.0</v>
      </c>
      <c r="AL462" s="1" t="s">
        <v>9605</v>
      </c>
      <c r="AM462" s="1" t="s">
        <v>822</v>
      </c>
      <c r="AN462" s="1" t="s">
        <v>9606</v>
      </c>
      <c r="AO462" s="1" t="s">
        <v>3852</v>
      </c>
      <c r="AP462" s="1" t="s">
        <v>74</v>
      </c>
      <c r="AQ462" s="1" t="s">
        <v>9607</v>
      </c>
      <c r="AR462" s="1" t="s">
        <v>944</v>
      </c>
      <c r="AS462" s="1" t="s">
        <v>74</v>
      </c>
      <c r="AT462" s="1" t="s">
        <v>74</v>
      </c>
      <c r="AU462" s="1">
        <v>2012.0</v>
      </c>
      <c r="AV462" s="1">
        <v>7267.0</v>
      </c>
      <c r="AW462" s="1" t="s">
        <v>74</v>
      </c>
      <c r="AX462" s="1" t="s">
        <v>74</v>
      </c>
      <c r="AY462" s="1" t="s">
        <v>74</v>
      </c>
      <c r="AZ462" s="1" t="s">
        <v>74</v>
      </c>
      <c r="BA462" s="1" t="s">
        <v>74</v>
      </c>
      <c r="BB462" s="1">
        <v>81.0</v>
      </c>
      <c r="BC462" s="1">
        <v>89.0</v>
      </c>
      <c r="BD462" s="1" t="s">
        <v>74</v>
      </c>
      <c r="BE462" s="1" t="s">
        <v>74</v>
      </c>
      <c r="BF462" s="1" t="s">
        <v>74</v>
      </c>
      <c r="BG462" s="1" t="s">
        <v>74</v>
      </c>
      <c r="BH462" s="1" t="s">
        <v>74</v>
      </c>
      <c r="BI462" s="1">
        <v>9.0</v>
      </c>
      <c r="BJ462" s="1" t="s">
        <v>1214</v>
      </c>
      <c r="BK462" s="1" t="s">
        <v>128</v>
      </c>
      <c r="BL462" s="1" t="s">
        <v>232</v>
      </c>
      <c r="BM462" s="1" t="s">
        <v>9608</v>
      </c>
      <c r="BN462" s="1" t="s">
        <v>74</v>
      </c>
      <c r="BO462" s="1" t="s">
        <v>74</v>
      </c>
      <c r="BP462" s="1" t="s">
        <v>74</v>
      </c>
      <c r="BQ462" s="1" t="s">
        <v>74</v>
      </c>
      <c r="BR462" s="1" t="s">
        <v>102</v>
      </c>
      <c r="BS462" s="1" t="s">
        <v>9609</v>
      </c>
      <c r="BT462" s="1" t="str">
        <f>HYPERLINK("https%3A%2F%2Fwww.webofscience.com%2Fwos%2Fwoscc%2Ffull-record%2FWOS:000314211700010","View Full Record in Web of Science")</f>
        <v>View Full Record in Web of Science</v>
      </c>
    </row>
    <row r="463" ht="12.75" customHeight="1">
      <c r="A463" s="1" t="s">
        <v>132</v>
      </c>
      <c r="B463" s="1" t="s">
        <v>9610</v>
      </c>
      <c r="C463" s="1" t="s">
        <v>74</v>
      </c>
      <c r="D463" s="1" t="s">
        <v>74</v>
      </c>
      <c r="E463" s="1" t="s">
        <v>74</v>
      </c>
      <c r="F463" s="1" t="s">
        <v>9611</v>
      </c>
      <c r="G463" s="1" t="s">
        <v>74</v>
      </c>
      <c r="H463" s="1" t="s">
        <v>74</v>
      </c>
      <c r="I463" s="1" t="s">
        <v>9612</v>
      </c>
      <c r="J463" s="1" t="s">
        <v>9613</v>
      </c>
      <c r="K463" s="1" t="s">
        <v>74</v>
      </c>
      <c r="L463" s="1" t="s">
        <v>74</v>
      </c>
      <c r="M463" s="1" t="s">
        <v>80</v>
      </c>
      <c r="N463" s="1" t="s">
        <v>136</v>
      </c>
      <c r="O463" s="1" t="s">
        <v>74</v>
      </c>
      <c r="P463" s="1" t="s">
        <v>74</v>
      </c>
      <c r="Q463" s="1" t="s">
        <v>74</v>
      </c>
      <c r="R463" s="1" t="s">
        <v>74</v>
      </c>
      <c r="S463" s="1" t="s">
        <v>74</v>
      </c>
      <c r="T463" s="1" t="s">
        <v>9614</v>
      </c>
      <c r="U463" s="1" t="s">
        <v>217</v>
      </c>
      <c r="V463" s="1" t="s">
        <v>9615</v>
      </c>
      <c r="W463" s="1" t="s">
        <v>9616</v>
      </c>
      <c r="X463" s="1" t="s">
        <v>9617</v>
      </c>
      <c r="Y463" s="1" t="s">
        <v>9618</v>
      </c>
      <c r="Z463" s="1" t="s">
        <v>9619</v>
      </c>
      <c r="AA463" s="1" t="s">
        <v>9620</v>
      </c>
      <c r="AB463" s="1" t="s">
        <v>9621</v>
      </c>
      <c r="AC463" s="1" t="s">
        <v>74</v>
      </c>
      <c r="AD463" s="1" t="s">
        <v>74</v>
      </c>
      <c r="AE463" s="1" t="s">
        <v>74</v>
      </c>
      <c r="AF463" s="1" t="s">
        <v>74</v>
      </c>
      <c r="AG463" s="1">
        <v>61.0</v>
      </c>
      <c r="AH463" s="1">
        <v>19.0</v>
      </c>
      <c r="AI463" s="1">
        <v>19.0</v>
      </c>
      <c r="AJ463" s="1">
        <v>18.0</v>
      </c>
      <c r="AK463" s="1">
        <v>88.0</v>
      </c>
      <c r="AL463" s="1" t="s">
        <v>9622</v>
      </c>
      <c r="AM463" s="1" t="s">
        <v>4584</v>
      </c>
      <c r="AN463" s="1" t="s">
        <v>9623</v>
      </c>
      <c r="AO463" s="1" t="s">
        <v>74</v>
      </c>
      <c r="AP463" s="1" t="s">
        <v>9624</v>
      </c>
      <c r="AQ463" s="1" t="s">
        <v>74</v>
      </c>
      <c r="AR463" s="1" t="s">
        <v>9613</v>
      </c>
      <c r="AS463" s="1" t="s">
        <v>9625</v>
      </c>
      <c r="AT463" s="1" t="s">
        <v>1709</v>
      </c>
      <c r="AU463" s="1">
        <v>2023.0</v>
      </c>
      <c r="AV463" s="1">
        <v>9.0</v>
      </c>
      <c r="AW463" s="1">
        <v>9.0</v>
      </c>
      <c r="AX463" s="1" t="s">
        <v>74</v>
      </c>
      <c r="AY463" s="1" t="s">
        <v>74</v>
      </c>
      <c r="AZ463" s="1" t="s">
        <v>74</v>
      </c>
      <c r="BA463" s="1" t="s">
        <v>74</v>
      </c>
      <c r="BB463" s="1" t="s">
        <v>74</v>
      </c>
      <c r="BC463" s="1" t="s">
        <v>74</v>
      </c>
      <c r="BD463" s="1" t="s">
        <v>9626</v>
      </c>
      <c r="BE463" s="1" t="s">
        <v>9627</v>
      </c>
      <c r="BF463" s="2" t="str">
        <f>HYPERLINK("http://dx.doi.org/10.1016/j.heliyon.2023.e19688","http://dx.doi.org/10.1016/j.heliyon.2023.e19688")</f>
        <v>http://dx.doi.org/10.1016/j.heliyon.2023.e19688</v>
      </c>
      <c r="BG463" s="1" t="s">
        <v>74</v>
      </c>
      <c r="BH463" s="1" t="s">
        <v>357</v>
      </c>
      <c r="BI463" s="1">
        <v>11.0</v>
      </c>
      <c r="BJ463" s="1" t="s">
        <v>4714</v>
      </c>
      <c r="BK463" s="1" t="s">
        <v>149</v>
      </c>
      <c r="BL463" s="1" t="s">
        <v>4715</v>
      </c>
      <c r="BM463" s="1" t="s">
        <v>9628</v>
      </c>
      <c r="BN463" s="1">
        <v>3.7809772E7</v>
      </c>
      <c r="BO463" s="1" t="s">
        <v>1161</v>
      </c>
      <c r="BP463" s="1" t="s">
        <v>74</v>
      </c>
      <c r="BQ463" s="1" t="s">
        <v>74</v>
      </c>
      <c r="BR463" s="1" t="s">
        <v>102</v>
      </c>
      <c r="BS463" s="1" t="s">
        <v>9629</v>
      </c>
      <c r="BT463" s="1" t="str">
        <f>HYPERLINK("https%3A%2F%2Fwww.webofscience.com%2Fwos%2Fwoscc%2Ffull-record%2FWOS:001071593500001","View Full Record in Web of Science")</f>
        <v>View Full Record in Web of Science</v>
      </c>
    </row>
    <row r="464" ht="12.75" customHeight="1">
      <c r="A464" s="1" t="s">
        <v>132</v>
      </c>
      <c r="B464" s="1" t="s">
        <v>9630</v>
      </c>
      <c r="C464" s="1" t="s">
        <v>74</v>
      </c>
      <c r="D464" s="1" t="s">
        <v>74</v>
      </c>
      <c r="E464" s="1" t="s">
        <v>74</v>
      </c>
      <c r="F464" s="1" t="s">
        <v>9631</v>
      </c>
      <c r="G464" s="1" t="s">
        <v>74</v>
      </c>
      <c r="H464" s="1" t="s">
        <v>74</v>
      </c>
      <c r="I464" s="1" t="s">
        <v>9632</v>
      </c>
      <c r="J464" s="1" t="s">
        <v>9633</v>
      </c>
      <c r="K464" s="1" t="s">
        <v>74</v>
      </c>
      <c r="L464" s="1" t="s">
        <v>74</v>
      </c>
      <c r="M464" s="1" t="s">
        <v>80</v>
      </c>
      <c r="N464" s="1" t="s">
        <v>136</v>
      </c>
      <c r="O464" s="1" t="s">
        <v>74</v>
      </c>
      <c r="P464" s="1" t="s">
        <v>74</v>
      </c>
      <c r="Q464" s="1" t="s">
        <v>74</v>
      </c>
      <c r="R464" s="1" t="s">
        <v>74</v>
      </c>
      <c r="S464" s="1" t="s">
        <v>74</v>
      </c>
      <c r="T464" s="1" t="s">
        <v>9634</v>
      </c>
      <c r="U464" s="1" t="s">
        <v>74</v>
      </c>
      <c r="V464" s="1" t="s">
        <v>9635</v>
      </c>
      <c r="W464" s="1" t="s">
        <v>9636</v>
      </c>
      <c r="X464" s="1" t="s">
        <v>74</v>
      </c>
      <c r="Y464" s="1" t="s">
        <v>9637</v>
      </c>
      <c r="Z464" s="1" t="s">
        <v>74</v>
      </c>
      <c r="AA464" s="1" t="s">
        <v>9638</v>
      </c>
      <c r="AB464" s="1" t="s">
        <v>9639</v>
      </c>
      <c r="AC464" s="1" t="s">
        <v>74</v>
      </c>
      <c r="AD464" s="1" t="s">
        <v>74</v>
      </c>
      <c r="AE464" s="1" t="s">
        <v>74</v>
      </c>
      <c r="AF464" s="1" t="s">
        <v>74</v>
      </c>
      <c r="AG464" s="1">
        <v>44.0</v>
      </c>
      <c r="AH464" s="1">
        <v>23.0</v>
      </c>
      <c r="AI464" s="1">
        <v>23.0</v>
      </c>
      <c r="AJ464" s="1">
        <v>33.0</v>
      </c>
      <c r="AK464" s="1">
        <v>141.0</v>
      </c>
      <c r="AL464" s="1" t="s">
        <v>9640</v>
      </c>
      <c r="AM464" s="1" t="s">
        <v>9641</v>
      </c>
      <c r="AN464" s="1" t="s">
        <v>9642</v>
      </c>
      <c r="AO464" s="1" t="s">
        <v>9643</v>
      </c>
      <c r="AP464" s="1" t="s">
        <v>74</v>
      </c>
      <c r="AQ464" s="1" t="s">
        <v>74</v>
      </c>
      <c r="AR464" s="1" t="s">
        <v>9644</v>
      </c>
      <c r="AS464" s="1" t="s">
        <v>9645</v>
      </c>
      <c r="AT464" s="1" t="s">
        <v>5759</v>
      </c>
      <c r="AU464" s="1">
        <v>2024.0</v>
      </c>
      <c r="AV464" s="1">
        <v>11.0</v>
      </c>
      <c r="AW464" s="1">
        <v>1.0</v>
      </c>
      <c r="AX464" s="1" t="s">
        <v>74</v>
      </c>
      <c r="AY464" s="1" t="s">
        <v>74</v>
      </c>
      <c r="AZ464" s="1" t="s">
        <v>74</v>
      </c>
      <c r="BA464" s="1" t="s">
        <v>74</v>
      </c>
      <c r="BB464" s="1" t="s">
        <v>74</v>
      </c>
      <c r="BC464" s="1" t="s">
        <v>74</v>
      </c>
      <c r="BD464" s="1">
        <v>2287917.0</v>
      </c>
      <c r="BE464" s="1" t="s">
        <v>9646</v>
      </c>
      <c r="BF464" s="2" t="str">
        <f>HYPERLINK("http://dx.doi.org/10.1080/2331186X.2023.2287917","http://dx.doi.org/10.1080/2331186X.2023.2287917")</f>
        <v>http://dx.doi.org/10.1080/2331186X.2023.2287917</v>
      </c>
      <c r="BG464" s="1" t="s">
        <v>74</v>
      </c>
      <c r="BH464" s="1" t="s">
        <v>74</v>
      </c>
      <c r="BI464" s="1">
        <v>24.0</v>
      </c>
      <c r="BJ464" s="1" t="s">
        <v>171</v>
      </c>
      <c r="BK464" s="1" t="s">
        <v>172</v>
      </c>
      <c r="BL464" s="1" t="s">
        <v>171</v>
      </c>
      <c r="BM464" s="1" t="s">
        <v>9647</v>
      </c>
      <c r="BN464" s="1" t="s">
        <v>74</v>
      </c>
      <c r="BO464" s="1" t="s">
        <v>174</v>
      </c>
      <c r="BP464" s="1" t="s">
        <v>74</v>
      </c>
      <c r="BQ464" s="1" t="s">
        <v>74</v>
      </c>
      <c r="BR464" s="1" t="s">
        <v>102</v>
      </c>
      <c r="BS464" s="1" t="s">
        <v>9648</v>
      </c>
      <c r="BT464" s="1" t="str">
        <f>HYPERLINK("https%3A%2F%2Fwww.webofscience.com%2Fwos%2Fwoscc%2Ffull-record%2FWOS:001114746000001","View Full Record in Web of Science")</f>
        <v>View Full Record in Web of Science</v>
      </c>
    </row>
    <row r="465" ht="12.75" customHeight="1">
      <c r="A465" s="1" t="s">
        <v>132</v>
      </c>
      <c r="B465" s="1" t="s">
        <v>9649</v>
      </c>
      <c r="C465" s="1" t="s">
        <v>74</v>
      </c>
      <c r="D465" s="1" t="s">
        <v>74</v>
      </c>
      <c r="E465" s="1" t="s">
        <v>74</v>
      </c>
      <c r="F465" s="1" t="s">
        <v>9650</v>
      </c>
      <c r="G465" s="1" t="s">
        <v>74</v>
      </c>
      <c r="H465" s="1" t="s">
        <v>74</v>
      </c>
      <c r="I465" s="1" t="s">
        <v>9651</v>
      </c>
      <c r="J465" s="1" t="s">
        <v>9652</v>
      </c>
      <c r="K465" s="1" t="s">
        <v>74</v>
      </c>
      <c r="L465" s="1" t="s">
        <v>74</v>
      </c>
      <c r="M465" s="1" t="s">
        <v>80</v>
      </c>
      <c r="N465" s="1" t="s">
        <v>1010</v>
      </c>
      <c r="O465" s="1" t="s">
        <v>74</v>
      </c>
      <c r="P465" s="1" t="s">
        <v>74</v>
      </c>
      <c r="Q465" s="1" t="s">
        <v>74</v>
      </c>
      <c r="R465" s="1" t="s">
        <v>74</v>
      </c>
      <c r="S465" s="1" t="s">
        <v>74</v>
      </c>
      <c r="T465" s="1" t="s">
        <v>9653</v>
      </c>
      <c r="U465" s="1" t="s">
        <v>9654</v>
      </c>
      <c r="V465" s="1" t="s">
        <v>9655</v>
      </c>
      <c r="W465" s="1" t="s">
        <v>9656</v>
      </c>
      <c r="X465" s="1" t="s">
        <v>9657</v>
      </c>
      <c r="Y465" s="1" t="s">
        <v>9658</v>
      </c>
      <c r="Z465" s="1" t="s">
        <v>9659</v>
      </c>
      <c r="AA465" s="1" t="s">
        <v>9660</v>
      </c>
      <c r="AB465" s="1" t="s">
        <v>9661</v>
      </c>
      <c r="AC465" s="1" t="s">
        <v>74</v>
      </c>
      <c r="AD465" s="1" t="s">
        <v>74</v>
      </c>
      <c r="AE465" s="1" t="s">
        <v>74</v>
      </c>
      <c r="AF465" s="1" t="s">
        <v>74</v>
      </c>
      <c r="AG465" s="1">
        <v>138.0</v>
      </c>
      <c r="AH465" s="1">
        <v>9.0</v>
      </c>
      <c r="AI465" s="1">
        <v>10.0</v>
      </c>
      <c r="AJ465" s="1">
        <v>2.0</v>
      </c>
      <c r="AK465" s="1">
        <v>39.0</v>
      </c>
      <c r="AL465" s="1" t="s">
        <v>1970</v>
      </c>
      <c r="AM465" s="1" t="s">
        <v>1658</v>
      </c>
      <c r="AN465" s="1" t="s">
        <v>1971</v>
      </c>
      <c r="AO465" s="1" t="s">
        <v>74</v>
      </c>
      <c r="AP465" s="1" t="s">
        <v>9662</v>
      </c>
      <c r="AQ465" s="1" t="s">
        <v>74</v>
      </c>
      <c r="AR465" s="1" t="s">
        <v>9652</v>
      </c>
      <c r="AS465" s="1" t="s">
        <v>9663</v>
      </c>
      <c r="AT465" s="1" t="s">
        <v>199</v>
      </c>
      <c r="AU465" s="1">
        <v>2021.0</v>
      </c>
      <c r="AV465" s="1">
        <v>13.0</v>
      </c>
      <c r="AW465" s="1">
        <v>21.0</v>
      </c>
      <c r="AX465" s="1" t="s">
        <v>74</v>
      </c>
      <c r="AY465" s="1" t="s">
        <v>74</v>
      </c>
      <c r="AZ465" s="1" t="s">
        <v>74</v>
      </c>
      <c r="BA465" s="1" t="s">
        <v>74</v>
      </c>
      <c r="BB465" s="1" t="s">
        <v>74</v>
      </c>
      <c r="BC465" s="1" t="s">
        <v>74</v>
      </c>
      <c r="BD465" s="1">
        <v>5494.0</v>
      </c>
      <c r="BE465" s="1" t="s">
        <v>9664</v>
      </c>
      <c r="BF465" s="2" t="str">
        <f>HYPERLINK("http://dx.doi.org/10.3390/cancers13215494","http://dx.doi.org/10.3390/cancers13215494")</f>
        <v>http://dx.doi.org/10.3390/cancers13215494</v>
      </c>
      <c r="BG465" s="1" t="s">
        <v>74</v>
      </c>
      <c r="BH465" s="1" t="s">
        <v>74</v>
      </c>
      <c r="BI465" s="1">
        <v>23.0</v>
      </c>
      <c r="BJ465" s="1" t="s">
        <v>1904</v>
      </c>
      <c r="BK465" s="1" t="s">
        <v>149</v>
      </c>
      <c r="BL465" s="1" t="s">
        <v>1904</v>
      </c>
      <c r="BM465" s="1" t="s">
        <v>9665</v>
      </c>
      <c r="BN465" s="1">
        <v>3.4771658E7</v>
      </c>
      <c r="BO465" s="1" t="s">
        <v>1161</v>
      </c>
      <c r="BP465" s="1" t="s">
        <v>74</v>
      </c>
      <c r="BQ465" s="1" t="s">
        <v>74</v>
      </c>
      <c r="BR465" s="1" t="s">
        <v>102</v>
      </c>
      <c r="BS465" s="1" t="s">
        <v>9666</v>
      </c>
      <c r="BT465" s="1" t="str">
        <f>HYPERLINK("https%3A%2F%2Fwww.webofscience.com%2Fwos%2Fwoscc%2Ffull-record%2FWOS:000719194900001","View Full Record in Web of Science")</f>
        <v>View Full Record in Web of Science</v>
      </c>
    </row>
    <row r="466" ht="12.75" customHeight="1">
      <c r="A466" s="1" t="s">
        <v>132</v>
      </c>
      <c r="B466" s="1" t="s">
        <v>9667</v>
      </c>
      <c r="C466" s="1" t="s">
        <v>74</v>
      </c>
      <c r="D466" s="1" t="s">
        <v>74</v>
      </c>
      <c r="E466" s="1" t="s">
        <v>74</v>
      </c>
      <c r="F466" s="1" t="s">
        <v>9668</v>
      </c>
      <c r="G466" s="1" t="s">
        <v>74</v>
      </c>
      <c r="H466" s="1" t="s">
        <v>74</v>
      </c>
      <c r="I466" s="1" t="s">
        <v>9669</v>
      </c>
      <c r="J466" s="1" t="s">
        <v>5457</v>
      </c>
      <c r="K466" s="1" t="s">
        <v>74</v>
      </c>
      <c r="L466" s="1" t="s">
        <v>74</v>
      </c>
      <c r="M466" s="1" t="s">
        <v>9670</v>
      </c>
      <c r="N466" s="1" t="s">
        <v>136</v>
      </c>
      <c r="O466" s="1" t="s">
        <v>74</v>
      </c>
      <c r="P466" s="1" t="s">
        <v>74</v>
      </c>
      <c r="Q466" s="1" t="s">
        <v>74</v>
      </c>
      <c r="R466" s="1" t="s">
        <v>74</v>
      </c>
      <c r="S466" s="1" t="s">
        <v>74</v>
      </c>
      <c r="T466" s="1" t="s">
        <v>9671</v>
      </c>
      <c r="U466" s="1" t="s">
        <v>74</v>
      </c>
      <c r="V466" s="1" t="s">
        <v>9672</v>
      </c>
      <c r="W466" s="1" t="s">
        <v>9673</v>
      </c>
      <c r="X466" s="1" t="s">
        <v>9674</v>
      </c>
      <c r="Y466" s="1" t="s">
        <v>9675</v>
      </c>
      <c r="Z466" s="1" t="s">
        <v>9676</v>
      </c>
      <c r="AA466" s="1" t="s">
        <v>9677</v>
      </c>
      <c r="AB466" s="1" t="s">
        <v>9678</v>
      </c>
      <c r="AC466" s="1" t="s">
        <v>74</v>
      </c>
      <c r="AD466" s="1" t="s">
        <v>74</v>
      </c>
      <c r="AE466" s="1" t="s">
        <v>74</v>
      </c>
      <c r="AF466" s="1" t="s">
        <v>74</v>
      </c>
      <c r="AG466" s="1">
        <v>7.0</v>
      </c>
      <c r="AH466" s="1">
        <v>0.0</v>
      </c>
      <c r="AI466" s="1">
        <v>0.0</v>
      </c>
      <c r="AJ466" s="1">
        <v>11.0</v>
      </c>
      <c r="AK466" s="1">
        <v>11.0</v>
      </c>
      <c r="AL466" s="1" t="s">
        <v>3701</v>
      </c>
      <c r="AM466" s="1" t="s">
        <v>3702</v>
      </c>
      <c r="AN466" s="1" t="s">
        <v>3703</v>
      </c>
      <c r="AO466" s="1" t="s">
        <v>5469</v>
      </c>
      <c r="AP466" s="1" t="s">
        <v>5470</v>
      </c>
      <c r="AQ466" s="1" t="s">
        <v>74</v>
      </c>
      <c r="AR466" s="1" t="s">
        <v>5471</v>
      </c>
      <c r="AS466" s="1" t="s">
        <v>5472</v>
      </c>
      <c r="AT466" s="1" t="s">
        <v>74</v>
      </c>
      <c r="AU466" s="1">
        <v>2024.0</v>
      </c>
      <c r="AV466" s="1">
        <v>32.0</v>
      </c>
      <c r="AW466" s="1">
        <v>3.0</v>
      </c>
      <c r="AX466" s="1" t="s">
        <v>74</v>
      </c>
      <c r="AY466" s="1" t="s">
        <v>74</v>
      </c>
      <c r="AZ466" s="1" t="s">
        <v>74</v>
      </c>
      <c r="BA466" s="1" t="s">
        <v>74</v>
      </c>
      <c r="BB466" s="1">
        <v>337.0</v>
      </c>
      <c r="BC466" s="1">
        <v>354.0</v>
      </c>
      <c r="BD466" s="1" t="s">
        <v>74</v>
      </c>
      <c r="BE466" s="1" t="s">
        <v>9679</v>
      </c>
      <c r="BF466" s="2" t="str">
        <f>HYPERLINK("http://dx.doi.org/10.53656/str2024-3-7-aif","http://dx.doi.org/10.53656/str2024-3-7-aif")</f>
        <v>http://dx.doi.org/10.53656/str2024-3-7-aif</v>
      </c>
      <c r="BG466" s="1" t="s">
        <v>74</v>
      </c>
      <c r="BH466" s="1" t="s">
        <v>74</v>
      </c>
      <c r="BI466" s="1">
        <v>18.0</v>
      </c>
      <c r="BJ466" s="1" t="s">
        <v>171</v>
      </c>
      <c r="BK466" s="1" t="s">
        <v>172</v>
      </c>
      <c r="BL466" s="1" t="s">
        <v>171</v>
      </c>
      <c r="BM466" s="1" t="s">
        <v>9680</v>
      </c>
      <c r="BN466" s="1" t="s">
        <v>74</v>
      </c>
      <c r="BO466" s="1" t="s">
        <v>74</v>
      </c>
      <c r="BP466" s="1" t="s">
        <v>74</v>
      </c>
      <c r="BQ466" s="1" t="s">
        <v>74</v>
      </c>
      <c r="BR466" s="1" t="s">
        <v>102</v>
      </c>
      <c r="BS466" s="1" t="s">
        <v>9681</v>
      </c>
      <c r="BT466" s="1" t="str">
        <f>HYPERLINK("https%3A%2F%2Fwww.webofscience.com%2Fwos%2Fwoscc%2Ffull-record%2FWOS:001291562200007","View Full Record in Web of Science")</f>
        <v>View Full Record in Web of Science</v>
      </c>
    </row>
    <row r="467" ht="12.75" customHeight="1">
      <c r="A467" s="1" t="s">
        <v>132</v>
      </c>
      <c r="B467" s="1" t="s">
        <v>9682</v>
      </c>
      <c r="C467" s="1" t="s">
        <v>74</v>
      </c>
      <c r="D467" s="1" t="s">
        <v>74</v>
      </c>
      <c r="E467" s="1" t="s">
        <v>74</v>
      </c>
      <c r="F467" s="1" t="s">
        <v>9683</v>
      </c>
      <c r="G467" s="1" t="s">
        <v>74</v>
      </c>
      <c r="H467" s="1" t="s">
        <v>74</v>
      </c>
      <c r="I467" s="1" t="s">
        <v>9684</v>
      </c>
      <c r="J467" s="1" t="s">
        <v>9685</v>
      </c>
      <c r="K467" s="1" t="s">
        <v>74</v>
      </c>
      <c r="L467" s="1" t="s">
        <v>74</v>
      </c>
      <c r="M467" s="1" t="s">
        <v>80</v>
      </c>
      <c r="N467" s="1" t="s">
        <v>136</v>
      </c>
      <c r="O467" s="1" t="s">
        <v>74</v>
      </c>
      <c r="P467" s="1" t="s">
        <v>74</v>
      </c>
      <c r="Q467" s="1" t="s">
        <v>74</v>
      </c>
      <c r="R467" s="1" t="s">
        <v>74</v>
      </c>
      <c r="S467" s="1" t="s">
        <v>74</v>
      </c>
      <c r="T467" s="1" t="s">
        <v>9686</v>
      </c>
      <c r="U467" s="1" t="s">
        <v>74</v>
      </c>
      <c r="V467" s="1" t="s">
        <v>9687</v>
      </c>
      <c r="W467" s="1" t="s">
        <v>9688</v>
      </c>
      <c r="X467" s="1" t="s">
        <v>9689</v>
      </c>
      <c r="Y467" s="1" t="s">
        <v>9690</v>
      </c>
      <c r="Z467" s="1" t="s">
        <v>9691</v>
      </c>
      <c r="AA467" s="1" t="s">
        <v>9692</v>
      </c>
      <c r="AB467" s="1" t="s">
        <v>74</v>
      </c>
      <c r="AC467" s="1" t="s">
        <v>74</v>
      </c>
      <c r="AD467" s="1" t="s">
        <v>74</v>
      </c>
      <c r="AE467" s="1" t="s">
        <v>74</v>
      </c>
      <c r="AF467" s="1" t="s">
        <v>74</v>
      </c>
      <c r="AG467" s="1">
        <v>36.0</v>
      </c>
      <c r="AH467" s="1">
        <v>0.0</v>
      </c>
      <c r="AI467" s="1">
        <v>0.0</v>
      </c>
      <c r="AJ467" s="1">
        <v>0.0</v>
      </c>
      <c r="AK467" s="1">
        <v>0.0</v>
      </c>
      <c r="AL467" s="1" t="s">
        <v>3701</v>
      </c>
      <c r="AM467" s="1" t="s">
        <v>3702</v>
      </c>
      <c r="AN467" s="1" t="s">
        <v>3703</v>
      </c>
      <c r="AO467" s="1" t="s">
        <v>9693</v>
      </c>
      <c r="AP467" s="1" t="s">
        <v>9694</v>
      </c>
      <c r="AQ467" s="1" t="s">
        <v>74</v>
      </c>
      <c r="AR467" s="1" t="s">
        <v>9695</v>
      </c>
      <c r="AS467" s="1" t="s">
        <v>9696</v>
      </c>
      <c r="AT467" s="1" t="s">
        <v>74</v>
      </c>
      <c r="AU467" s="1">
        <v>2024.0</v>
      </c>
      <c r="AV467" s="1">
        <v>51.0</v>
      </c>
      <c r="AW467" s="1">
        <v>2.0</v>
      </c>
      <c r="AX467" s="1" t="s">
        <v>74</v>
      </c>
      <c r="AY467" s="1" t="s">
        <v>74</v>
      </c>
      <c r="AZ467" s="1" t="s">
        <v>74</v>
      </c>
      <c r="BA467" s="1" t="s">
        <v>74</v>
      </c>
      <c r="BB467" s="1" t="s">
        <v>74</v>
      </c>
      <c r="BC467" s="1" t="s">
        <v>74</v>
      </c>
      <c r="BD467" s="1" t="s">
        <v>74</v>
      </c>
      <c r="BE467" s="1" t="s">
        <v>9697</v>
      </c>
      <c r="BF467" s="2" t="str">
        <f>HYPERLINK("http://dx.doi.org/10.53656/for2024-02-09","http://dx.doi.org/10.53656/for2024-02-09")</f>
        <v>http://dx.doi.org/10.53656/for2024-02-09</v>
      </c>
      <c r="BG467" s="1" t="s">
        <v>74</v>
      </c>
      <c r="BH467" s="1" t="s">
        <v>74</v>
      </c>
      <c r="BI467" s="1">
        <v>16.0</v>
      </c>
      <c r="BJ467" s="1" t="s">
        <v>1255</v>
      </c>
      <c r="BK467" s="1" t="s">
        <v>172</v>
      </c>
      <c r="BL467" s="1" t="s">
        <v>1256</v>
      </c>
      <c r="BM467" s="1" t="s">
        <v>9698</v>
      </c>
      <c r="BN467" s="1" t="s">
        <v>74</v>
      </c>
      <c r="BO467" s="1" t="s">
        <v>74</v>
      </c>
      <c r="BP467" s="1" t="s">
        <v>74</v>
      </c>
      <c r="BQ467" s="1" t="s">
        <v>74</v>
      </c>
      <c r="BR467" s="1" t="s">
        <v>102</v>
      </c>
      <c r="BS467" s="1" t="s">
        <v>9699</v>
      </c>
      <c r="BT467" s="1" t="str">
        <f>HYPERLINK("https%3A%2F%2Fwww.webofscience.com%2Fwos%2Fwoscc%2Ffull-record%2FWOS:001245045900006","View Full Record in Web of Science")</f>
        <v>View Full Record in Web of Science</v>
      </c>
    </row>
    <row r="468" ht="12.75" customHeight="1">
      <c r="A468" s="1" t="s">
        <v>132</v>
      </c>
      <c r="B468" s="1" t="s">
        <v>9700</v>
      </c>
      <c r="C468" s="1" t="s">
        <v>74</v>
      </c>
      <c r="D468" s="1" t="s">
        <v>74</v>
      </c>
      <c r="E468" s="1" t="s">
        <v>74</v>
      </c>
      <c r="F468" s="1" t="s">
        <v>9701</v>
      </c>
      <c r="G468" s="1" t="s">
        <v>74</v>
      </c>
      <c r="H468" s="1" t="s">
        <v>74</v>
      </c>
      <c r="I468" s="1" t="s">
        <v>9702</v>
      </c>
      <c r="J468" s="1" t="s">
        <v>9703</v>
      </c>
      <c r="K468" s="1" t="s">
        <v>74</v>
      </c>
      <c r="L468" s="1" t="s">
        <v>74</v>
      </c>
      <c r="M468" s="1" t="s">
        <v>80</v>
      </c>
      <c r="N468" s="1" t="s">
        <v>1010</v>
      </c>
      <c r="O468" s="1" t="s">
        <v>74</v>
      </c>
      <c r="P468" s="1" t="s">
        <v>74</v>
      </c>
      <c r="Q468" s="1" t="s">
        <v>74</v>
      </c>
      <c r="R468" s="1" t="s">
        <v>74</v>
      </c>
      <c r="S468" s="1" t="s">
        <v>74</v>
      </c>
      <c r="T468" s="1" t="s">
        <v>9704</v>
      </c>
      <c r="U468" s="1" t="s">
        <v>9705</v>
      </c>
      <c r="V468" s="1" t="s">
        <v>9706</v>
      </c>
      <c r="W468" s="1" t="s">
        <v>9707</v>
      </c>
      <c r="X468" s="1" t="s">
        <v>9708</v>
      </c>
      <c r="Y468" s="1" t="s">
        <v>9709</v>
      </c>
      <c r="Z468" s="1" t="s">
        <v>9710</v>
      </c>
      <c r="AA468" s="1" t="s">
        <v>9711</v>
      </c>
      <c r="AB468" s="1" t="s">
        <v>9712</v>
      </c>
      <c r="AC468" s="1" t="s">
        <v>74</v>
      </c>
      <c r="AD468" s="1" t="s">
        <v>74</v>
      </c>
      <c r="AE468" s="1" t="s">
        <v>74</v>
      </c>
      <c r="AF468" s="1" t="s">
        <v>74</v>
      </c>
      <c r="AG468" s="1">
        <v>69.0</v>
      </c>
      <c r="AH468" s="1">
        <v>7.0</v>
      </c>
      <c r="AI468" s="1">
        <v>8.0</v>
      </c>
      <c r="AJ468" s="1">
        <v>2.0</v>
      </c>
      <c r="AK468" s="1">
        <v>14.0</v>
      </c>
      <c r="AL468" s="1" t="s">
        <v>8103</v>
      </c>
      <c r="AM468" s="1" t="s">
        <v>1021</v>
      </c>
      <c r="AN468" s="1" t="s">
        <v>8104</v>
      </c>
      <c r="AO468" s="1" t="s">
        <v>9713</v>
      </c>
      <c r="AP468" s="1" t="s">
        <v>9714</v>
      </c>
      <c r="AQ468" s="1" t="s">
        <v>74</v>
      </c>
      <c r="AR468" s="1" t="s">
        <v>9715</v>
      </c>
      <c r="AS468" s="1" t="s">
        <v>9716</v>
      </c>
      <c r="AT468" s="1" t="s">
        <v>328</v>
      </c>
      <c r="AU468" s="1">
        <v>2022.0</v>
      </c>
      <c r="AV468" s="1">
        <v>22.0</v>
      </c>
      <c r="AW468" s="1">
        <v>6.0</v>
      </c>
      <c r="AX468" s="1" t="s">
        <v>74</v>
      </c>
      <c r="AY468" s="1" t="s">
        <v>74</v>
      </c>
      <c r="AZ468" s="1" t="s">
        <v>74</v>
      </c>
      <c r="BA468" s="1" t="s">
        <v>74</v>
      </c>
      <c r="BB468" s="1">
        <v>267.0</v>
      </c>
      <c r="BC468" s="1">
        <v>274.0</v>
      </c>
      <c r="BD468" s="1" t="s">
        <v>74</v>
      </c>
      <c r="BE468" s="1" t="s">
        <v>9717</v>
      </c>
      <c r="BF468" s="2" t="str">
        <f>HYPERLINK("http://dx.doi.org/10.1007/s11892-022-01467-y","http://dx.doi.org/10.1007/s11892-022-01467-y")</f>
        <v>http://dx.doi.org/10.1007/s11892-022-01467-y</v>
      </c>
      <c r="BG468" s="1" t="s">
        <v>74</v>
      </c>
      <c r="BH468" s="1" t="s">
        <v>7215</v>
      </c>
      <c r="BI468" s="1">
        <v>8.0</v>
      </c>
      <c r="BJ468" s="1" t="s">
        <v>9718</v>
      </c>
      <c r="BK468" s="1" t="s">
        <v>149</v>
      </c>
      <c r="BL468" s="1" t="s">
        <v>9718</v>
      </c>
      <c r="BM468" s="1" t="s">
        <v>9719</v>
      </c>
      <c r="BN468" s="1">
        <v>3.5438458E7</v>
      </c>
      <c r="BO468" s="1" t="s">
        <v>74</v>
      </c>
      <c r="BP468" s="1" t="s">
        <v>74</v>
      </c>
      <c r="BQ468" s="1" t="s">
        <v>74</v>
      </c>
      <c r="BR468" s="1" t="s">
        <v>102</v>
      </c>
      <c r="BS468" s="1" t="s">
        <v>9720</v>
      </c>
      <c r="BT468" s="1" t="str">
        <f>HYPERLINK("https%3A%2F%2Fwww.webofscience.com%2Fwos%2Fwoscc%2Ffull-record%2FWOS:000784826900001","View Full Record in Web of Science")</f>
        <v>View Full Record in Web of Science</v>
      </c>
    </row>
    <row r="469" ht="12.75" customHeight="1">
      <c r="A469" s="1" t="s">
        <v>132</v>
      </c>
      <c r="B469" s="1" t="s">
        <v>9721</v>
      </c>
      <c r="C469" s="1" t="s">
        <v>74</v>
      </c>
      <c r="D469" s="1" t="s">
        <v>74</v>
      </c>
      <c r="E469" s="1" t="s">
        <v>74</v>
      </c>
      <c r="F469" s="1" t="s">
        <v>9722</v>
      </c>
      <c r="G469" s="1" t="s">
        <v>74</v>
      </c>
      <c r="H469" s="1" t="s">
        <v>74</v>
      </c>
      <c r="I469" s="1" t="s">
        <v>9723</v>
      </c>
      <c r="J469" s="1" t="s">
        <v>2273</v>
      </c>
      <c r="K469" s="1" t="s">
        <v>74</v>
      </c>
      <c r="L469" s="1" t="s">
        <v>74</v>
      </c>
      <c r="M469" s="1" t="s">
        <v>80</v>
      </c>
      <c r="N469" s="1" t="s">
        <v>136</v>
      </c>
      <c r="O469" s="1" t="s">
        <v>74</v>
      </c>
      <c r="P469" s="1" t="s">
        <v>74</v>
      </c>
      <c r="Q469" s="1" t="s">
        <v>74</v>
      </c>
      <c r="R469" s="1" t="s">
        <v>74</v>
      </c>
      <c r="S469" s="1" t="s">
        <v>74</v>
      </c>
      <c r="T469" s="1" t="s">
        <v>9724</v>
      </c>
      <c r="U469" s="1" t="s">
        <v>9725</v>
      </c>
      <c r="V469" s="1" t="s">
        <v>9726</v>
      </c>
      <c r="W469" s="1" t="s">
        <v>9727</v>
      </c>
      <c r="X469" s="1" t="s">
        <v>9728</v>
      </c>
      <c r="Y469" s="1" t="s">
        <v>9729</v>
      </c>
      <c r="Z469" s="1" t="s">
        <v>9730</v>
      </c>
      <c r="AA469" s="1" t="s">
        <v>74</v>
      </c>
      <c r="AB469" s="1" t="s">
        <v>74</v>
      </c>
      <c r="AC469" s="1" t="s">
        <v>9731</v>
      </c>
      <c r="AD469" s="1" t="s">
        <v>9732</v>
      </c>
      <c r="AE469" s="1" t="s">
        <v>9733</v>
      </c>
      <c r="AF469" s="1" t="s">
        <v>74</v>
      </c>
      <c r="AG469" s="1">
        <v>49.0</v>
      </c>
      <c r="AH469" s="1">
        <v>0.0</v>
      </c>
      <c r="AI469" s="1">
        <v>0.0</v>
      </c>
      <c r="AJ469" s="1">
        <v>4.0</v>
      </c>
      <c r="AK469" s="1">
        <v>4.0</v>
      </c>
      <c r="AL469" s="1" t="s">
        <v>1020</v>
      </c>
      <c r="AM469" s="1" t="s">
        <v>1021</v>
      </c>
      <c r="AN469" s="1" t="s">
        <v>1022</v>
      </c>
      <c r="AO469" s="1" t="s">
        <v>2281</v>
      </c>
      <c r="AP469" s="1" t="s">
        <v>2282</v>
      </c>
      <c r="AQ469" s="1" t="s">
        <v>74</v>
      </c>
      <c r="AR469" s="1" t="s">
        <v>2283</v>
      </c>
      <c r="AS469" s="1" t="s">
        <v>2284</v>
      </c>
      <c r="AT469" s="1" t="s">
        <v>1709</v>
      </c>
      <c r="AU469" s="1">
        <v>2024.0</v>
      </c>
      <c r="AV469" s="1">
        <v>30.0</v>
      </c>
      <c r="AW469" s="1">
        <v>5.0</v>
      </c>
      <c r="AX469" s="1" t="s">
        <v>74</v>
      </c>
      <c r="AY469" s="1" t="s">
        <v>74</v>
      </c>
      <c r="AZ469" s="1" t="s">
        <v>74</v>
      </c>
      <c r="BA469" s="1" t="s">
        <v>74</v>
      </c>
      <c r="BB469" s="1">
        <v>464.0</v>
      </c>
      <c r="BC469" s="1">
        <v>472.0</v>
      </c>
      <c r="BD469" s="1" t="s">
        <v>74</v>
      </c>
      <c r="BE469" s="1" t="s">
        <v>9734</v>
      </c>
      <c r="BF469" s="2" t="str">
        <f>HYPERLINK("http://dx.doi.org/10.1097/MCP.0000000000001103","http://dx.doi.org/10.1097/MCP.0000000000001103")</f>
        <v>http://dx.doi.org/10.1097/MCP.0000000000001103</v>
      </c>
      <c r="BG469" s="1" t="s">
        <v>74</v>
      </c>
      <c r="BH469" s="1" t="s">
        <v>74</v>
      </c>
      <c r="BI469" s="1">
        <v>9.0</v>
      </c>
      <c r="BJ469" s="1" t="s">
        <v>2286</v>
      </c>
      <c r="BK469" s="1" t="s">
        <v>149</v>
      </c>
      <c r="BL469" s="1" t="s">
        <v>2286</v>
      </c>
      <c r="BM469" s="1" t="s">
        <v>9735</v>
      </c>
      <c r="BN469" s="1">
        <v>3.8989815E7</v>
      </c>
      <c r="BO469" s="1" t="s">
        <v>1997</v>
      </c>
      <c r="BP469" s="1" t="s">
        <v>74</v>
      </c>
      <c r="BQ469" s="1" t="s">
        <v>74</v>
      </c>
      <c r="BR469" s="1" t="s">
        <v>102</v>
      </c>
      <c r="BS469" s="1" t="s">
        <v>9736</v>
      </c>
      <c r="BT469" s="1" t="str">
        <f>HYPERLINK("https%3A%2F%2Fwww.webofscience.com%2Fwos%2Fwoscc%2Ffull-record%2FWOS:001286337200005","View Full Record in Web of Science")</f>
        <v>View Full Record in Web of Science</v>
      </c>
    </row>
    <row r="470" ht="12.75" customHeight="1">
      <c r="A470" s="1" t="s">
        <v>132</v>
      </c>
      <c r="B470" s="1" t="s">
        <v>9737</v>
      </c>
      <c r="C470" s="1" t="s">
        <v>74</v>
      </c>
      <c r="D470" s="1" t="s">
        <v>74</v>
      </c>
      <c r="E470" s="1" t="s">
        <v>74</v>
      </c>
      <c r="F470" s="1" t="s">
        <v>9738</v>
      </c>
      <c r="G470" s="1" t="s">
        <v>74</v>
      </c>
      <c r="H470" s="1" t="s">
        <v>74</v>
      </c>
      <c r="I470" s="1" t="s">
        <v>9739</v>
      </c>
      <c r="J470" s="1" t="s">
        <v>9740</v>
      </c>
      <c r="K470" s="1" t="s">
        <v>74</v>
      </c>
      <c r="L470" s="1" t="s">
        <v>74</v>
      </c>
      <c r="M470" s="1" t="s">
        <v>80</v>
      </c>
      <c r="N470" s="1" t="s">
        <v>1010</v>
      </c>
      <c r="O470" s="1" t="s">
        <v>74</v>
      </c>
      <c r="P470" s="1" t="s">
        <v>74</v>
      </c>
      <c r="Q470" s="1" t="s">
        <v>74</v>
      </c>
      <c r="R470" s="1" t="s">
        <v>74</v>
      </c>
      <c r="S470" s="1" t="s">
        <v>74</v>
      </c>
      <c r="T470" s="1" t="s">
        <v>9741</v>
      </c>
      <c r="U470" s="1" t="s">
        <v>9742</v>
      </c>
      <c r="V470" s="1" t="s">
        <v>9743</v>
      </c>
      <c r="W470" s="1" t="s">
        <v>9744</v>
      </c>
      <c r="X470" s="1" t="s">
        <v>9745</v>
      </c>
      <c r="Y470" s="1" t="s">
        <v>9746</v>
      </c>
      <c r="Z470" s="1" t="s">
        <v>9747</v>
      </c>
      <c r="AA470" s="1" t="s">
        <v>9748</v>
      </c>
      <c r="AB470" s="1" t="s">
        <v>9749</v>
      </c>
      <c r="AC470" s="1" t="s">
        <v>74</v>
      </c>
      <c r="AD470" s="1" t="s">
        <v>74</v>
      </c>
      <c r="AE470" s="1" t="s">
        <v>74</v>
      </c>
      <c r="AF470" s="1" t="s">
        <v>74</v>
      </c>
      <c r="AG470" s="1">
        <v>42.0</v>
      </c>
      <c r="AH470" s="1">
        <v>8.0</v>
      </c>
      <c r="AI470" s="1">
        <v>8.0</v>
      </c>
      <c r="AJ470" s="1">
        <v>4.0</v>
      </c>
      <c r="AK470" s="1">
        <v>9.0</v>
      </c>
      <c r="AL470" s="1" t="s">
        <v>1831</v>
      </c>
      <c r="AM470" s="1" t="s">
        <v>349</v>
      </c>
      <c r="AN470" s="1" t="s">
        <v>1832</v>
      </c>
      <c r="AO470" s="1" t="s">
        <v>74</v>
      </c>
      <c r="AP470" s="1" t="s">
        <v>9750</v>
      </c>
      <c r="AQ470" s="1" t="s">
        <v>74</v>
      </c>
      <c r="AR470" s="1" t="s">
        <v>9751</v>
      </c>
      <c r="AS470" s="1" t="s">
        <v>9752</v>
      </c>
      <c r="AT470" s="1" t="s">
        <v>9753</v>
      </c>
      <c r="AU470" s="1">
        <v>2024.0</v>
      </c>
      <c r="AV470" s="1">
        <v>19.0</v>
      </c>
      <c r="AW470" s="1">
        <v>1.0</v>
      </c>
      <c r="AX470" s="1" t="s">
        <v>74</v>
      </c>
      <c r="AY470" s="1" t="s">
        <v>74</v>
      </c>
      <c r="AZ470" s="1" t="s">
        <v>74</v>
      </c>
      <c r="BA470" s="1" t="s">
        <v>74</v>
      </c>
      <c r="BB470" s="1" t="s">
        <v>74</v>
      </c>
      <c r="BC470" s="1" t="s">
        <v>74</v>
      </c>
      <c r="BD470" s="1">
        <v>38.0</v>
      </c>
      <c r="BE470" s="1" t="s">
        <v>9754</v>
      </c>
      <c r="BF470" s="2" t="str">
        <f>HYPERLINK("http://dx.doi.org/10.1186/s13000-024-01453-w","http://dx.doi.org/10.1186/s13000-024-01453-w")</f>
        <v>http://dx.doi.org/10.1186/s13000-024-01453-w</v>
      </c>
      <c r="BG470" s="1" t="s">
        <v>74</v>
      </c>
      <c r="BH470" s="1" t="s">
        <v>74</v>
      </c>
      <c r="BI470" s="1">
        <v>18.0</v>
      </c>
      <c r="BJ470" s="1" t="s">
        <v>2310</v>
      </c>
      <c r="BK470" s="1" t="s">
        <v>149</v>
      </c>
      <c r="BL470" s="1" t="s">
        <v>2310</v>
      </c>
      <c r="BM470" s="1" t="s">
        <v>9755</v>
      </c>
      <c r="BN470" s="1">
        <v>3.8388367E7</v>
      </c>
      <c r="BO470" s="1" t="s">
        <v>284</v>
      </c>
      <c r="BP470" s="1" t="s">
        <v>74</v>
      </c>
      <c r="BQ470" s="1" t="s">
        <v>74</v>
      </c>
      <c r="BR470" s="1" t="s">
        <v>102</v>
      </c>
      <c r="BS470" s="1" t="s">
        <v>9756</v>
      </c>
      <c r="BT470" s="1" t="str">
        <f>HYPERLINK("https%3A%2F%2Fwww.webofscience.com%2Fwos%2Fwoscc%2Ffull-record%2FWOS:001174676200005","View Full Record in Web of Science")</f>
        <v>View Full Record in Web of Science</v>
      </c>
    </row>
    <row r="471" ht="12.75" customHeight="1">
      <c r="A471" s="1" t="s">
        <v>132</v>
      </c>
      <c r="B471" s="1" t="s">
        <v>9757</v>
      </c>
      <c r="C471" s="1" t="s">
        <v>74</v>
      </c>
      <c r="D471" s="1" t="s">
        <v>74</v>
      </c>
      <c r="E471" s="1" t="s">
        <v>74</v>
      </c>
      <c r="F471" s="1" t="s">
        <v>9758</v>
      </c>
      <c r="G471" s="1" t="s">
        <v>74</v>
      </c>
      <c r="H471" s="1" t="s">
        <v>74</v>
      </c>
      <c r="I471" s="1" t="s">
        <v>9759</v>
      </c>
      <c r="J471" s="1" t="s">
        <v>9760</v>
      </c>
      <c r="K471" s="1" t="s">
        <v>74</v>
      </c>
      <c r="L471" s="1" t="s">
        <v>74</v>
      </c>
      <c r="M471" s="1" t="s">
        <v>80</v>
      </c>
      <c r="N471" s="1" t="s">
        <v>136</v>
      </c>
      <c r="O471" s="1" t="s">
        <v>74</v>
      </c>
      <c r="P471" s="1" t="s">
        <v>74</v>
      </c>
      <c r="Q471" s="1" t="s">
        <v>74</v>
      </c>
      <c r="R471" s="1" t="s">
        <v>74</v>
      </c>
      <c r="S471" s="1" t="s">
        <v>74</v>
      </c>
      <c r="T471" s="1" t="s">
        <v>9761</v>
      </c>
      <c r="U471" s="1" t="s">
        <v>9762</v>
      </c>
      <c r="V471" s="1" t="s">
        <v>9763</v>
      </c>
      <c r="W471" s="1" t="s">
        <v>9764</v>
      </c>
      <c r="X471" s="1" t="s">
        <v>9765</v>
      </c>
      <c r="Y471" s="1" t="s">
        <v>9766</v>
      </c>
      <c r="Z471" s="1" t="s">
        <v>9767</v>
      </c>
      <c r="AA471" s="1" t="s">
        <v>9768</v>
      </c>
      <c r="AB471" s="1" t="s">
        <v>9769</v>
      </c>
      <c r="AC471" s="1" t="s">
        <v>74</v>
      </c>
      <c r="AD471" s="1" t="s">
        <v>74</v>
      </c>
      <c r="AE471" s="1" t="s">
        <v>74</v>
      </c>
      <c r="AF471" s="1" t="s">
        <v>74</v>
      </c>
      <c r="AG471" s="1">
        <v>98.0</v>
      </c>
      <c r="AH471" s="1">
        <v>1.0</v>
      </c>
      <c r="AI471" s="1">
        <v>1.0</v>
      </c>
      <c r="AJ471" s="1">
        <v>19.0</v>
      </c>
      <c r="AK471" s="1">
        <v>25.0</v>
      </c>
      <c r="AL471" s="1" t="s">
        <v>2745</v>
      </c>
      <c r="AM471" s="1" t="s">
        <v>2746</v>
      </c>
      <c r="AN471" s="1" t="s">
        <v>2747</v>
      </c>
      <c r="AO471" s="1" t="s">
        <v>9770</v>
      </c>
      <c r="AP471" s="1" t="s">
        <v>9771</v>
      </c>
      <c r="AQ471" s="1" t="s">
        <v>74</v>
      </c>
      <c r="AR471" s="1" t="s">
        <v>9772</v>
      </c>
      <c r="AS471" s="1" t="s">
        <v>9773</v>
      </c>
      <c r="AT471" s="1" t="s">
        <v>1253</v>
      </c>
      <c r="AU471" s="1">
        <v>2024.0</v>
      </c>
      <c r="AV471" s="1">
        <v>170.0</v>
      </c>
      <c r="AW471" s="1" t="s">
        <v>74</v>
      </c>
      <c r="AX471" s="1" t="s">
        <v>74</v>
      </c>
      <c r="AY471" s="1" t="s">
        <v>74</v>
      </c>
      <c r="AZ471" s="1" t="s">
        <v>74</v>
      </c>
      <c r="BA471" s="1" t="s">
        <v>74</v>
      </c>
      <c r="BB471" s="1" t="s">
        <v>74</v>
      </c>
      <c r="BC471" s="1" t="s">
        <v>74</v>
      </c>
      <c r="BD471" s="1">
        <v>105197.0</v>
      </c>
      <c r="BE471" s="1" t="s">
        <v>9774</v>
      </c>
      <c r="BF471" s="2" t="str">
        <f>HYPERLINK("http://dx.doi.org/10.1016/j.rvsc.2024.105197","http://dx.doi.org/10.1016/j.rvsc.2024.105197")</f>
        <v>http://dx.doi.org/10.1016/j.rvsc.2024.105197</v>
      </c>
      <c r="BG471" s="1" t="s">
        <v>74</v>
      </c>
      <c r="BH471" s="1" t="s">
        <v>1001</v>
      </c>
      <c r="BI471" s="1">
        <v>9.0</v>
      </c>
      <c r="BJ471" s="1" t="s">
        <v>9775</v>
      </c>
      <c r="BK471" s="1" t="s">
        <v>149</v>
      </c>
      <c r="BL471" s="1" t="s">
        <v>9775</v>
      </c>
      <c r="BM471" s="1" t="s">
        <v>9776</v>
      </c>
      <c r="BN471" s="1">
        <v>3.8395008E7</v>
      </c>
      <c r="BO471" s="1" t="s">
        <v>3027</v>
      </c>
      <c r="BP471" s="1" t="s">
        <v>74</v>
      </c>
      <c r="BQ471" s="1" t="s">
        <v>74</v>
      </c>
      <c r="BR471" s="1" t="s">
        <v>102</v>
      </c>
      <c r="BS471" s="1" t="s">
        <v>9777</v>
      </c>
      <c r="BT471" s="1" t="str">
        <f>HYPERLINK("https%3A%2F%2Fwww.webofscience.com%2Fwos%2Fwoscc%2Ffull-record%2FWOS:001205624400001","View Full Record in Web of Science")</f>
        <v>View Full Record in Web of Science</v>
      </c>
    </row>
    <row r="472" ht="12.75" customHeight="1">
      <c r="A472" s="1" t="s">
        <v>132</v>
      </c>
      <c r="B472" s="1" t="s">
        <v>9778</v>
      </c>
      <c r="C472" s="1" t="s">
        <v>74</v>
      </c>
      <c r="D472" s="1" t="s">
        <v>74</v>
      </c>
      <c r="E472" s="1" t="s">
        <v>74</v>
      </c>
      <c r="F472" s="1" t="s">
        <v>9779</v>
      </c>
      <c r="G472" s="1" t="s">
        <v>74</v>
      </c>
      <c r="H472" s="1" t="s">
        <v>74</v>
      </c>
      <c r="I472" s="1" t="s">
        <v>9780</v>
      </c>
      <c r="J472" s="1" t="s">
        <v>9781</v>
      </c>
      <c r="K472" s="1" t="s">
        <v>74</v>
      </c>
      <c r="L472" s="1" t="s">
        <v>74</v>
      </c>
      <c r="M472" s="1" t="s">
        <v>80</v>
      </c>
      <c r="N472" s="1" t="s">
        <v>1563</v>
      </c>
      <c r="O472" s="1" t="s">
        <v>74</v>
      </c>
      <c r="P472" s="1" t="s">
        <v>74</v>
      </c>
      <c r="Q472" s="1" t="s">
        <v>74</v>
      </c>
      <c r="R472" s="1" t="s">
        <v>74</v>
      </c>
      <c r="S472" s="1" t="s">
        <v>74</v>
      </c>
      <c r="T472" s="1" t="s">
        <v>9782</v>
      </c>
      <c r="U472" s="1" t="s">
        <v>9783</v>
      </c>
      <c r="V472" s="1" t="s">
        <v>9784</v>
      </c>
      <c r="W472" s="1" t="s">
        <v>9785</v>
      </c>
      <c r="X472" s="1" t="s">
        <v>9786</v>
      </c>
      <c r="Y472" s="1" t="s">
        <v>9787</v>
      </c>
      <c r="Z472" s="1" t="s">
        <v>9788</v>
      </c>
      <c r="AA472" s="1" t="s">
        <v>74</v>
      </c>
      <c r="AB472" s="1" t="s">
        <v>74</v>
      </c>
      <c r="AC472" s="1" t="s">
        <v>74</v>
      </c>
      <c r="AD472" s="1" t="s">
        <v>74</v>
      </c>
      <c r="AE472" s="1" t="s">
        <v>74</v>
      </c>
      <c r="AF472" s="1" t="s">
        <v>74</v>
      </c>
      <c r="AG472" s="1">
        <v>15.0</v>
      </c>
      <c r="AH472" s="1">
        <v>0.0</v>
      </c>
      <c r="AI472" s="1">
        <v>0.0</v>
      </c>
      <c r="AJ472" s="1">
        <v>11.0</v>
      </c>
      <c r="AK472" s="1">
        <v>11.0</v>
      </c>
      <c r="AL472" s="1" t="s">
        <v>9789</v>
      </c>
      <c r="AM472" s="1" t="s">
        <v>9790</v>
      </c>
      <c r="AN472" s="1" t="s">
        <v>9791</v>
      </c>
      <c r="AO472" s="1" t="s">
        <v>9792</v>
      </c>
      <c r="AP472" s="1" t="s">
        <v>9793</v>
      </c>
      <c r="AQ472" s="1" t="s">
        <v>74</v>
      </c>
      <c r="AR472" s="1" t="s">
        <v>9794</v>
      </c>
      <c r="AS472" s="1" t="s">
        <v>9794</v>
      </c>
      <c r="AT472" s="1" t="s">
        <v>9795</v>
      </c>
      <c r="AU472" s="1">
        <v>2025.0</v>
      </c>
      <c r="AV472" s="1">
        <v>29.0</v>
      </c>
      <c r="AW472" s="1">
        <v>1.0</v>
      </c>
      <c r="AX472" s="1" t="s">
        <v>74</v>
      </c>
      <c r="AY472" s="1" t="s">
        <v>74</v>
      </c>
      <c r="AZ472" s="1" t="s">
        <v>74</v>
      </c>
      <c r="BA472" s="1" t="s">
        <v>74</v>
      </c>
      <c r="BB472" s="1">
        <v>2.0</v>
      </c>
      <c r="BC472" s="1">
        <v>4.0</v>
      </c>
      <c r="BD472" s="1" t="s">
        <v>74</v>
      </c>
      <c r="BE472" s="1" t="s">
        <v>9796</v>
      </c>
      <c r="BF472" s="2" t="str">
        <f>HYPERLINK("http://dx.doi.org/10.1089/omi.2024.0197","http://dx.doi.org/10.1089/omi.2024.0197")</f>
        <v>http://dx.doi.org/10.1089/omi.2024.0197</v>
      </c>
      <c r="BG472" s="1" t="s">
        <v>74</v>
      </c>
      <c r="BH472" s="1" t="s">
        <v>2788</v>
      </c>
      <c r="BI472" s="1">
        <v>3.0</v>
      </c>
      <c r="BJ472" s="1" t="s">
        <v>9797</v>
      </c>
      <c r="BK472" s="1" t="s">
        <v>149</v>
      </c>
      <c r="BL472" s="1" t="s">
        <v>9797</v>
      </c>
      <c r="BM472" s="1" t="s">
        <v>9798</v>
      </c>
      <c r="BN472" s="1">
        <v>3.9689717E7</v>
      </c>
      <c r="BO472" s="1" t="s">
        <v>74</v>
      </c>
      <c r="BP472" s="1" t="s">
        <v>74</v>
      </c>
      <c r="BQ472" s="1" t="s">
        <v>74</v>
      </c>
      <c r="BR472" s="1" t="s">
        <v>102</v>
      </c>
      <c r="BS472" s="1" t="s">
        <v>9799</v>
      </c>
      <c r="BT472" s="1" t="str">
        <f>HYPERLINK("https%3A%2F%2Fwww.webofscience.com%2Fwos%2Fwoscc%2Ffull-record%2FWOS:001379785000001","View Full Record in Web of Science")</f>
        <v>View Full Record in Web of Science</v>
      </c>
    </row>
    <row r="473" ht="12.75" customHeight="1">
      <c r="A473" s="1" t="s">
        <v>72</v>
      </c>
      <c r="B473" s="1" t="s">
        <v>2756</v>
      </c>
      <c r="C473" s="1" t="s">
        <v>74</v>
      </c>
      <c r="D473" s="1" t="s">
        <v>105</v>
      </c>
      <c r="E473" s="1" t="s">
        <v>74</v>
      </c>
      <c r="F473" s="1" t="s">
        <v>2757</v>
      </c>
      <c r="G473" s="1" t="s">
        <v>74</v>
      </c>
      <c r="H473" s="1" t="s">
        <v>74</v>
      </c>
      <c r="I473" s="1" t="s">
        <v>9800</v>
      </c>
      <c r="J473" s="1" t="s">
        <v>108</v>
      </c>
      <c r="K473" s="1" t="s">
        <v>74</v>
      </c>
      <c r="L473" s="1" t="s">
        <v>74</v>
      </c>
      <c r="M473" s="1" t="s">
        <v>80</v>
      </c>
      <c r="N473" s="1" t="s">
        <v>81</v>
      </c>
      <c r="O473" s="1" t="s">
        <v>109</v>
      </c>
      <c r="P473" s="1" t="s">
        <v>110</v>
      </c>
      <c r="Q473" s="1" t="s">
        <v>111</v>
      </c>
      <c r="R473" s="1" t="s">
        <v>112</v>
      </c>
      <c r="S473" s="1" t="s">
        <v>113</v>
      </c>
      <c r="T473" s="1" t="s">
        <v>9801</v>
      </c>
      <c r="U473" s="1" t="s">
        <v>74</v>
      </c>
      <c r="V473" s="1" t="s">
        <v>9802</v>
      </c>
      <c r="W473" s="1" t="s">
        <v>9803</v>
      </c>
      <c r="X473" s="1" t="s">
        <v>74</v>
      </c>
      <c r="Y473" s="1" t="s">
        <v>9804</v>
      </c>
      <c r="Z473" s="1" t="s">
        <v>2764</v>
      </c>
      <c r="AA473" s="1" t="s">
        <v>2765</v>
      </c>
      <c r="AB473" s="1" t="s">
        <v>2766</v>
      </c>
      <c r="AC473" s="1" t="s">
        <v>9805</v>
      </c>
      <c r="AD473" s="1" t="s">
        <v>9806</v>
      </c>
      <c r="AE473" s="1" t="s">
        <v>9807</v>
      </c>
      <c r="AF473" s="1" t="s">
        <v>74</v>
      </c>
      <c r="AG473" s="1">
        <v>42.0</v>
      </c>
      <c r="AH473" s="1">
        <v>0.0</v>
      </c>
      <c r="AI473" s="1">
        <v>1.0</v>
      </c>
      <c r="AJ473" s="1">
        <v>5.0</v>
      </c>
      <c r="AK473" s="1">
        <v>19.0</v>
      </c>
      <c r="AL473" s="1" t="s">
        <v>122</v>
      </c>
      <c r="AM473" s="1" t="s">
        <v>123</v>
      </c>
      <c r="AN473" s="1" t="s">
        <v>124</v>
      </c>
      <c r="AO473" s="1" t="s">
        <v>74</v>
      </c>
      <c r="AP473" s="1" t="s">
        <v>74</v>
      </c>
      <c r="AQ473" s="1" t="s">
        <v>125</v>
      </c>
      <c r="AR473" s="1" t="s">
        <v>74</v>
      </c>
      <c r="AS473" s="1" t="s">
        <v>74</v>
      </c>
      <c r="AT473" s="1" t="s">
        <v>74</v>
      </c>
      <c r="AU473" s="1">
        <v>2021.0</v>
      </c>
      <c r="AV473" s="1" t="s">
        <v>74</v>
      </c>
      <c r="AW473" s="1" t="s">
        <v>74</v>
      </c>
      <c r="AX473" s="1" t="s">
        <v>74</v>
      </c>
      <c r="AY473" s="1" t="s">
        <v>74</v>
      </c>
      <c r="AZ473" s="1" t="s">
        <v>74</v>
      </c>
      <c r="BA473" s="1" t="s">
        <v>74</v>
      </c>
      <c r="BB473" s="1">
        <v>138.0</v>
      </c>
      <c r="BC473" s="1">
        <v>144.0</v>
      </c>
      <c r="BD473" s="1" t="s">
        <v>74</v>
      </c>
      <c r="BE473" s="1" t="s">
        <v>9808</v>
      </c>
      <c r="BF473" s="2" t="str">
        <f>HYPERLINK("http://dx.doi.org/10.34190/EAIR.21.007","http://dx.doi.org/10.34190/EAIR.21.007")</f>
        <v>http://dx.doi.org/10.34190/EAIR.21.007</v>
      </c>
      <c r="BG473" s="1" t="s">
        <v>74</v>
      </c>
      <c r="BH473" s="1" t="s">
        <v>74</v>
      </c>
      <c r="BI473" s="1">
        <v>7.0</v>
      </c>
      <c r="BJ473" s="1" t="s">
        <v>127</v>
      </c>
      <c r="BK473" s="1" t="s">
        <v>128</v>
      </c>
      <c r="BL473" s="1" t="s">
        <v>129</v>
      </c>
      <c r="BM473" s="1" t="s">
        <v>130</v>
      </c>
      <c r="BN473" s="1" t="s">
        <v>74</v>
      </c>
      <c r="BO473" s="1" t="s">
        <v>74</v>
      </c>
      <c r="BP473" s="1" t="s">
        <v>74</v>
      </c>
      <c r="BQ473" s="1" t="s">
        <v>74</v>
      </c>
      <c r="BR473" s="1" t="s">
        <v>102</v>
      </c>
      <c r="BS473" s="1" t="s">
        <v>9809</v>
      </c>
      <c r="BT473" s="1" t="str">
        <f>HYPERLINK("https%3A%2F%2Fwww.webofscience.com%2Fwos%2Fwoscc%2Ffull-record%2FWOS:000838033200018","View Full Record in Web of Science")</f>
        <v>View Full Record in Web of Science</v>
      </c>
    </row>
    <row r="474" ht="12.75" customHeight="1">
      <c r="A474" s="1" t="s">
        <v>132</v>
      </c>
      <c r="B474" s="1" t="s">
        <v>9810</v>
      </c>
      <c r="C474" s="1" t="s">
        <v>74</v>
      </c>
      <c r="D474" s="1" t="s">
        <v>74</v>
      </c>
      <c r="E474" s="1" t="s">
        <v>74</v>
      </c>
      <c r="F474" s="1" t="s">
        <v>9811</v>
      </c>
      <c r="G474" s="1" t="s">
        <v>74</v>
      </c>
      <c r="H474" s="1" t="s">
        <v>74</v>
      </c>
      <c r="I474" s="1" t="s">
        <v>9812</v>
      </c>
      <c r="J474" s="1" t="s">
        <v>9813</v>
      </c>
      <c r="K474" s="1" t="s">
        <v>74</v>
      </c>
      <c r="L474" s="1" t="s">
        <v>74</v>
      </c>
      <c r="M474" s="1" t="s">
        <v>80</v>
      </c>
      <c r="N474" s="1" t="s">
        <v>136</v>
      </c>
      <c r="O474" s="1" t="s">
        <v>74</v>
      </c>
      <c r="P474" s="1" t="s">
        <v>74</v>
      </c>
      <c r="Q474" s="1" t="s">
        <v>74</v>
      </c>
      <c r="R474" s="1" t="s">
        <v>74</v>
      </c>
      <c r="S474" s="1" t="s">
        <v>74</v>
      </c>
      <c r="T474" s="1" t="s">
        <v>9814</v>
      </c>
      <c r="U474" s="1" t="s">
        <v>9815</v>
      </c>
      <c r="V474" s="1" t="s">
        <v>9816</v>
      </c>
      <c r="W474" s="1" t="s">
        <v>9817</v>
      </c>
      <c r="X474" s="1" t="s">
        <v>9818</v>
      </c>
      <c r="Y474" s="1" t="s">
        <v>9819</v>
      </c>
      <c r="Z474" s="1" t="s">
        <v>9820</v>
      </c>
      <c r="AA474" s="1" t="s">
        <v>74</v>
      </c>
      <c r="AB474" s="1" t="s">
        <v>9821</v>
      </c>
      <c r="AC474" s="1" t="s">
        <v>9818</v>
      </c>
      <c r="AD474" s="1" t="s">
        <v>9818</v>
      </c>
      <c r="AE474" s="1" t="s">
        <v>9822</v>
      </c>
      <c r="AF474" s="1" t="s">
        <v>74</v>
      </c>
      <c r="AG474" s="1">
        <v>72.0</v>
      </c>
      <c r="AH474" s="1">
        <v>1.0</v>
      </c>
      <c r="AI474" s="1">
        <v>1.0</v>
      </c>
      <c r="AJ474" s="1">
        <v>90.0</v>
      </c>
      <c r="AK474" s="1">
        <v>100.0</v>
      </c>
      <c r="AL474" s="1" t="s">
        <v>595</v>
      </c>
      <c r="AM474" s="1" t="s">
        <v>467</v>
      </c>
      <c r="AN474" s="1" t="s">
        <v>596</v>
      </c>
      <c r="AO474" s="1" t="s">
        <v>9823</v>
      </c>
      <c r="AP474" s="1" t="s">
        <v>9824</v>
      </c>
      <c r="AQ474" s="1" t="s">
        <v>74</v>
      </c>
      <c r="AR474" s="1" t="s">
        <v>9825</v>
      </c>
      <c r="AS474" s="1" t="s">
        <v>9826</v>
      </c>
      <c r="AT474" s="1" t="s">
        <v>9827</v>
      </c>
      <c r="AU474" s="1">
        <v>2024.0</v>
      </c>
      <c r="AV474" s="1">
        <v>34.0</v>
      </c>
      <c r="AW474" s="1">
        <v>3.0</v>
      </c>
      <c r="AX474" s="1" t="s">
        <v>74</v>
      </c>
      <c r="AY474" s="1" t="s">
        <v>74</v>
      </c>
      <c r="AZ474" s="1" t="s">
        <v>74</v>
      </c>
      <c r="BA474" s="1" t="s">
        <v>74</v>
      </c>
      <c r="BB474" s="1">
        <v>439.0</v>
      </c>
      <c r="BC474" s="1">
        <v>457.0</v>
      </c>
      <c r="BD474" s="1" t="s">
        <v>74</v>
      </c>
      <c r="BE474" s="1" t="s">
        <v>9828</v>
      </c>
      <c r="BF474" s="2" t="str">
        <f>HYPERLINK("http://dx.doi.org/10.1080/21639159.2024.2362654","http://dx.doi.org/10.1080/21639159.2024.2362654")</f>
        <v>http://dx.doi.org/10.1080/21639159.2024.2362654</v>
      </c>
      <c r="BG474" s="1" t="s">
        <v>74</v>
      </c>
      <c r="BH474" s="1" t="s">
        <v>74</v>
      </c>
      <c r="BI474" s="1">
        <v>19.0</v>
      </c>
      <c r="BJ474" s="1" t="s">
        <v>2040</v>
      </c>
      <c r="BK474" s="1" t="s">
        <v>172</v>
      </c>
      <c r="BL474" s="1" t="s">
        <v>204</v>
      </c>
      <c r="BM474" s="1" t="s">
        <v>9829</v>
      </c>
      <c r="BN474" s="1" t="s">
        <v>74</v>
      </c>
      <c r="BO474" s="1" t="s">
        <v>74</v>
      </c>
      <c r="BP474" s="1" t="s">
        <v>74</v>
      </c>
      <c r="BQ474" s="1" t="s">
        <v>74</v>
      </c>
      <c r="BR474" s="1" t="s">
        <v>102</v>
      </c>
      <c r="BS474" s="1" t="s">
        <v>9830</v>
      </c>
      <c r="BT474" s="1" t="str">
        <f>HYPERLINK("https%3A%2F%2Fwww.webofscience.com%2Fwos%2Fwoscc%2Ffull-record%2FWOS:001247586900004","View Full Record in Web of Science")</f>
        <v>View Full Record in Web of Science</v>
      </c>
    </row>
    <row r="475" ht="12.75" customHeight="1">
      <c r="A475" s="1" t="s">
        <v>132</v>
      </c>
      <c r="B475" s="1" t="s">
        <v>9831</v>
      </c>
      <c r="C475" s="1" t="s">
        <v>74</v>
      </c>
      <c r="D475" s="1" t="s">
        <v>74</v>
      </c>
      <c r="E475" s="1" t="s">
        <v>74</v>
      </c>
      <c r="F475" s="1" t="s">
        <v>9832</v>
      </c>
      <c r="G475" s="1" t="s">
        <v>74</v>
      </c>
      <c r="H475" s="1" t="s">
        <v>74</v>
      </c>
      <c r="I475" s="1" t="s">
        <v>9833</v>
      </c>
      <c r="J475" s="1" t="s">
        <v>9834</v>
      </c>
      <c r="K475" s="1" t="s">
        <v>74</v>
      </c>
      <c r="L475" s="1" t="s">
        <v>74</v>
      </c>
      <c r="M475" s="1" t="s">
        <v>80</v>
      </c>
      <c r="N475" s="1" t="s">
        <v>136</v>
      </c>
      <c r="O475" s="1" t="s">
        <v>74</v>
      </c>
      <c r="P475" s="1" t="s">
        <v>74</v>
      </c>
      <c r="Q475" s="1" t="s">
        <v>74</v>
      </c>
      <c r="R475" s="1" t="s">
        <v>74</v>
      </c>
      <c r="S475" s="1" t="s">
        <v>74</v>
      </c>
      <c r="T475" s="1" t="s">
        <v>9835</v>
      </c>
      <c r="U475" s="1" t="s">
        <v>9836</v>
      </c>
      <c r="V475" s="1" t="s">
        <v>9837</v>
      </c>
      <c r="W475" s="1" t="s">
        <v>9838</v>
      </c>
      <c r="X475" s="1" t="s">
        <v>9839</v>
      </c>
      <c r="Y475" s="1" t="s">
        <v>9840</v>
      </c>
      <c r="Z475" s="1" t="s">
        <v>9841</v>
      </c>
      <c r="AA475" s="1" t="s">
        <v>74</v>
      </c>
      <c r="AB475" s="1" t="s">
        <v>74</v>
      </c>
      <c r="AC475" s="1" t="s">
        <v>9842</v>
      </c>
      <c r="AD475" s="1" t="s">
        <v>9843</v>
      </c>
      <c r="AE475" s="1" t="s">
        <v>9844</v>
      </c>
      <c r="AF475" s="1" t="s">
        <v>74</v>
      </c>
      <c r="AG475" s="1">
        <v>50.0</v>
      </c>
      <c r="AH475" s="1">
        <v>0.0</v>
      </c>
      <c r="AI475" s="1">
        <v>0.0</v>
      </c>
      <c r="AJ475" s="1">
        <v>2.0</v>
      </c>
      <c r="AK475" s="1">
        <v>2.0</v>
      </c>
      <c r="AL475" s="1" t="s">
        <v>1020</v>
      </c>
      <c r="AM475" s="1" t="s">
        <v>1021</v>
      </c>
      <c r="AN475" s="1" t="s">
        <v>1022</v>
      </c>
      <c r="AO475" s="1" t="s">
        <v>9845</v>
      </c>
      <c r="AP475" s="1" t="s">
        <v>9846</v>
      </c>
      <c r="AQ475" s="1" t="s">
        <v>74</v>
      </c>
      <c r="AR475" s="1" t="s">
        <v>9847</v>
      </c>
      <c r="AS475" s="1" t="s">
        <v>9848</v>
      </c>
      <c r="AT475" s="1" t="s">
        <v>1301</v>
      </c>
      <c r="AU475" s="1">
        <v>2025.0</v>
      </c>
      <c r="AV475" s="1">
        <v>38.0</v>
      </c>
      <c r="AW475" s="1">
        <v>1.0</v>
      </c>
      <c r="AX475" s="1" t="s">
        <v>74</v>
      </c>
      <c r="AY475" s="1" t="s">
        <v>74</v>
      </c>
      <c r="AZ475" s="1" t="s">
        <v>74</v>
      </c>
      <c r="BA475" s="1" t="s">
        <v>74</v>
      </c>
      <c r="BB475" s="1">
        <v>40.0</v>
      </c>
      <c r="BC475" s="1">
        <v>46.0</v>
      </c>
      <c r="BD475" s="1" t="s">
        <v>74</v>
      </c>
      <c r="BE475" s="1" t="s">
        <v>9849</v>
      </c>
      <c r="BF475" s="2" t="str">
        <f>HYPERLINK("http://dx.doi.org/10.1097/WCO.0000000000001333","http://dx.doi.org/10.1097/WCO.0000000000001333")</f>
        <v>http://dx.doi.org/10.1097/WCO.0000000000001333</v>
      </c>
      <c r="BG475" s="1" t="s">
        <v>74</v>
      </c>
      <c r="BH475" s="1" t="s">
        <v>74</v>
      </c>
      <c r="BI475" s="1">
        <v>7.0</v>
      </c>
      <c r="BJ475" s="1" t="s">
        <v>6220</v>
      </c>
      <c r="BK475" s="1" t="s">
        <v>149</v>
      </c>
      <c r="BL475" s="1" t="s">
        <v>1054</v>
      </c>
      <c r="BM475" s="1" t="s">
        <v>9850</v>
      </c>
      <c r="BN475" s="1">
        <v>3.9760722E7</v>
      </c>
      <c r="BO475" s="1" t="s">
        <v>306</v>
      </c>
      <c r="BP475" s="1" t="s">
        <v>74</v>
      </c>
      <c r="BQ475" s="1" t="s">
        <v>74</v>
      </c>
      <c r="BR475" s="1" t="s">
        <v>102</v>
      </c>
      <c r="BS475" s="1" t="s">
        <v>9851</v>
      </c>
      <c r="BT475" s="1" t="str">
        <f>HYPERLINK("https%3A%2F%2Fwww.webofscience.com%2Fwos%2Fwoscc%2Ffull-record%2FWOS:001391090500011","View Full Record in Web of Science")</f>
        <v>View Full Record in Web of Science</v>
      </c>
    </row>
    <row r="476" ht="12.75" customHeight="1">
      <c r="A476" s="1" t="s">
        <v>72</v>
      </c>
      <c r="B476" s="1" t="s">
        <v>9852</v>
      </c>
      <c r="C476" s="1" t="s">
        <v>74</v>
      </c>
      <c r="D476" s="1" t="s">
        <v>74</v>
      </c>
      <c r="E476" s="1" t="s">
        <v>3134</v>
      </c>
      <c r="F476" s="1" t="s">
        <v>9853</v>
      </c>
      <c r="G476" s="1" t="s">
        <v>74</v>
      </c>
      <c r="H476" s="1" t="s">
        <v>74</v>
      </c>
      <c r="I476" s="1" t="s">
        <v>9854</v>
      </c>
      <c r="J476" s="1" t="s">
        <v>3137</v>
      </c>
      <c r="K476" s="1" t="s">
        <v>74</v>
      </c>
      <c r="L476" s="1" t="s">
        <v>74</v>
      </c>
      <c r="M476" s="1" t="s">
        <v>80</v>
      </c>
      <c r="N476" s="1" t="s">
        <v>81</v>
      </c>
      <c r="O476" s="1" t="s">
        <v>3138</v>
      </c>
      <c r="P476" s="1" t="s">
        <v>3139</v>
      </c>
      <c r="Q476" s="1" t="s">
        <v>3140</v>
      </c>
      <c r="R476" s="1" t="s">
        <v>3141</v>
      </c>
      <c r="S476" s="1" t="s">
        <v>74</v>
      </c>
      <c r="T476" s="1" t="s">
        <v>9855</v>
      </c>
      <c r="U476" s="1" t="s">
        <v>9856</v>
      </c>
      <c r="V476" s="1" t="s">
        <v>9857</v>
      </c>
      <c r="W476" s="1" t="s">
        <v>9858</v>
      </c>
      <c r="X476" s="1" t="s">
        <v>9859</v>
      </c>
      <c r="Y476" s="1" t="s">
        <v>9860</v>
      </c>
      <c r="Z476" s="1" t="s">
        <v>9861</v>
      </c>
      <c r="AA476" s="1" t="s">
        <v>74</v>
      </c>
      <c r="AB476" s="1" t="s">
        <v>74</v>
      </c>
      <c r="AC476" s="1" t="s">
        <v>74</v>
      </c>
      <c r="AD476" s="1" t="s">
        <v>74</v>
      </c>
      <c r="AE476" s="1" t="s">
        <v>74</v>
      </c>
      <c r="AF476" s="1" t="s">
        <v>74</v>
      </c>
      <c r="AG476" s="1">
        <v>20.0</v>
      </c>
      <c r="AH476" s="1">
        <v>72.0</v>
      </c>
      <c r="AI476" s="1">
        <v>78.0</v>
      </c>
      <c r="AJ476" s="1">
        <v>16.0</v>
      </c>
      <c r="AK476" s="1">
        <v>47.0</v>
      </c>
      <c r="AL476" s="1" t="s">
        <v>1426</v>
      </c>
      <c r="AM476" s="1" t="s">
        <v>193</v>
      </c>
      <c r="AN476" s="1" t="s">
        <v>3151</v>
      </c>
      <c r="AO476" s="1" t="s">
        <v>74</v>
      </c>
      <c r="AP476" s="1" t="s">
        <v>74</v>
      </c>
      <c r="AQ476" s="1" t="s">
        <v>3152</v>
      </c>
      <c r="AR476" s="1" t="s">
        <v>74</v>
      </c>
      <c r="AS476" s="1" t="s">
        <v>74</v>
      </c>
      <c r="AT476" s="1" t="s">
        <v>74</v>
      </c>
      <c r="AU476" s="1">
        <v>2019.0</v>
      </c>
      <c r="AV476" s="1" t="s">
        <v>74</v>
      </c>
      <c r="AW476" s="1" t="s">
        <v>74</v>
      </c>
      <c r="AX476" s="1" t="s">
        <v>74</v>
      </c>
      <c r="AY476" s="1" t="s">
        <v>74</v>
      </c>
      <c r="AZ476" s="1" t="s">
        <v>74</v>
      </c>
      <c r="BA476" s="1" t="s">
        <v>74</v>
      </c>
      <c r="BB476" s="1">
        <v>339.0</v>
      </c>
      <c r="BC476" s="1">
        <v>344.0</v>
      </c>
      <c r="BD476" s="1" t="s">
        <v>74</v>
      </c>
      <c r="BE476" s="1" t="s">
        <v>9862</v>
      </c>
      <c r="BF476" s="2" t="str">
        <f>HYPERLINK("http://dx.doi.org/10.1145/3306618.3314285","http://dx.doi.org/10.1145/3306618.3314285")</f>
        <v>http://dx.doi.org/10.1145/3306618.3314285</v>
      </c>
      <c r="BG476" s="1" t="s">
        <v>74</v>
      </c>
      <c r="BH476" s="1" t="s">
        <v>74</v>
      </c>
      <c r="BI476" s="1">
        <v>6.0</v>
      </c>
      <c r="BJ476" s="1" t="s">
        <v>1214</v>
      </c>
      <c r="BK476" s="1" t="s">
        <v>128</v>
      </c>
      <c r="BL476" s="1" t="s">
        <v>232</v>
      </c>
      <c r="BM476" s="1" t="s">
        <v>3154</v>
      </c>
      <c r="BN476" s="1" t="s">
        <v>74</v>
      </c>
      <c r="BO476" s="1" t="s">
        <v>74</v>
      </c>
      <c r="BP476" s="1" t="s">
        <v>74</v>
      </c>
      <c r="BQ476" s="1" t="s">
        <v>74</v>
      </c>
      <c r="BR476" s="1" t="s">
        <v>102</v>
      </c>
      <c r="BS476" s="1" t="s">
        <v>9863</v>
      </c>
      <c r="BT476" s="1" t="str">
        <f>HYPERLINK("https%3A%2F%2Fwww.webofscience.com%2Fwos%2Fwoscc%2Ffull-record%2FWOS:000556121100047","View Full Record in Web of Science")</f>
        <v>View Full Record in Web of Science</v>
      </c>
    </row>
    <row r="477" ht="12.75" customHeight="1">
      <c r="A477" s="1" t="s">
        <v>132</v>
      </c>
      <c r="B477" s="1" t="s">
        <v>9864</v>
      </c>
      <c r="C477" s="1" t="s">
        <v>74</v>
      </c>
      <c r="D477" s="1" t="s">
        <v>74</v>
      </c>
      <c r="E477" s="1" t="s">
        <v>74</v>
      </c>
      <c r="F477" s="1" t="s">
        <v>9865</v>
      </c>
      <c r="G477" s="1" t="s">
        <v>74</v>
      </c>
      <c r="H477" s="1" t="s">
        <v>74</v>
      </c>
      <c r="I477" s="1" t="s">
        <v>9866</v>
      </c>
      <c r="J477" s="1" t="s">
        <v>9867</v>
      </c>
      <c r="K477" s="1" t="s">
        <v>74</v>
      </c>
      <c r="L477" s="1" t="s">
        <v>74</v>
      </c>
      <c r="M477" s="1" t="s">
        <v>638</v>
      </c>
      <c r="N477" s="1" t="s">
        <v>1010</v>
      </c>
      <c r="O477" s="1" t="s">
        <v>74</v>
      </c>
      <c r="P477" s="1" t="s">
        <v>74</v>
      </c>
      <c r="Q477" s="1" t="s">
        <v>74</v>
      </c>
      <c r="R477" s="1" t="s">
        <v>74</v>
      </c>
      <c r="S477" s="1" t="s">
        <v>74</v>
      </c>
      <c r="T477" s="1" t="s">
        <v>9868</v>
      </c>
      <c r="U477" s="1" t="s">
        <v>9869</v>
      </c>
      <c r="V477" s="1" t="s">
        <v>9870</v>
      </c>
      <c r="W477" s="1" t="s">
        <v>9871</v>
      </c>
      <c r="X477" s="1" t="s">
        <v>9872</v>
      </c>
      <c r="Y477" s="1" t="s">
        <v>9873</v>
      </c>
      <c r="Z477" s="1" t="s">
        <v>9874</v>
      </c>
      <c r="AA477" s="1" t="s">
        <v>74</v>
      </c>
      <c r="AB477" s="1" t="s">
        <v>74</v>
      </c>
      <c r="AC477" s="1" t="s">
        <v>74</v>
      </c>
      <c r="AD477" s="1" t="s">
        <v>74</v>
      </c>
      <c r="AE477" s="1" t="s">
        <v>74</v>
      </c>
      <c r="AF477" s="1" t="s">
        <v>74</v>
      </c>
      <c r="AG477" s="1">
        <v>88.0</v>
      </c>
      <c r="AH477" s="1">
        <v>0.0</v>
      </c>
      <c r="AI477" s="1">
        <v>0.0</v>
      </c>
      <c r="AJ477" s="1">
        <v>13.0</v>
      </c>
      <c r="AK477" s="1">
        <v>67.0</v>
      </c>
      <c r="AL477" s="1" t="s">
        <v>9875</v>
      </c>
      <c r="AM477" s="1" t="s">
        <v>9876</v>
      </c>
      <c r="AN477" s="1" t="s">
        <v>9877</v>
      </c>
      <c r="AO477" s="1" t="s">
        <v>9878</v>
      </c>
      <c r="AP477" s="1" t="s">
        <v>74</v>
      </c>
      <c r="AQ477" s="1" t="s">
        <v>74</v>
      </c>
      <c r="AR477" s="1" t="s">
        <v>9879</v>
      </c>
      <c r="AS477" s="1" t="s">
        <v>9880</v>
      </c>
      <c r="AT477" s="1" t="s">
        <v>7797</v>
      </c>
      <c r="AU477" s="1">
        <v>2022.0</v>
      </c>
      <c r="AV477" s="1">
        <v>24.0</v>
      </c>
      <c r="AW477" s="1">
        <v>2.0</v>
      </c>
      <c r="AX477" s="1" t="s">
        <v>74</v>
      </c>
      <c r="AY477" s="1" t="s">
        <v>74</v>
      </c>
      <c r="AZ477" s="1" t="s">
        <v>74</v>
      </c>
      <c r="BA477" s="1" t="s">
        <v>74</v>
      </c>
      <c r="BB477" s="1" t="s">
        <v>74</v>
      </c>
      <c r="BC477" s="1" t="s">
        <v>74</v>
      </c>
      <c r="BD477" s="1" t="s">
        <v>9881</v>
      </c>
      <c r="BE477" s="1" t="s">
        <v>9882</v>
      </c>
      <c r="BF477" s="2" t="str">
        <f>HYPERLINK("http://dx.doi.org/10.25100/iyc.v24i2.11727","http://dx.doi.org/10.25100/iyc.v24i2.11727")</f>
        <v>http://dx.doi.org/10.25100/iyc.v24i2.11727</v>
      </c>
      <c r="BG477" s="1" t="s">
        <v>74</v>
      </c>
      <c r="BH477" s="1" t="s">
        <v>74</v>
      </c>
      <c r="BI477" s="1">
        <v>23.0</v>
      </c>
      <c r="BJ477" s="1" t="s">
        <v>4171</v>
      </c>
      <c r="BK477" s="1" t="s">
        <v>172</v>
      </c>
      <c r="BL477" s="1" t="s">
        <v>3052</v>
      </c>
      <c r="BM477" s="1" t="s">
        <v>9883</v>
      </c>
      <c r="BN477" s="1" t="s">
        <v>74</v>
      </c>
      <c r="BO477" s="1" t="s">
        <v>74</v>
      </c>
      <c r="BP477" s="1" t="s">
        <v>74</v>
      </c>
      <c r="BQ477" s="1" t="s">
        <v>74</v>
      </c>
      <c r="BR477" s="1" t="s">
        <v>102</v>
      </c>
      <c r="BS477" s="1" t="s">
        <v>9884</v>
      </c>
      <c r="BT477" s="1" t="str">
        <f>HYPERLINK("https%3A%2F%2Fwww.webofscience.com%2Fwos%2Fwoscc%2Ffull-record%2FWOS:000927631700030","View Full Record in Web of Science")</f>
        <v>View Full Record in Web of Science</v>
      </c>
    </row>
    <row r="478" ht="12.75" customHeight="1">
      <c r="A478" s="1" t="s">
        <v>132</v>
      </c>
      <c r="B478" s="1" t="s">
        <v>9885</v>
      </c>
      <c r="C478" s="1" t="s">
        <v>74</v>
      </c>
      <c r="D478" s="1" t="s">
        <v>74</v>
      </c>
      <c r="E478" s="1" t="s">
        <v>74</v>
      </c>
      <c r="F478" s="1" t="s">
        <v>9886</v>
      </c>
      <c r="G478" s="1" t="s">
        <v>74</v>
      </c>
      <c r="H478" s="1" t="s">
        <v>74</v>
      </c>
      <c r="I478" s="1" t="s">
        <v>9887</v>
      </c>
      <c r="J478" s="1" t="s">
        <v>9888</v>
      </c>
      <c r="K478" s="1" t="s">
        <v>74</v>
      </c>
      <c r="L478" s="1" t="s">
        <v>74</v>
      </c>
      <c r="M478" s="1" t="s">
        <v>80</v>
      </c>
      <c r="N478" s="1" t="s">
        <v>1010</v>
      </c>
      <c r="O478" s="1" t="s">
        <v>74</v>
      </c>
      <c r="P478" s="1" t="s">
        <v>74</v>
      </c>
      <c r="Q478" s="1" t="s">
        <v>74</v>
      </c>
      <c r="R478" s="1" t="s">
        <v>74</v>
      </c>
      <c r="S478" s="1" t="s">
        <v>74</v>
      </c>
      <c r="T478" s="1" t="s">
        <v>9889</v>
      </c>
      <c r="U478" s="1" t="s">
        <v>9890</v>
      </c>
      <c r="V478" s="1" t="s">
        <v>9891</v>
      </c>
      <c r="W478" s="1" t="s">
        <v>9892</v>
      </c>
      <c r="X478" s="1" t="s">
        <v>1229</v>
      </c>
      <c r="Y478" s="1" t="s">
        <v>9893</v>
      </c>
      <c r="Z478" s="1" t="s">
        <v>9894</v>
      </c>
      <c r="AA478" s="1" t="s">
        <v>9895</v>
      </c>
      <c r="AB478" s="1" t="s">
        <v>74</v>
      </c>
      <c r="AC478" s="1" t="s">
        <v>74</v>
      </c>
      <c r="AD478" s="1" t="s">
        <v>74</v>
      </c>
      <c r="AE478" s="1" t="s">
        <v>74</v>
      </c>
      <c r="AF478" s="1" t="s">
        <v>74</v>
      </c>
      <c r="AG478" s="1">
        <v>42.0</v>
      </c>
      <c r="AH478" s="1">
        <v>0.0</v>
      </c>
      <c r="AI478" s="1">
        <v>0.0</v>
      </c>
      <c r="AJ478" s="1">
        <v>15.0</v>
      </c>
      <c r="AK478" s="1">
        <v>15.0</v>
      </c>
      <c r="AL478" s="1" t="s">
        <v>571</v>
      </c>
      <c r="AM478" s="1" t="s">
        <v>572</v>
      </c>
      <c r="AN478" s="1" t="s">
        <v>573</v>
      </c>
      <c r="AO478" s="1" t="s">
        <v>9896</v>
      </c>
      <c r="AP478" s="1" t="s">
        <v>9897</v>
      </c>
      <c r="AQ478" s="1" t="s">
        <v>74</v>
      </c>
      <c r="AR478" s="1" t="s">
        <v>9898</v>
      </c>
      <c r="AS478" s="1" t="s">
        <v>9899</v>
      </c>
      <c r="AT478" s="1" t="s">
        <v>9900</v>
      </c>
      <c r="AU478" s="1">
        <v>2024.0</v>
      </c>
      <c r="AV478" s="1">
        <v>37.0</v>
      </c>
      <c r="AW478" s="1">
        <v>4.0</v>
      </c>
      <c r="AX478" s="1" t="s">
        <v>74</v>
      </c>
      <c r="AY478" s="1" t="s">
        <v>74</v>
      </c>
      <c r="AZ478" s="1" t="s">
        <v>74</v>
      </c>
      <c r="BA478" s="1" t="s">
        <v>74</v>
      </c>
      <c r="BB478" s="1">
        <v>365.0</v>
      </c>
      <c r="BC478" s="1">
        <v>380.0</v>
      </c>
      <c r="BD478" s="1" t="s">
        <v>74</v>
      </c>
      <c r="BE478" s="1" t="s">
        <v>9901</v>
      </c>
      <c r="BF478" s="2" t="str">
        <f>HYPERLINK("http://dx.doi.org/10.1108/ARJ-04-2023-0105","http://dx.doi.org/10.1108/ARJ-04-2023-0105")</f>
        <v>http://dx.doi.org/10.1108/ARJ-04-2023-0105</v>
      </c>
      <c r="BG478" s="1" t="s">
        <v>74</v>
      </c>
      <c r="BH478" s="1" t="s">
        <v>1929</v>
      </c>
      <c r="BI478" s="1">
        <v>16.0</v>
      </c>
      <c r="BJ478" s="1" t="s">
        <v>3350</v>
      </c>
      <c r="BK478" s="1" t="s">
        <v>172</v>
      </c>
      <c r="BL478" s="1" t="s">
        <v>204</v>
      </c>
      <c r="BM478" s="1" t="s">
        <v>9902</v>
      </c>
      <c r="BN478" s="1" t="s">
        <v>74</v>
      </c>
      <c r="BO478" s="1" t="s">
        <v>74</v>
      </c>
      <c r="BP478" s="1" t="s">
        <v>74</v>
      </c>
      <c r="BQ478" s="1" t="s">
        <v>74</v>
      </c>
      <c r="BR478" s="1" t="s">
        <v>102</v>
      </c>
      <c r="BS478" s="1" t="s">
        <v>9903</v>
      </c>
      <c r="BT478" s="1" t="str">
        <f>HYPERLINK("https%3A%2F%2Fwww.webofscience.com%2Fwos%2Fwoscc%2Ffull-record%2FWOS:001263881900001","View Full Record in Web of Science")</f>
        <v>View Full Record in Web of Science</v>
      </c>
    </row>
    <row r="479" ht="12.75" customHeight="1">
      <c r="A479" s="1" t="s">
        <v>132</v>
      </c>
      <c r="B479" s="1" t="s">
        <v>9904</v>
      </c>
      <c r="C479" s="1" t="s">
        <v>74</v>
      </c>
      <c r="D479" s="1" t="s">
        <v>74</v>
      </c>
      <c r="E479" s="1" t="s">
        <v>74</v>
      </c>
      <c r="F479" s="1" t="s">
        <v>9905</v>
      </c>
      <c r="G479" s="1" t="s">
        <v>74</v>
      </c>
      <c r="H479" s="1" t="s">
        <v>74</v>
      </c>
      <c r="I479" s="1" t="s">
        <v>9906</v>
      </c>
      <c r="J479" s="1" t="s">
        <v>9907</v>
      </c>
      <c r="K479" s="1" t="s">
        <v>74</v>
      </c>
      <c r="L479" s="1" t="s">
        <v>74</v>
      </c>
      <c r="M479" s="1" t="s">
        <v>80</v>
      </c>
      <c r="N479" s="1" t="s">
        <v>1010</v>
      </c>
      <c r="O479" s="1" t="s">
        <v>74</v>
      </c>
      <c r="P479" s="1" t="s">
        <v>74</v>
      </c>
      <c r="Q479" s="1" t="s">
        <v>74</v>
      </c>
      <c r="R479" s="1" t="s">
        <v>74</v>
      </c>
      <c r="S479" s="1" t="s">
        <v>74</v>
      </c>
      <c r="T479" s="1" t="s">
        <v>9908</v>
      </c>
      <c r="U479" s="1" t="s">
        <v>9909</v>
      </c>
      <c r="V479" s="1" t="s">
        <v>9910</v>
      </c>
      <c r="W479" s="1" t="s">
        <v>9911</v>
      </c>
      <c r="X479" s="1" t="s">
        <v>9912</v>
      </c>
      <c r="Y479" s="1" t="s">
        <v>9913</v>
      </c>
      <c r="Z479" s="1" t="s">
        <v>9914</v>
      </c>
      <c r="AA479" s="1" t="s">
        <v>74</v>
      </c>
      <c r="AB479" s="1" t="s">
        <v>74</v>
      </c>
      <c r="AC479" s="1" t="s">
        <v>9915</v>
      </c>
      <c r="AD479" s="1" t="s">
        <v>9916</v>
      </c>
      <c r="AE479" s="1" t="s">
        <v>9917</v>
      </c>
      <c r="AF479" s="1" t="s">
        <v>74</v>
      </c>
      <c r="AG479" s="1">
        <v>26.0</v>
      </c>
      <c r="AH479" s="1">
        <v>17.0</v>
      </c>
      <c r="AI479" s="1">
        <v>19.0</v>
      </c>
      <c r="AJ479" s="1">
        <v>1.0</v>
      </c>
      <c r="AK479" s="1">
        <v>11.0</v>
      </c>
      <c r="AL479" s="1" t="s">
        <v>3800</v>
      </c>
      <c r="AM479" s="1" t="s">
        <v>349</v>
      </c>
      <c r="AN479" s="1" t="s">
        <v>3801</v>
      </c>
      <c r="AO479" s="1" t="s">
        <v>74</v>
      </c>
      <c r="AP479" s="1" t="s">
        <v>9918</v>
      </c>
      <c r="AQ479" s="1" t="s">
        <v>74</v>
      </c>
      <c r="AR479" s="1" t="s">
        <v>9919</v>
      </c>
      <c r="AS479" s="1" t="s">
        <v>9920</v>
      </c>
      <c r="AT479" s="1" t="s">
        <v>1774</v>
      </c>
      <c r="AU479" s="1">
        <v>2022.0</v>
      </c>
      <c r="AV479" s="1">
        <v>6.0</v>
      </c>
      <c r="AW479" s="1">
        <v>1.0</v>
      </c>
      <c r="AX479" s="1" t="s">
        <v>74</v>
      </c>
      <c r="AY479" s="1" t="s">
        <v>74</v>
      </c>
      <c r="AZ479" s="1" t="s">
        <v>74</v>
      </c>
      <c r="BA479" s="1" t="s">
        <v>74</v>
      </c>
      <c r="BB479" s="1" t="s">
        <v>74</v>
      </c>
      <c r="BC479" s="1" t="s">
        <v>74</v>
      </c>
      <c r="BD479" s="1">
        <v>33.0</v>
      </c>
      <c r="BE479" s="1" t="s">
        <v>9921</v>
      </c>
      <c r="BF479" s="2" t="str">
        <f>HYPERLINK("http://dx.doi.org/10.1186/s41747-022-00287-9","http://dx.doi.org/10.1186/s41747-022-00287-9")</f>
        <v>http://dx.doi.org/10.1186/s41747-022-00287-9</v>
      </c>
      <c r="BG479" s="1" t="s">
        <v>74</v>
      </c>
      <c r="BH479" s="1" t="s">
        <v>74</v>
      </c>
      <c r="BI479" s="1">
        <v>9.0</v>
      </c>
      <c r="BJ479" s="1" t="s">
        <v>656</v>
      </c>
      <c r="BK479" s="1" t="s">
        <v>172</v>
      </c>
      <c r="BL479" s="1" t="s">
        <v>656</v>
      </c>
      <c r="BM479" s="1" t="s">
        <v>9922</v>
      </c>
      <c r="BN479" s="1">
        <v>3.5908102E7</v>
      </c>
      <c r="BO479" s="1" t="s">
        <v>284</v>
      </c>
      <c r="BP479" s="1" t="s">
        <v>74</v>
      </c>
      <c r="BQ479" s="1" t="s">
        <v>74</v>
      </c>
      <c r="BR479" s="1" t="s">
        <v>102</v>
      </c>
      <c r="BS479" s="1" t="s">
        <v>9923</v>
      </c>
      <c r="BT479" s="1" t="str">
        <f>HYPERLINK("https%3A%2F%2Fwww.webofscience.com%2Fwos%2Fwoscc%2Ffull-record%2FWOS:000833486500001","View Full Record in Web of Science")</f>
        <v>View Full Record in Web of Science</v>
      </c>
    </row>
    <row r="480" ht="12.75" customHeight="1">
      <c r="A480" s="1" t="s">
        <v>132</v>
      </c>
      <c r="B480" s="1" t="s">
        <v>9924</v>
      </c>
      <c r="C480" s="1" t="s">
        <v>74</v>
      </c>
      <c r="D480" s="1" t="s">
        <v>74</v>
      </c>
      <c r="E480" s="1" t="s">
        <v>74</v>
      </c>
      <c r="F480" s="1" t="s">
        <v>9925</v>
      </c>
      <c r="G480" s="1" t="s">
        <v>74</v>
      </c>
      <c r="H480" s="1" t="s">
        <v>74</v>
      </c>
      <c r="I480" s="1" t="s">
        <v>9926</v>
      </c>
      <c r="J480" s="1" t="s">
        <v>9927</v>
      </c>
      <c r="K480" s="1" t="s">
        <v>74</v>
      </c>
      <c r="L480" s="1" t="s">
        <v>74</v>
      </c>
      <c r="M480" s="1" t="s">
        <v>80</v>
      </c>
      <c r="N480" s="1" t="s">
        <v>136</v>
      </c>
      <c r="O480" s="1" t="s">
        <v>74</v>
      </c>
      <c r="P480" s="1" t="s">
        <v>74</v>
      </c>
      <c r="Q480" s="1" t="s">
        <v>74</v>
      </c>
      <c r="R480" s="1" t="s">
        <v>74</v>
      </c>
      <c r="S480" s="1" t="s">
        <v>74</v>
      </c>
      <c r="T480" s="1" t="s">
        <v>9928</v>
      </c>
      <c r="U480" s="1" t="s">
        <v>74</v>
      </c>
      <c r="V480" s="1" t="s">
        <v>9929</v>
      </c>
      <c r="W480" s="1" t="s">
        <v>9930</v>
      </c>
      <c r="X480" s="1" t="s">
        <v>9931</v>
      </c>
      <c r="Y480" s="1" t="s">
        <v>9932</v>
      </c>
      <c r="Z480" s="1" t="s">
        <v>9933</v>
      </c>
      <c r="AA480" s="1" t="s">
        <v>9934</v>
      </c>
      <c r="AB480" s="1" t="s">
        <v>9935</v>
      </c>
      <c r="AC480" s="1" t="s">
        <v>74</v>
      </c>
      <c r="AD480" s="1" t="s">
        <v>74</v>
      </c>
      <c r="AE480" s="1" t="s">
        <v>74</v>
      </c>
      <c r="AF480" s="1" t="s">
        <v>74</v>
      </c>
      <c r="AG480" s="1">
        <v>18.0</v>
      </c>
      <c r="AH480" s="1">
        <v>3.0</v>
      </c>
      <c r="AI480" s="1">
        <v>3.0</v>
      </c>
      <c r="AJ480" s="1">
        <v>2.0</v>
      </c>
      <c r="AK480" s="1">
        <v>3.0</v>
      </c>
      <c r="AL480" s="1" t="s">
        <v>9936</v>
      </c>
      <c r="AM480" s="1" t="s">
        <v>2640</v>
      </c>
      <c r="AN480" s="1" t="s">
        <v>9937</v>
      </c>
      <c r="AO480" s="1" t="s">
        <v>74</v>
      </c>
      <c r="AP480" s="1" t="s">
        <v>9938</v>
      </c>
      <c r="AQ480" s="1" t="s">
        <v>74</v>
      </c>
      <c r="AR480" s="1" t="s">
        <v>9939</v>
      </c>
      <c r="AS480" s="1" t="s">
        <v>9940</v>
      </c>
      <c r="AT480" s="1" t="s">
        <v>9941</v>
      </c>
      <c r="AU480" s="1">
        <v>2023.0</v>
      </c>
      <c r="AV480" s="1">
        <v>15.0</v>
      </c>
      <c r="AW480" s="1">
        <v>2.0</v>
      </c>
      <c r="AX480" s="1" t="s">
        <v>74</v>
      </c>
      <c r="AY480" s="1" t="s">
        <v>74</v>
      </c>
      <c r="AZ480" s="1" t="s">
        <v>74</v>
      </c>
      <c r="BA480" s="1" t="s">
        <v>74</v>
      </c>
      <c r="BB480" s="1">
        <v>272.0</v>
      </c>
      <c r="BC480" s="1">
        <v>279.0</v>
      </c>
      <c r="BD480" s="1" t="s">
        <v>74</v>
      </c>
      <c r="BE480" s="1" t="s">
        <v>74</v>
      </c>
      <c r="BF480" s="1" t="s">
        <v>74</v>
      </c>
      <c r="BG480" s="1" t="s">
        <v>74</v>
      </c>
      <c r="BH480" s="1" t="s">
        <v>74</v>
      </c>
      <c r="BI480" s="1">
        <v>8.0</v>
      </c>
      <c r="BJ480" s="1" t="s">
        <v>1711</v>
      </c>
      <c r="BK480" s="1" t="s">
        <v>172</v>
      </c>
      <c r="BL480" s="1" t="s">
        <v>1711</v>
      </c>
      <c r="BM480" s="1" t="s">
        <v>9942</v>
      </c>
      <c r="BN480" s="1" t="s">
        <v>74</v>
      </c>
      <c r="BO480" s="1" t="s">
        <v>74</v>
      </c>
      <c r="BP480" s="1" t="s">
        <v>74</v>
      </c>
      <c r="BQ480" s="1" t="s">
        <v>74</v>
      </c>
      <c r="BR480" s="1" t="s">
        <v>102</v>
      </c>
      <c r="BS480" s="1" t="s">
        <v>9943</v>
      </c>
      <c r="BT480" s="1" t="str">
        <f>HYPERLINK("https%3A%2F%2Fwww.webofscience.com%2Fwos%2Fwoscc%2Ffull-record%2FWOS:001035463900027","View Full Record in Web of Science")</f>
        <v>View Full Record in Web of Science</v>
      </c>
    </row>
    <row r="481" ht="12.75" customHeight="1">
      <c r="A481" s="1" t="s">
        <v>132</v>
      </c>
      <c r="B481" s="1" t="s">
        <v>9944</v>
      </c>
      <c r="C481" s="1" t="s">
        <v>74</v>
      </c>
      <c r="D481" s="1" t="s">
        <v>74</v>
      </c>
      <c r="E481" s="1" t="s">
        <v>74</v>
      </c>
      <c r="F481" s="1" t="s">
        <v>9945</v>
      </c>
      <c r="G481" s="1" t="s">
        <v>74</v>
      </c>
      <c r="H481" s="1" t="s">
        <v>74</v>
      </c>
      <c r="I481" s="1" t="s">
        <v>9946</v>
      </c>
      <c r="J481" s="1" t="s">
        <v>9947</v>
      </c>
      <c r="K481" s="1" t="s">
        <v>74</v>
      </c>
      <c r="L481" s="1" t="s">
        <v>74</v>
      </c>
      <c r="M481" s="1" t="s">
        <v>80</v>
      </c>
      <c r="N481" s="1" t="s">
        <v>1010</v>
      </c>
      <c r="O481" s="1" t="s">
        <v>74</v>
      </c>
      <c r="P481" s="1" t="s">
        <v>74</v>
      </c>
      <c r="Q481" s="1" t="s">
        <v>74</v>
      </c>
      <c r="R481" s="1" t="s">
        <v>74</v>
      </c>
      <c r="S481" s="1" t="s">
        <v>74</v>
      </c>
      <c r="T481" s="1" t="s">
        <v>9948</v>
      </c>
      <c r="U481" s="1" t="s">
        <v>9949</v>
      </c>
      <c r="V481" s="1" t="s">
        <v>9950</v>
      </c>
      <c r="W481" s="1" t="s">
        <v>9951</v>
      </c>
      <c r="X481" s="1" t="s">
        <v>9952</v>
      </c>
      <c r="Y481" s="1" t="s">
        <v>9953</v>
      </c>
      <c r="Z481" s="1" t="s">
        <v>9954</v>
      </c>
      <c r="AA481" s="1" t="s">
        <v>9955</v>
      </c>
      <c r="AB481" s="1" t="s">
        <v>74</v>
      </c>
      <c r="AC481" s="1" t="s">
        <v>74</v>
      </c>
      <c r="AD481" s="1" t="s">
        <v>74</v>
      </c>
      <c r="AE481" s="1" t="s">
        <v>74</v>
      </c>
      <c r="AF481" s="1" t="s">
        <v>74</v>
      </c>
      <c r="AG481" s="1">
        <v>120.0</v>
      </c>
      <c r="AH481" s="1">
        <v>0.0</v>
      </c>
      <c r="AI481" s="1">
        <v>0.0</v>
      </c>
      <c r="AJ481" s="1">
        <v>8.0</v>
      </c>
      <c r="AK481" s="1">
        <v>17.0</v>
      </c>
      <c r="AL481" s="1" t="s">
        <v>275</v>
      </c>
      <c r="AM481" s="1" t="s">
        <v>276</v>
      </c>
      <c r="AN481" s="1" t="s">
        <v>277</v>
      </c>
      <c r="AO481" s="1" t="s">
        <v>74</v>
      </c>
      <c r="AP481" s="1" t="s">
        <v>9956</v>
      </c>
      <c r="AQ481" s="1" t="s">
        <v>74</v>
      </c>
      <c r="AR481" s="1" t="s">
        <v>9957</v>
      </c>
      <c r="AS481" s="1" t="s">
        <v>9958</v>
      </c>
      <c r="AT481" s="1" t="s">
        <v>9959</v>
      </c>
      <c r="AU481" s="1">
        <v>2024.0</v>
      </c>
      <c r="AV481" s="1">
        <v>6.0</v>
      </c>
      <c r="AW481" s="1" t="s">
        <v>74</v>
      </c>
      <c r="AX481" s="1" t="s">
        <v>74</v>
      </c>
      <c r="AY481" s="1" t="s">
        <v>74</v>
      </c>
      <c r="AZ481" s="1" t="s">
        <v>74</v>
      </c>
      <c r="BA481" s="1" t="s">
        <v>74</v>
      </c>
      <c r="BB481" s="1" t="s">
        <v>74</v>
      </c>
      <c r="BC481" s="1" t="s">
        <v>74</v>
      </c>
      <c r="BD481" s="1">
        <v>1286893.0</v>
      </c>
      <c r="BE481" s="1" t="s">
        <v>9960</v>
      </c>
      <c r="BF481" s="2" t="str">
        <f>HYPERLINK("http://dx.doi.org/10.3389/fpos.2024.1286893","http://dx.doi.org/10.3389/fpos.2024.1286893")</f>
        <v>http://dx.doi.org/10.3389/fpos.2024.1286893</v>
      </c>
      <c r="BG481" s="1" t="s">
        <v>74</v>
      </c>
      <c r="BH481" s="1" t="s">
        <v>74</v>
      </c>
      <c r="BI481" s="1">
        <v>15.0</v>
      </c>
      <c r="BJ481" s="1" t="s">
        <v>3535</v>
      </c>
      <c r="BK481" s="1" t="s">
        <v>172</v>
      </c>
      <c r="BL481" s="1" t="s">
        <v>3536</v>
      </c>
      <c r="BM481" s="1" t="s">
        <v>9961</v>
      </c>
      <c r="BN481" s="1" t="s">
        <v>74</v>
      </c>
      <c r="BO481" s="1" t="s">
        <v>1161</v>
      </c>
      <c r="BP481" s="1" t="s">
        <v>74</v>
      </c>
      <c r="BQ481" s="1" t="s">
        <v>74</v>
      </c>
      <c r="BR481" s="1" t="s">
        <v>102</v>
      </c>
      <c r="BS481" s="1" t="s">
        <v>9962</v>
      </c>
      <c r="BT481" s="1" t="str">
        <f>HYPERLINK("https%3A%2F%2Fwww.webofscience.com%2Fwos%2Fwoscc%2Ffull-record%2FWOS:001159594500001","View Full Record in Web of Science")</f>
        <v>View Full Record in Web of Science</v>
      </c>
    </row>
    <row r="482" ht="12.75" customHeight="1">
      <c r="A482" s="1" t="s">
        <v>132</v>
      </c>
      <c r="B482" s="1" t="s">
        <v>9963</v>
      </c>
      <c r="C482" s="1" t="s">
        <v>74</v>
      </c>
      <c r="D482" s="1" t="s">
        <v>74</v>
      </c>
      <c r="E482" s="1" t="s">
        <v>74</v>
      </c>
      <c r="F482" s="1" t="s">
        <v>9964</v>
      </c>
      <c r="G482" s="1" t="s">
        <v>74</v>
      </c>
      <c r="H482" s="1" t="s">
        <v>74</v>
      </c>
      <c r="I482" s="1" t="s">
        <v>9965</v>
      </c>
      <c r="J482" s="1" t="s">
        <v>9966</v>
      </c>
      <c r="K482" s="1" t="s">
        <v>74</v>
      </c>
      <c r="L482" s="1" t="s">
        <v>74</v>
      </c>
      <c r="M482" s="1" t="s">
        <v>80</v>
      </c>
      <c r="N482" s="1" t="s">
        <v>136</v>
      </c>
      <c r="O482" s="1" t="s">
        <v>74</v>
      </c>
      <c r="P482" s="1" t="s">
        <v>74</v>
      </c>
      <c r="Q482" s="1" t="s">
        <v>74</v>
      </c>
      <c r="R482" s="1" t="s">
        <v>74</v>
      </c>
      <c r="S482" s="1" t="s">
        <v>74</v>
      </c>
      <c r="T482" s="1" t="s">
        <v>9967</v>
      </c>
      <c r="U482" s="1" t="s">
        <v>9968</v>
      </c>
      <c r="V482" s="1" t="s">
        <v>9969</v>
      </c>
      <c r="W482" s="1" t="s">
        <v>9970</v>
      </c>
      <c r="X482" s="1" t="s">
        <v>9971</v>
      </c>
      <c r="Y482" s="1" t="s">
        <v>9972</v>
      </c>
      <c r="Z482" s="1" t="s">
        <v>9973</v>
      </c>
      <c r="AA482" s="1" t="s">
        <v>74</v>
      </c>
      <c r="AB482" s="1" t="s">
        <v>74</v>
      </c>
      <c r="AC482" s="1" t="s">
        <v>74</v>
      </c>
      <c r="AD482" s="1" t="s">
        <v>74</v>
      </c>
      <c r="AE482" s="1" t="s">
        <v>74</v>
      </c>
      <c r="AF482" s="1" t="s">
        <v>74</v>
      </c>
      <c r="AG482" s="1">
        <v>78.0</v>
      </c>
      <c r="AH482" s="1">
        <v>99.0</v>
      </c>
      <c r="AI482" s="1">
        <v>104.0</v>
      </c>
      <c r="AJ482" s="1">
        <v>3.0</v>
      </c>
      <c r="AK482" s="1">
        <v>54.0</v>
      </c>
      <c r="AL482" s="1" t="s">
        <v>9974</v>
      </c>
      <c r="AM482" s="1" t="s">
        <v>9975</v>
      </c>
      <c r="AN482" s="1" t="s">
        <v>9976</v>
      </c>
      <c r="AO482" s="1" t="s">
        <v>9977</v>
      </c>
      <c r="AP482" s="1" t="s">
        <v>9978</v>
      </c>
      <c r="AQ482" s="1" t="s">
        <v>74</v>
      </c>
      <c r="AR482" s="1" t="s">
        <v>9979</v>
      </c>
      <c r="AS482" s="1" t="s">
        <v>9980</v>
      </c>
      <c r="AT482" s="1" t="s">
        <v>9981</v>
      </c>
      <c r="AU482" s="1">
        <v>2019.0</v>
      </c>
      <c r="AV482" s="1">
        <v>60.0</v>
      </c>
      <c r="AW482" s="1" t="s">
        <v>74</v>
      </c>
      <c r="AX482" s="1" t="s">
        <v>74</v>
      </c>
      <c r="AY482" s="1">
        <v>2.0</v>
      </c>
      <c r="AZ482" s="1" t="s">
        <v>74</v>
      </c>
      <c r="BA482" s="1" t="s">
        <v>74</v>
      </c>
      <c r="BB482" s="1" t="s">
        <v>9982</v>
      </c>
      <c r="BC482" s="1" t="s">
        <v>9983</v>
      </c>
      <c r="BD482" s="1" t="s">
        <v>74</v>
      </c>
      <c r="BE482" s="1" t="s">
        <v>9984</v>
      </c>
      <c r="BF482" s="2" t="str">
        <f>HYPERLINK("http://dx.doi.org/10.2967/jnumed.118.220590","http://dx.doi.org/10.2967/jnumed.118.220590")</f>
        <v>http://dx.doi.org/10.2967/jnumed.118.220590</v>
      </c>
      <c r="BG482" s="1" t="s">
        <v>74</v>
      </c>
      <c r="BH482" s="1" t="s">
        <v>74</v>
      </c>
      <c r="BI482" s="1">
        <v>9.0</v>
      </c>
      <c r="BJ482" s="1" t="s">
        <v>656</v>
      </c>
      <c r="BK482" s="1" t="s">
        <v>149</v>
      </c>
      <c r="BL482" s="1" t="s">
        <v>656</v>
      </c>
      <c r="BM482" s="1" t="s">
        <v>9985</v>
      </c>
      <c r="BN482" s="1">
        <v>3.1481587E7</v>
      </c>
      <c r="BO482" s="1" t="s">
        <v>632</v>
      </c>
      <c r="BP482" s="1" t="s">
        <v>74</v>
      </c>
      <c r="BQ482" s="1" t="s">
        <v>74</v>
      </c>
      <c r="BR482" s="1" t="s">
        <v>102</v>
      </c>
      <c r="BS482" s="1" t="s">
        <v>9986</v>
      </c>
      <c r="BT482" s="1" t="str">
        <f>HYPERLINK("https%3A%2F%2Fwww.webofscience.com%2Fwos%2Fwoscc%2Ffull-record%2FWOS:000487245900006","View Full Record in Web of Science")</f>
        <v>View Full Record in Web of Science</v>
      </c>
    </row>
    <row r="483" ht="12.75" customHeight="1">
      <c r="A483" s="1" t="s">
        <v>132</v>
      </c>
      <c r="B483" s="1" t="s">
        <v>9987</v>
      </c>
      <c r="C483" s="1" t="s">
        <v>74</v>
      </c>
      <c r="D483" s="1" t="s">
        <v>74</v>
      </c>
      <c r="E483" s="1" t="s">
        <v>74</v>
      </c>
      <c r="F483" s="1" t="s">
        <v>9988</v>
      </c>
      <c r="G483" s="1" t="s">
        <v>74</v>
      </c>
      <c r="H483" s="1" t="s">
        <v>74</v>
      </c>
      <c r="I483" s="1" t="s">
        <v>9989</v>
      </c>
      <c r="J483" s="1" t="s">
        <v>9990</v>
      </c>
      <c r="K483" s="1" t="s">
        <v>74</v>
      </c>
      <c r="L483" s="1" t="s">
        <v>74</v>
      </c>
      <c r="M483" s="1" t="s">
        <v>80</v>
      </c>
      <c r="N483" s="1" t="s">
        <v>136</v>
      </c>
      <c r="O483" s="1" t="s">
        <v>74</v>
      </c>
      <c r="P483" s="1" t="s">
        <v>74</v>
      </c>
      <c r="Q483" s="1" t="s">
        <v>74</v>
      </c>
      <c r="R483" s="1" t="s">
        <v>74</v>
      </c>
      <c r="S483" s="1" t="s">
        <v>74</v>
      </c>
      <c r="T483" s="1" t="s">
        <v>9991</v>
      </c>
      <c r="U483" s="1" t="s">
        <v>9992</v>
      </c>
      <c r="V483" s="1" t="s">
        <v>9993</v>
      </c>
      <c r="W483" s="1" t="s">
        <v>9994</v>
      </c>
      <c r="X483" s="1" t="s">
        <v>9995</v>
      </c>
      <c r="Y483" s="1" t="s">
        <v>9996</v>
      </c>
      <c r="Z483" s="1" t="s">
        <v>9997</v>
      </c>
      <c r="AA483" s="1" t="s">
        <v>9998</v>
      </c>
      <c r="AB483" s="1" t="s">
        <v>74</v>
      </c>
      <c r="AC483" s="1" t="s">
        <v>74</v>
      </c>
      <c r="AD483" s="1" t="s">
        <v>74</v>
      </c>
      <c r="AE483" s="1" t="s">
        <v>74</v>
      </c>
      <c r="AF483" s="1" t="s">
        <v>74</v>
      </c>
      <c r="AG483" s="1">
        <v>116.0</v>
      </c>
      <c r="AH483" s="1">
        <v>129.0</v>
      </c>
      <c r="AI483" s="1">
        <v>132.0</v>
      </c>
      <c r="AJ483" s="1">
        <v>55.0</v>
      </c>
      <c r="AK483" s="1">
        <v>187.0</v>
      </c>
      <c r="AL483" s="1" t="s">
        <v>595</v>
      </c>
      <c r="AM483" s="1" t="s">
        <v>467</v>
      </c>
      <c r="AN483" s="1" t="s">
        <v>596</v>
      </c>
      <c r="AO483" s="1" t="s">
        <v>9999</v>
      </c>
      <c r="AP483" s="1" t="s">
        <v>10000</v>
      </c>
      <c r="AQ483" s="1" t="s">
        <v>74</v>
      </c>
      <c r="AR483" s="1" t="s">
        <v>10001</v>
      </c>
      <c r="AS483" s="1" t="s">
        <v>10002</v>
      </c>
      <c r="AT483" s="1" t="s">
        <v>6411</v>
      </c>
      <c r="AU483" s="1">
        <v>2021.0</v>
      </c>
      <c r="AV483" s="1">
        <v>8.0</v>
      </c>
      <c r="AW483" s="1">
        <v>1.0</v>
      </c>
      <c r="AX483" s="1" t="s">
        <v>74</v>
      </c>
      <c r="AY483" s="1" t="s">
        <v>74</v>
      </c>
      <c r="AZ483" s="1" t="s">
        <v>74</v>
      </c>
      <c r="BA483" s="1" t="s">
        <v>74</v>
      </c>
      <c r="BB483" s="1">
        <v>36.0</v>
      </c>
      <c r="BC483" s="1">
        <v>68.0</v>
      </c>
      <c r="BD483" s="1" t="s">
        <v>74</v>
      </c>
      <c r="BE483" s="1" t="s">
        <v>10003</v>
      </c>
      <c r="BF483" s="2" t="str">
        <f>HYPERLINK("http://dx.doi.org/10.1080/23270012.2020.1852895","http://dx.doi.org/10.1080/23270012.2020.1852895")</f>
        <v>http://dx.doi.org/10.1080/23270012.2020.1852895</v>
      </c>
      <c r="BG483" s="1" t="s">
        <v>74</v>
      </c>
      <c r="BH483" s="1" t="s">
        <v>3239</v>
      </c>
      <c r="BI483" s="1">
        <v>33.0</v>
      </c>
      <c r="BJ483" s="1" t="s">
        <v>10004</v>
      </c>
      <c r="BK483" s="1" t="s">
        <v>203</v>
      </c>
      <c r="BL483" s="1" t="s">
        <v>10005</v>
      </c>
      <c r="BM483" s="1" t="s">
        <v>10006</v>
      </c>
      <c r="BN483" s="1" t="s">
        <v>74</v>
      </c>
      <c r="BO483" s="1" t="s">
        <v>74</v>
      </c>
      <c r="BP483" s="1" t="s">
        <v>74</v>
      </c>
      <c r="BQ483" s="1" t="s">
        <v>74</v>
      </c>
      <c r="BR483" s="1" t="s">
        <v>102</v>
      </c>
      <c r="BS483" s="1" t="s">
        <v>10007</v>
      </c>
      <c r="BT483" s="1" t="str">
        <f>HYPERLINK("https%3A%2F%2Fwww.webofscience.com%2Fwos%2Fwoscc%2Ffull-record%2FWOS:000601049800001","View Full Record in Web of Science")</f>
        <v>View Full Record in Web of Science</v>
      </c>
    </row>
    <row r="484" ht="12.75" customHeight="1">
      <c r="A484" s="1" t="s">
        <v>132</v>
      </c>
      <c r="B484" s="1" t="s">
        <v>10008</v>
      </c>
      <c r="C484" s="1" t="s">
        <v>74</v>
      </c>
      <c r="D484" s="1" t="s">
        <v>74</v>
      </c>
      <c r="E484" s="1" t="s">
        <v>74</v>
      </c>
      <c r="F484" s="1" t="s">
        <v>10009</v>
      </c>
      <c r="G484" s="1" t="s">
        <v>74</v>
      </c>
      <c r="H484" s="1" t="s">
        <v>74</v>
      </c>
      <c r="I484" s="1" t="s">
        <v>10010</v>
      </c>
      <c r="J484" s="1" t="s">
        <v>263</v>
      </c>
      <c r="K484" s="1" t="s">
        <v>74</v>
      </c>
      <c r="L484" s="1" t="s">
        <v>74</v>
      </c>
      <c r="M484" s="1" t="s">
        <v>80</v>
      </c>
      <c r="N484" s="1" t="s">
        <v>136</v>
      </c>
      <c r="O484" s="1" t="s">
        <v>74</v>
      </c>
      <c r="P484" s="1" t="s">
        <v>74</v>
      </c>
      <c r="Q484" s="1" t="s">
        <v>74</v>
      </c>
      <c r="R484" s="1" t="s">
        <v>74</v>
      </c>
      <c r="S484" s="1" t="s">
        <v>74</v>
      </c>
      <c r="T484" s="1" t="s">
        <v>10011</v>
      </c>
      <c r="U484" s="1" t="s">
        <v>10012</v>
      </c>
      <c r="V484" s="1" t="s">
        <v>10013</v>
      </c>
      <c r="W484" s="1" t="s">
        <v>10014</v>
      </c>
      <c r="X484" s="1" t="s">
        <v>10015</v>
      </c>
      <c r="Y484" s="1" t="s">
        <v>10016</v>
      </c>
      <c r="Z484" s="1" t="s">
        <v>10017</v>
      </c>
      <c r="AA484" s="1" t="s">
        <v>74</v>
      </c>
      <c r="AB484" s="1" t="s">
        <v>74</v>
      </c>
      <c r="AC484" s="1" t="s">
        <v>10018</v>
      </c>
      <c r="AD484" s="1" t="s">
        <v>10018</v>
      </c>
      <c r="AE484" s="1" t="s">
        <v>10019</v>
      </c>
      <c r="AF484" s="1" t="s">
        <v>74</v>
      </c>
      <c r="AG484" s="1">
        <v>90.0</v>
      </c>
      <c r="AH484" s="1">
        <v>1.0</v>
      </c>
      <c r="AI484" s="1">
        <v>1.0</v>
      </c>
      <c r="AJ484" s="1">
        <v>10.0</v>
      </c>
      <c r="AK484" s="1">
        <v>10.0</v>
      </c>
      <c r="AL484" s="1" t="s">
        <v>275</v>
      </c>
      <c r="AM484" s="1" t="s">
        <v>276</v>
      </c>
      <c r="AN484" s="1" t="s">
        <v>277</v>
      </c>
      <c r="AO484" s="1" t="s">
        <v>74</v>
      </c>
      <c r="AP484" s="1" t="s">
        <v>278</v>
      </c>
      <c r="AQ484" s="1" t="s">
        <v>74</v>
      </c>
      <c r="AR484" s="1" t="s">
        <v>279</v>
      </c>
      <c r="AS484" s="1" t="s">
        <v>280</v>
      </c>
      <c r="AT484" s="1" t="s">
        <v>10020</v>
      </c>
      <c r="AU484" s="1">
        <v>2024.0</v>
      </c>
      <c r="AV484" s="1">
        <v>7.0</v>
      </c>
      <c r="AW484" s="1" t="s">
        <v>74</v>
      </c>
      <c r="AX484" s="1" t="s">
        <v>74</v>
      </c>
      <c r="AY484" s="1" t="s">
        <v>74</v>
      </c>
      <c r="AZ484" s="1" t="s">
        <v>74</v>
      </c>
      <c r="BA484" s="1" t="s">
        <v>74</v>
      </c>
      <c r="BB484" s="1" t="s">
        <v>74</v>
      </c>
      <c r="BC484" s="1" t="s">
        <v>74</v>
      </c>
      <c r="BD484" s="1">
        <v>1426761.0</v>
      </c>
      <c r="BE484" s="1" t="s">
        <v>10021</v>
      </c>
      <c r="BF484" s="2" t="str">
        <f>HYPERLINK("http://dx.doi.org/10.3389/frai.2024.1426761","http://dx.doi.org/10.3389/frai.2024.1426761")</f>
        <v>http://dx.doi.org/10.3389/frai.2024.1426761</v>
      </c>
      <c r="BG484" s="1" t="s">
        <v>74</v>
      </c>
      <c r="BH484" s="1" t="s">
        <v>74</v>
      </c>
      <c r="BI484" s="1">
        <v>9.0</v>
      </c>
      <c r="BJ484" s="1" t="s">
        <v>282</v>
      </c>
      <c r="BK484" s="1" t="s">
        <v>172</v>
      </c>
      <c r="BL484" s="1" t="s">
        <v>232</v>
      </c>
      <c r="BM484" s="1" t="s">
        <v>10022</v>
      </c>
      <c r="BN484" s="1">
        <v>3.9582547E7</v>
      </c>
      <c r="BO484" s="1" t="s">
        <v>174</v>
      </c>
      <c r="BP484" s="1" t="s">
        <v>74</v>
      </c>
      <c r="BQ484" s="1" t="s">
        <v>74</v>
      </c>
      <c r="BR484" s="1" t="s">
        <v>102</v>
      </c>
      <c r="BS484" s="1" t="s">
        <v>10023</v>
      </c>
      <c r="BT484" s="1" t="str">
        <f>HYPERLINK("https%3A%2F%2Fwww.webofscience.com%2Fwos%2Fwoscc%2Ffull-record%2FWOS:001360501200001","View Full Record in Web of Science")</f>
        <v>View Full Record in Web of Science</v>
      </c>
    </row>
    <row r="485" ht="12.75" customHeight="1">
      <c r="A485" s="1" t="s">
        <v>72</v>
      </c>
      <c r="B485" s="1" t="s">
        <v>10024</v>
      </c>
      <c r="C485" s="1" t="s">
        <v>74</v>
      </c>
      <c r="D485" s="1" t="s">
        <v>10025</v>
      </c>
      <c r="E485" s="1" t="s">
        <v>74</v>
      </c>
      <c r="F485" s="1" t="s">
        <v>10026</v>
      </c>
      <c r="G485" s="1" t="s">
        <v>74</v>
      </c>
      <c r="H485" s="1" t="s">
        <v>74</v>
      </c>
      <c r="I485" s="1" t="s">
        <v>10027</v>
      </c>
      <c r="J485" s="1" t="s">
        <v>10028</v>
      </c>
      <c r="K485" s="1" t="s">
        <v>74</v>
      </c>
      <c r="L485" s="1" t="s">
        <v>74</v>
      </c>
      <c r="M485" s="1" t="s">
        <v>80</v>
      </c>
      <c r="N485" s="1" t="s">
        <v>81</v>
      </c>
      <c r="O485" s="1" t="s">
        <v>10029</v>
      </c>
      <c r="P485" s="1" t="s">
        <v>10030</v>
      </c>
      <c r="Q485" s="1" t="s">
        <v>10031</v>
      </c>
      <c r="R485" s="1" t="s">
        <v>236</v>
      </c>
      <c r="S485" s="1" t="s">
        <v>74</v>
      </c>
      <c r="T485" s="1" t="s">
        <v>10032</v>
      </c>
      <c r="U485" s="1" t="s">
        <v>74</v>
      </c>
      <c r="V485" s="1" t="s">
        <v>10033</v>
      </c>
      <c r="W485" s="1" t="s">
        <v>10034</v>
      </c>
      <c r="X485" s="1" t="s">
        <v>10035</v>
      </c>
      <c r="Y485" s="1" t="s">
        <v>10036</v>
      </c>
      <c r="Z485" s="1" t="s">
        <v>10037</v>
      </c>
      <c r="AA485" s="1" t="s">
        <v>74</v>
      </c>
      <c r="AB485" s="1" t="s">
        <v>74</v>
      </c>
      <c r="AC485" s="1" t="s">
        <v>74</v>
      </c>
      <c r="AD485" s="1" t="s">
        <v>74</v>
      </c>
      <c r="AE485" s="1" t="s">
        <v>74</v>
      </c>
      <c r="AF485" s="1" t="s">
        <v>74</v>
      </c>
      <c r="AG485" s="1">
        <v>20.0</v>
      </c>
      <c r="AH485" s="1">
        <v>0.0</v>
      </c>
      <c r="AI485" s="1">
        <v>0.0</v>
      </c>
      <c r="AJ485" s="1">
        <v>17.0</v>
      </c>
      <c r="AK485" s="1">
        <v>18.0</v>
      </c>
      <c r="AL485" s="1" t="s">
        <v>236</v>
      </c>
      <c r="AM485" s="1" t="s">
        <v>193</v>
      </c>
      <c r="AN485" s="1" t="s">
        <v>252</v>
      </c>
      <c r="AO485" s="1" t="s">
        <v>74</v>
      </c>
      <c r="AP485" s="1" t="s">
        <v>74</v>
      </c>
      <c r="AQ485" s="1" t="s">
        <v>10038</v>
      </c>
      <c r="AR485" s="1" t="s">
        <v>74</v>
      </c>
      <c r="AS485" s="1" t="s">
        <v>74</v>
      </c>
      <c r="AT485" s="1" t="s">
        <v>74</v>
      </c>
      <c r="AU485" s="1">
        <v>2024.0</v>
      </c>
      <c r="AV485" s="1" t="s">
        <v>74</v>
      </c>
      <c r="AW485" s="1" t="s">
        <v>74</v>
      </c>
      <c r="AX485" s="1" t="s">
        <v>74</v>
      </c>
      <c r="AY485" s="1" t="s">
        <v>74</v>
      </c>
      <c r="AZ485" s="1" t="s">
        <v>74</v>
      </c>
      <c r="BA485" s="1" t="s">
        <v>74</v>
      </c>
      <c r="BB485" s="1" t="s">
        <v>74</v>
      </c>
      <c r="BC485" s="1" t="s">
        <v>74</v>
      </c>
      <c r="BD485" s="1" t="s">
        <v>74</v>
      </c>
      <c r="BE485" s="1" t="s">
        <v>10039</v>
      </c>
      <c r="BF485" s="2" t="str">
        <f>HYPERLINK("http://dx.doi.org/10.1109/EDUNINE60625.2024.10500608","http://dx.doi.org/10.1109/EDUNINE60625.2024.10500608")</f>
        <v>http://dx.doi.org/10.1109/EDUNINE60625.2024.10500608</v>
      </c>
      <c r="BG485" s="1" t="s">
        <v>74</v>
      </c>
      <c r="BH485" s="1" t="s">
        <v>74</v>
      </c>
      <c r="BI485" s="1">
        <v>3.0</v>
      </c>
      <c r="BJ485" s="1" t="s">
        <v>10040</v>
      </c>
      <c r="BK485" s="1" t="s">
        <v>128</v>
      </c>
      <c r="BL485" s="1" t="s">
        <v>171</v>
      </c>
      <c r="BM485" s="1" t="s">
        <v>10041</v>
      </c>
      <c r="BN485" s="1" t="s">
        <v>74</v>
      </c>
      <c r="BO485" s="1" t="s">
        <v>74</v>
      </c>
      <c r="BP485" s="1" t="s">
        <v>74</v>
      </c>
      <c r="BQ485" s="1" t="s">
        <v>74</v>
      </c>
      <c r="BR485" s="1" t="s">
        <v>102</v>
      </c>
      <c r="BS485" s="1" t="s">
        <v>10042</v>
      </c>
      <c r="BT485" s="1" t="str">
        <f>HYPERLINK("https%3A%2F%2Fwww.webofscience.com%2Fwos%2Fwoscc%2Ffull-record%2FWOS:001215053500046","View Full Record in Web of Science")</f>
        <v>View Full Record in Web of Science</v>
      </c>
    </row>
    <row r="486" ht="12.75" customHeight="1">
      <c r="A486" s="1" t="s">
        <v>132</v>
      </c>
      <c r="B486" s="1" t="s">
        <v>10043</v>
      </c>
      <c r="C486" s="1" t="s">
        <v>74</v>
      </c>
      <c r="D486" s="1" t="s">
        <v>74</v>
      </c>
      <c r="E486" s="1" t="s">
        <v>74</v>
      </c>
      <c r="F486" s="1" t="s">
        <v>10044</v>
      </c>
      <c r="G486" s="1" t="s">
        <v>74</v>
      </c>
      <c r="H486" s="1" t="s">
        <v>74</v>
      </c>
      <c r="I486" s="1" t="s">
        <v>10045</v>
      </c>
      <c r="J486" s="1" t="s">
        <v>5018</v>
      </c>
      <c r="K486" s="1" t="s">
        <v>74</v>
      </c>
      <c r="L486" s="1" t="s">
        <v>74</v>
      </c>
      <c r="M486" s="1" t="s">
        <v>80</v>
      </c>
      <c r="N486" s="1" t="s">
        <v>136</v>
      </c>
      <c r="O486" s="1" t="s">
        <v>74</v>
      </c>
      <c r="P486" s="1" t="s">
        <v>74</v>
      </c>
      <c r="Q486" s="1" t="s">
        <v>74</v>
      </c>
      <c r="R486" s="1" t="s">
        <v>74</v>
      </c>
      <c r="S486" s="1" t="s">
        <v>74</v>
      </c>
      <c r="T486" s="1" t="s">
        <v>10046</v>
      </c>
      <c r="U486" s="1" t="s">
        <v>10047</v>
      </c>
      <c r="V486" s="1" t="s">
        <v>10048</v>
      </c>
      <c r="W486" s="1" t="s">
        <v>10049</v>
      </c>
      <c r="X486" s="1" t="s">
        <v>10050</v>
      </c>
      <c r="Y486" s="1" t="s">
        <v>10051</v>
      </c>
      <c r="Z486" s="1" t="s">
        <v>10052</v>
      </c>
      <c r="AA486" s="1" t="s">
        <v>10053</v>
      </c>
      <c r="AB486" s="1" t="s">
        <v>10054</v>
      </c>
      <c r="AC486" s="1" t="s">
        <v>10055</v>
      </c>
      <c r="AD486" s="1" t="s">
        <v>10055</v>
      </c>
      <c r="AE486" s="1" t="s">
        <v>10056</v>
      </c>
      <c r="AF486" s="1" t="s">
        <v>74</v>
      </c>
      <c r="AG486" s="1">
        <v>79.0</v>
      </c>
      <c r="AH486" s="1">
        <v>9.0</v>
      </c>
      <c r="AI486" s="1">
        <v>9.0</v>
      </c>
      <c r="AJ486" s="1">
        <v>26.0</v>
      </c>
      <c r="AK486" s="1">
        <v>27.0</v>
      </c>
      <c r="AL486" s="1" t="s">
        <v>1970</v>
      </c>
      <c r="AM486" s="1" t="s">
        <v>1658</v>
      </c>
      <c r="AN486" s="1" t="s">
        <v>1971</v>
      </c>
      <c r="AO486" s="1" t="s">
        <v>74</v>
      </c>
      <c r="AP486" s="1" t="s">
        <v>5029</v>
      </c>
      <c r="AQ486" s="1" t="s">
        <v>74</v>
      </c>
      <c r="AR486" s="1" t="s">
        <v>5030</v>
      </c>
      <c r="AS486" s="1" t="s">
        <v>5031</v>
      </c>
      <c r="AT486" s="1" t="s">
        <v>1279</v>
      </c>
      <c r="AU486" s="1">
        <v>2024.0</v>
      </c>
      <c r="AV486" s="1">
        <v>16.0</v>
      </c>
      <c r="AW486" s="1">
        <v>13.0</v>
      </c>
      <c r="AX486" s="1" t="s">
        <v>74</v>
      </c>
      <c r="AY486" s="1" t="s">
        <v>74</v>
      </c>
      <c r="AZ486" s="1" t="s">
        <v>74</v>
      </c>
      <c r="BA486" s="1" t="s">
        <v>74</v>
      </c>
      <c r="BB486" s="1" t="s">
        <v>74</v>
      </c>
      <c r="BC486" s="1" t="s">
        <v>74</v>
      </c>
      <c r="BD486" s="1">
        <v>5448.0</v>
      </c>
      <c r="BE486" s="1" t="s">
        <v>10057</v>
      </c>
      <c r="BF486" s="2" t="str">
        <f>HYPERLINK("http://dx.doi.org/10.3390/su16135448","http://dx.doi.org/10.3390/su16135448")</f>
        <v>http://dx.doi.org/10.3390/su16135448</v>
      </c>
      <c r="BG486" s="1" t="s">
        <v>74</v>
      </c>
      <c r="BH486" s="1" t="s">
        <v>74</v>
      </c>
      <c r="BI486" s="1">
        <v>17.0</v>
      </c>
      <c r="BJ486" s="1" t="s">
        <v>5033</v>
      </c>
      <c r="BK486" s="1" t="s">
        <v>783</v>
      </c>
      <c r="BL486" s="1" t="s">
        <v>3612</v>
      </c>
      <c r="BM486" s="1" t="s">
        <v>10058</v>
      </c>
      <c r="BN486" s="1" t="s">
        <v>74</v>
      </c>
      <c r="BO486" s="1" t="s">
        <v>174</v>
      </c>
      <c r="BP486" s="1" t="s">
        <v>74</v>
      </c>
      <c r="BQ486" s="1" t="s">
        <v>74</v>
      </c>
      <c r="BR486" s="1" t="s">
        <v>102</v>
      </c>
      <c r="BS486" s="1" t="s">
        <v>10059</v>
      </c>
      <c r="BT486" s="1" t="str">
        <f>HYPERLINK("https%3A%2F%2Fwww.webofscience.com%2Fwos%2Fwoscc%2Ffull-record%2FWOS:001269683300001","View Full Record in Web of Science")</f>
        <v>View Full Record in Web of Science</v>
      </c>
    </row>
    <row r="487" ht="12.75" customHeight="1">
      <c r="A487" s="1" t="s">
        <v>132</v>
      </c>
      <c r="B487" s="1" t="s">
        <v>10060</v>
      </c>
      <c r="C487" s="1" t="s">
        <v>74</v>
      </c>
      <c r="D487" s="1" t="s">
        <v>74</v>
      </c>
      <c r="E487" s="1" t="s">
        <v>74</v>
      </c>
      <c r="F487" s="1" t="s">
        <v>10061</v>
      </c>
      <c r="G487" s="1" t="s">
        <v>74</v>
      </c>
      <c r="H487" s="1" t="s">
        <v>74</v>
      </c>
      <c r="I487" s="1" t="s">
        <v>10062</v>
      </c>
      <c r="J487" s="1" t="s">
        <v>10063</v>
      </c>
      <c r="K487" s="1" t="s">
        <v>74</v>
      </c>
      <c r="L487" s="1" t="s">
        <v>74</v>
      </c>
      <c r="M487" s="1" t="s">
        <v>80</v>
      </c>
      <c r="N487" s="1" t="s">
        <v>136</v>
      </c>
      <c r="O487" s="1" t="s">
        <v>74</v>
      </c>
      <c r="P487" s="1" t="s">
        <v>74</v>
      </c>
      <c r="Q487" s="1" t="s">
        <v>74</v>
      </c>
      <c r="R487" s="1" t="s">
        <v>74</v>
      </c>
      <c r="S487" s="1" t="s">
        <v>74</v>
      </c>
      <c r="T487" s="1" t="s">
        <v>10064</v>
      </c>
      <c r="U487" s="1" t="s">
        <v>74</v>
      </c>
      <c r="V487" s="1" t="s">
        <v>10065</v>
      </c>
      <c r="W487" s="1" t="s">
        <v>10066</v>
      </c>
      <c r="X487" s="1" t="s">
        <v>10067</v>
      </c>
      <c r="Y487" s="1" t="s">
        <v>10068</v>
      </c>
      <c r="Z487" s="1" t="s">
        <v>10069</v>
      </c>
      <c r="AA487" s="1" t="s">
        <v>74</v>
      </c>
      <c r="AB487" s="1" t="s">
        <v>74</v>
      </c>
      <c r="AC487" s="1" t="s">
        <v>74</v>
      </c>
      <c r="AD487" s="1" t="s">
        <v>74</v>
      </c>
      <c r="AE487" s="1" t="s">
        <v>74</v>
      </c>
      <c r="AF487" s="1" t="s">
        <v>74</v>
      </c>
      <c r="AG487" s="1">
        <v>29.0</v>
      </c>
      <c r="AH487" s="1">
        <v>0.0</v>
      </c>
      <c r="AI487" s="1">
        <v>0.0</v>
      </c>
      <c r="AJ487" s="1">
        <v>3.0</v>
      </c>
      <c r="AK487" s="1">
        <v>4.0</v>
      </c>
      <c r="AL487" s="1" t="s">
        <v>10070</v>
      </c>
      <c r="AM487" s="1" t="s">
        <v>10071</v>
      </c>
      <c r="AN487" s="1" t="s">
        <v>10072</v>
      </c>
      <c r="AO487" s="1" t="s">
        <v>10073</v>
      </c>
      <c r="AP487" s="1" t="s">
        <v>74</v>
      </c>
      <c r="AQ487" s="1" t="s">
        <v>74</v>
      </c>
      <c r="AR487" s="1" t="s">
        <v>10074</v>
      </c>
      <c r="AS487" s="1" t="s">
        <v>10075</v>
      </c>
      <c r="AT487" s="1" t="s">
        <v>10076</v>
      </c>
      <c r="AU487" s="1">
        <v>2024.0</v>
      </c>
      <c r="AV487" s="1">
        <v>23.0</v>
      </c>
      <c r="AW487" s="1">
        <v>68.0</v>
      </c>
      <c r="AX487" s="1" t="s">
        <v>74</v>
      </c>
      <c r="AY487" s="1" t="s">
        <v>74</v>
      </c>
      <c r="AZ487" s="1" t="s">
        <v>74</v>
      </c>
      <c r="BA487" s="1" t="s">
        <v>74</v>
      </c>
      <c r="BB487" s="1">
        <v>47.0</v>
      </c>
      <c r="BC487" s="1">
        <v>58.0</v>
      </c>
      <c r="BD487" s="1" t="s">
        <v>74</v>
      </c>
      <c r="BE487" s="1" t="s">
        <v>74</v>
      </c>
      <c r="BF487" s="1" t="s">
        <v>74</v>
      </c>
      <c r="BG487" s="1" t="s">
        <v>74</v>
      </c>
      <c r="BH487" s="1" t="s">
        <v>74</v>
      </c>
      <c r="BI487" s="1">
        <v>12.0</v>
      </c>
      <c r="BJ487" s="1" t="s">
        <v>2646</v>
      </c>
      <c r="BK487" s="1" t="s">
        <v>3391</v>
      </c>
      <c r="BL487" s="1" t="s">
        <v>2646</v>
      </c>
      <c r="BM487" s="1" t="s">
        <v>10077</v>
      </c>
      <c r="BN487" s="1" t="s">
        <v>74</v>
      </c>
      <c r="BO487" s="1" t="s">
        <v>74</v>
      </c>
      <c r="BP487" s="1" t="s">
        <v>74</v>
      </c>
      <c r="BQ487" s="1" t="s">
        <v>74</v>
      </c>
      <c r="BR487" s="1" t="s">
        <v>102</v>
      </c>
      <c r="BS487" s="1" t="s">
        <v>10078</v>
      </c>
      <c r="BT487" s="1" t="str">
        <f>HYPERLINK("https%3A%2F%2Fwww.webofscience.com%2Fwos%2Fwoscc%2Ffull-record%2FWOS:001251043200004","View Full Record in Web of Science")</f>
        <v>View Full Record in Web of Science</v>
      </c>
    </row>
    <row r="488" ht="12.75" customHeight="1">
      <c r="A488" s="1" t="s">
        <v>132</v>
      </c>
      <c r="B488" s="1" t="s">
        <v>10079</v>
      </c>
      <c r="C488" s="1" t="s">
        <v>74</v>
      </c>
      <c r="D488" s="1" t="s">
        <v>74</v>
      </c>
      <c r="E488" s="1" t="s">
        <v>74</v>
      </c>
      <c r="F488" s="1" t="s">
        <v>10080</v>
      </c>
      <c r="G488" s="1" t="s">
        <v>74</v>
      </c>
      <c r="H488" s="1" t="s">
        <v>74</v>
      </c>
      <c r="I488" s="1" t="s">
        <v>10081</v>
      </c>
      <c r="J488" s="1" t="s">
        <v>10082</v>
      </c>
      <c r="K488" s="1" t="s">
        <v>74</v>
      </c>
      <c r="L488" s="1" t="s">
        <v>74</v>
      </c>
      <c r="M488" s="1" t="s">
        <v>80</v>
      </c>
      <c r="N488" s="1" t="s">
        <v>136</v>
      </c>
      <c r="O488" s="1" t="s">
        <v>74</v>
      </c>
      <c r="P488" s="1" t="s">
        <v>74</v>
      </c>
      <c r="Q488" s="1" t="s">
        <v>74</v>
      </c>
      <c r="R488" s="1" t="s">
        <v>74</v>
      </c>
      <c r="S488" s="1" t="s">
        <v>74</v>
      </c>
      <c r="T488" s="1" t="s">
        <v>10083</v>
      </c>
      <c r="U488" s="1" t="s">
        <v>74</v>
      </c>
      <c r="V488" s="1" t="s">
        <v>10084</v>
      </c>
      <c r="W488" s="1" t="s">
        <v>10085</v>
      </c>
      <c r="X488" s="1" t="s">
        <v>10086</v>
      </c>
      <c r="Y488" s="1" t="s">
        <v>10087</v>
      </c>
      <c r="Z488" s="1" t="s">
        <v>10088</v>
      </c>
      <c r="AA488" s="1" t="s">
        <v>10089</v>
      </c>
      <c r="AB488" s="1" t="s">
        <v>10090</v>
      </c>
      <c r="AC488" s="1" t="s">
        <v>10091</v>
      </c>
      <c r="AD488" s="1" t="s">
        <v>10092</v>
      </c>
      <c r="AE488" s="1" t="s">
        <v>10093</v>
      </c>
      <c r="AF488" s="1" t="s">
        <v>74</v>
      </c>
      <c r="AG488" s="1">
        <v>23.0</v>
      </c>
      <c r="AH488" s="1">
        <v>1.0</v>
      </c>
      <c r="AI488" s="1">
        <v>1.0</v>
      </c>
      <c r="AJ488" s="1">
        <v>4.0</v>
      </c>
      <c r="AK488" s="1">
        <v>20.0</v>
      </c>
      <c r="AL488" s="1" t="s">
        <v>10094</v>
      </c>
      <c r="AM488" s="1" t="s">
        <v>10095</v>
      </c>
      <c r="AN488" s="1" t="s">
        <v>10096</v>
      </c>
      <c r="AO488" s="1" t="s">
        <v>10097</v>
      </c>
      <c r="AP488" s="1" t="s">
        <v>10098</v>
      </c>
      <c r="AQ488" s="1" t="s">
        <v>74</v>
      </c>
      <c r="AR488" s="1" t="s">
        <v>10099</v>
      </c>
      <c r="AS488" s="1" t="s">
        <v>10100</v>
      </c>
      <c r="AT488" s="1" t="s">
        <v>328</v>
      </c>
      <c r="AU488" s="1">
        <v>2023.0</v>
      </c>
      <c r="AV488" s="1">
        <v>104.0</v>
      </c>
      <c r="AW488" s="1">
        <v>6.0</v>
      </c>
      <c r="AX488" s="1" t="s">
        <v>74</v>
      </c>
      <c r="AY488" s="1" t="s">
        <v>74</v>
      </c>
      <c r="AZ488" s="1" t="s">
        <v>74</v>
      </c>
      <c r="BA488" s="1" t="s">
        <v>74</v>
      </c>
      <c r="BB488" s="1" t="s">
        <v>10101</v>
      </c>
      <c r="BC488" s="1" t="s">
        <v>10102</v>
      </c>
      <c r="BD488" s="1" t="s">
        <v>74</v>
      </c>
      <c r="BE488" s="1" t="s">
        <v>10103</v>
      </c>
      <c r="BF488" s="2" t="str">
        <f>HYPERLINK("http://dx.doi.org/10.1175/BAMS-D-22-0225.1","http://dx.doi.org/10.1175/BAMS-D-22-0225.1")</f>
        <v>http://dx.doi.org/10.1175/BAMS-D-22-0225.1</v>
      </c>
      <c r="BG488" s="1" t="s">
        <v>74</v>
      </c>
      <c r="BH488" s="1" t="s">
        <v>74</v>
      </c>
      <c r="BI488" s="1">
        <v>10.0</v>
      </c>
      <c r="BJ488" s="1" t="s">
        <v>10104</v>
      </c>
      <c r="BK488" s="1" t="s">
        <v>149</v>
      </c>
      <c r="BL488" s="1" t="s">
        <v>10104</v>
      </c>
      <c r="BM488" s="1" t="s">
        <v>10105</v>
      </c>
      <c r="BN488" s="1" t="s">
        <v>74</v>
      </c>
      <c r="BO488" s="1" t="s">
        <v>8251</v>
      </c>
      <c r="BP488" s="1" t="s">
        <v>74</v>
      </c>
      <c r="BQ488" s="1" t="s">
        <v>74</v>
      </c>
      <c r="BR488" s="1" t="s">
        <v>102</v>
      </c>
      <c r="BS488" s="1" t="s">
        <v>10106</v>
      </c>
      <c r="BT488" s="1" t="str">
        <f>HYPERLINK("https%3A%2F%2Fwww.webofscience.com%2Fwos%2Fwoscc%2Ffull-record%2FWOS:001025739900002","View Full Record in Web of Science")</f>
        <v>View Full Record in Web of Science</v>
      </c>
    </row>
    <row r="489" ht="12.75" customHeight="1">
      <c r="A489" s="1" t="s">
        <v>132</v>
      </c>
      <c r="B489" s="1" t="s">
        <v>10107</v>
      </c>
      <c r="C489" s="1" t="s">
        <v>74</v>
      </c>
      <c r="D489" s="1" t="s">
        <v>74</v>
      </c>
      <c r="E489" s="1" t="s">
        <v>74</v>
      </c>
      <c r="F489" s="1" t="s">
        <v>10108</v>
      </c>
      <c r="G489" s="1" t="s">
        <v>74</v>
      </c>
      <c r="H489" s="1" t="s">
        <v>74</v>
      </c>
      <c r="I489" s="1" t="s">
        <v>10109</v>
      </c>
      <c r="J489" s="1" t="s">
        <v>10110</v>
      </c>
      <c r="K489" s="1" t="s">
        <v>74</v>
      </c>
      <c r="L489" s="1" t="s">
        <v>74</v>
      </c>
      <c r="M489" s="1" t="s">
        <v>80</v>
      </c>
      <c r="N489" s="1" t="s">
        <v>338</v>
      </c>
      <c r="O489" s="1" t="s">
        <v>74</v>
      </c>
      <c r="P489" s="1" t="s">
        <v>74</v>
      </c>
      <c r="Q489" s="1" t="s">
        <v>74</v>
      </c>
      <c r="R489" s="1" t="s">
        <v>74</v>
      </c>
      <c r="S489" s="1" t="s">
        <v>74</v>
      </c>
      <c r="T489" s="1" t="s">
        <v>10111</v>
      </c>
      <c r="U489" s="1" t="s">
        <v>10112</v>
      </c>
      <c r="V489" s="1" t="s">
        <v>10113</v>
      </c>
      <c r="W489" s="1" t="s">
        <v>10114</v>
      </c>
      <c r="X489" s="1" t="s">
        <v>10115</v>
      </c>
      <c r="Y489" s="1" t="s">
        <v>10116</v>
      </c>
      <c r="Z489" s="1" t="s">
        <v>10117</v>
      </c>
      <c r="AA489" s="1" t="s">
        <v>10118</v>
      </c>
      <c r="AB489" s="1" t="s">
        <v>74</v>
      </c>
      <c r="AC489" s="1" t="s">
        <v>10119</v>
      </c>
      <c r="AD489" s="1" t="s">
        <v>10120</v>
      </c>
      <c r="AE489" s="1" t="s">
        <v>10121</v>
      </c>
      <c r="AF489" s="1" t="s">
        <v>74</v>
      </c>
      <c r="AG489" s="1">
        <v>78.0</v>
      </c>
      <c r="AH489" s="1">
        <v>2.0</v>
      </c>
      <c r="AI489" s="1">
        <v>2.0</v>
      </c>
      <c r="AJ489" s="1">
        <v>51.0</v>
      </c>
      <c r="AK489" s="1">
        <v>51.0</v>
      </c>
      <c r="AL489" s="1" t="s">
        <v>7099</v>
      </c>
      <c r="AM489" s="1" t="s">
        <v>7100</v>
      </c>
      <c r="AN489" s="1" t="s">
        <v>7101</v>
      </c>
      <c r="AO489" s="1" t="s">
        <v>10122</v>
      </c>
      <c r="AP489" s="1" t="s">
        <v>10123</v>
      </c>
      <c r="AQ489" s="1" t="s">
        <v>74</v>
      </c>
      <c r="AR489" s="1" t="s">
        <v>10124</v>
      </c>
      <c r="AS489" s="1" t="s">
        <v>10125</v>
      </c>
      <c r="AT489" s="1" t="s">
        <v>10126</v>
      </c>
      <c r="AU489" s="1">
        <v>2024.0</v>
      </c>
      <c r="AV489" s="1" t="s">
        <v>74</v>
      </c>
      <c r="AW489" s="1" t="s">
        <v>74</v>
      </c>
      <c r="AX489" s="1" t="s">
        <v>74</v>
      </c>
      <c r="AY489" s="1" t="s">
        <v>74</v>
      </c>
      <c r="AZ489" s="1" t="s">
        <v>74</v>
      </c>
      <c r="BA489" s="1" t="s">
        <v>74</v>
      </c>
      <c r="BB489" s="1" t="s">
        <v>74</v>
      </c>
      <c r="BC489" s="1" t="s">
        <v>74</v>
      </c>
      <c r="BD489" s="1" t="s">
        <v>74</v>
      </c>
      <c r="BE489" s="1" t="s">
        <v>10127</v>
      </c>
      <c r="BF489" s="2" t="str">
        <f>HYPERLINK("http://dx.doi.org/10.3846/tede.2024.21929","http://dx.doi.org/10.3846/tede.2024.21929")</f>
        <v>http://dx.doi.org/10.3846/tede.2024.21929</v>
      </c>
      <c r="BG489" s="1" t="s">
        <v>74</v>
      </c>
      <c r="BH489" s="1" t="s">
        <v>1883</v>
      </c>
      <c r="BI489" s="1">
        <v>22.0</v>
      </c>
      <c r="BJ489" s="1" t="s">
        <v>202</v>
      </c>
      <c r="BK489" s="1" t="s">
        <v>203</v>
      </c>
      <c r="BL489" s="1" t="s">
        <v>204</v>
      </c>
      <c r="BM489" s="1" t="s">
        <v>10128</v>
      </c>
      <c r="BN489" s="1" t="s">
        <v>74</v>
      </c>
      <c r="BO489" s="1" t="s">
        <v>174</v>
      </c>
      <c r="BP489" s="1" t="s">
        <v>74</v>
      </c>
      <c r="BQ489" s="1" t="s">
        <v>74</v>
      </c>
      <c r="BR489" s="1" t="s">
        <v>102</v>
      </c>
      <c r="BS489" s="1" t="s">
        <v>10129</v>
      </c>
      <c r="BT489" s="1" t="str">
        <f>HYPERLINK("https%3A%2F%2Fwww.webofscience.com%2Fwos%2Fwoscc%2Ffull-record%2FWOS:001310025400001","View Full Record in Web of Science")</f>
        <v>View Full Record in Web of Science</v>
      </c>
    </row>
    <row r="490" ht="12.75" customHeight="1">
      <c r="A490" s="1" t="s">
        <v>132</v>
      </c>
      <c r="B490" s="1" t="s">
        <v>10130</v>
      </c>
      <c r="C490" s="1" t="s">
        <v>74</v>
      </c>
      <c r="D490" s="1" t="s">
        <v>74</v>
      </c>
      <c r="E490" s="1" t="s">
        <v>74</v>
      </c>
      <c r="F490" s="1" t="s">
        <v>10131</v>
      </c>
      <c r="G490" s="1" t="s">
        <v>74</v>
      </c>
      <c r="H490" s="1" t="s">
        <v>74</v>
      </c>
      <c r="I490" s="1" t="s">
        <v>10132</v>
      </c>
      <c r="J490" s="1" t="s">
        <v>10133</v>
      </c>
      <c r="K490" s="1" t="s">
        <v>74</v>
      </c>
      <c r="L490" s="1" t="s">
        <v>74</v>
      </c>
      <c r="M490" s="1" t="s">
        <v>80</v>
      </c>
      <c r="N490" s="1" t="s">
        <v>136</v>
      </c>
      <c r="O490" s="1" t="s">
        <v>74</v>
      </c>
      <c r="P490" s="1" t="s">
        <v>74</v>
      </c>
      <c r="Q490" s="1" t="s">
        <v>74</v>
      </c>
      <c r="R490" s="1" t="s">
        <v>74</v>
      </c>
      <c r="S490" s="1" t="s">
        <v>74</v>
      </c>
      <c r="T490" s="1" t="s">
        <v>10134</v>
      </c>
      <c r="U490" s="1" t="s">
        <v>10135</v>
      </c>
      <c r="V490" s="1" t="s">
        <v>10136</v>
      </c>
      <c r="W490" s="1" t="s">
        <v>10137</v>
      </c>
      <c r="X490" s="1" t="s">
        <v>10138</v>
      </c>
      <c r="Y490" s="1" t="s">
        <v>10139</v>
      </c>
      <c r="Z490" s="1" t="s">
        <v>10140</v>
      </c>
      <c r="AA490" s="1" t="s">
        <v>10141</v>
      </c>
      <c r="AB490" s="1" t="s">
        <v>10142</v>
      </c>
      <c r="AC490" s="1" t="s">
        <v>10143</v>
      </c>
      <c r="AD490" s="1" t="s">
        <v>10144</v>
      </c>
      <c r="AE490" s="1" t="s">
        <v>10145</v>
      </c>
      <c r="AF490" s="1" t="s">
        <v>74</v>
      </c>
      <c r="AG490" s="1">
        <v>132.0</v>
      </c>
      <c r="AH490" s="1">
        <v>0.0</v>
      </c>
      <c r="AI490" s="1">
        <v>0.0</v>
      </c>
      <c r="AJ490" s="1">
        <v>1.0</v>
      </c>
      <c r="AK490" s="1">
        <v>1.0</v>
      </c>
      <c r="AL490" s="1" t="s">
        <v>3551</v>
      </c>
      <c r="AM490" s="1" t="s">
        <v>193</v>
      </c>
      <c r="AN490" s="1" t="s">
        <v>3552</v>
      </c>
      <c r="AO490" s="1" t="s">
        <v>74</v>
      </c>
      <c r="AP490" s="1" t="s">
        <v>10146</v>
      </c>
      <c r="AQ490" s="1" t="s">
        <v>74</v>
      </c>
      <c r="AR490" s="1" t="s">
        <v>10147</v>
      </c>
      <c r="AS490" s="1" t="s">
        <v>10148</v>
      </c>
      <c r="AT490" s="1" t="s">
        <v>6623</v>
      </c>
      <c r="AU490" s="1">
        <v>2024.0</v>
      </c>
      <c r="AV490" s="1">
        <v>13.0</v>
      </c>
      <c r="AW490" s="1">
        <v>4.0</v>
      </c>
      <c r="AX490" s="1" t="s">
        <v>74</v>
      </c>
      <c r="AY490" s="1" t="s">
        <v>74</v>
      </c>
      <c r="AZ490" s="1" t="s">
        <v>74</v>
      </c>
      <c r="BA490" s="1" t="s">
        <v>74</v>
      </c>
      <c r="BB490" s="1" t="s">
        <v>74</v>
      </c>
      <c r="BC490" s="1" t="s">
        <v>74</v>
      </c>
      <c r="BD490" s="1">
        <v>100096.0</v>
      </c>
      <c r="BE490" s="1" t="s">
        <v>10149</v>
      </c>
      <c r="BF490" s="2" t="str">
        <f>HYPERLINK("http://dx.doi.org/10.1016/j.apjo.2024.100096","http://dx.doi.org/10.1016/j.apjo.2024.100096")</f>
        <v>http://dx.doi.org/10.1016/j.apjo.2024.100096</v>
      </c>
      <c r="BG490" s="1" t="s">
        <v>74</v>
      </c>
      <c r="BH490" s="1" t="s">
        <v>74</v>
      </c>
      <c r="BI490" s="1">
        <v>11.0</v>
      </c>
      <c r="BJ490" s="1" t="s">
        <v>1029</v>
      </c>
      <c r="BK490" s="1" t="s">
        <v>149</v>
      </c>
      <c r="BL490" s="1" t="s">
        <v>1029</v>
      </c>
      <c r="BM490" s="1" t="s">
        <v>10150</v>
      </c>
      <c r="BN490" s="1">
        <v>3.9209215E7</v>
      </c>
      <c r="BO490" s="1" t="s">
        <v>174</v>
      </c>
      <c r="BP490" s="1" t="s">
        <v>74</v>
      </c>
      <c r="BQ490" s="1" t="s">
        <v>74</v>
      </c>
      <c r="BR490" s="1" t="s">
        <v>102</v>
      </c>
      <c r="BS490" s="1" t="s">
        <v>10151</v>
      </c>
      <c r="BT490" s="1" t="str">
        <f>HYPERLINK("https%3A%2F%2Fwww.webofscience.com%2Fwos%2Fwoscc%2Ffull-record%2FWOS:001308891200001","View Full Record in Web of Science")</f>
        <v>View Full Record in Web of Science</v>
      </c>
    </row>
    <row r="491" ht="12.75" customHeight="1">
      <c r="A491" s="1" t="s">
        <v>132</v>
      </c>
      <c r="B491" s="1" t="s">
        <v>10152</v>
      </c>
      <c r="C491" s="1" t="s">
        <v>74</v>
      </c>
      <c r="D491" s="1" t="s">
        <v>74</v>
      </c>
      <c r="E491" s="1" t="s">
        <v>74</v>
      </c>
      <c r="F491" s="1" t="s">
        <v>10153</v>
      </c>
      <c r="G491" s="1" t="s">
        <v>74</v>
      </c>
      <c r="H491" s="1" t="s">
        <v>74</v>
      </c>
      <c r="I491" s="1" t="s">
        <v>10154</v>
      </c>
      <c r="J491" s="1" t="s">
        <v>10155</v>
      </c>
      <c r="K491" s="1" t="s">
        <v>74</v>
      </c>
      <c r="L491" s="1" t="s">
        <v>74</v>
      </c>
      <c r="M491" s="1" t="s">
        <v>157</v>
      </c>
      <c r="N491" s="1" t="s">
        <v>136</v>
      </c>
      <c r="O491" s="1" t="s">
        <v>74</v>
      </c>
      <c r="P491" s="1" t="s">
        <v>74</v>
      </c>
      <c r="Q491" s="1" t="s">
        <v>74</v>
      </c>
      <c r="R491" s="1" t="s">
        <v>74</v>
      </c>
      <c r="S491" s="1" t="s">
        <v>74</v>
      </c>
      <c r="T491" s="1" t="s">
        <v>10156</v>
      </c>
      <c r="U491" s="1" t="s">
        <v>74</v>
      </c>
      <c r="V491" s="1" t="s">
        <v>10157</v>
      </c>
      <c r="W491" s="1" t="s">
        <v>10158</v>
      </c>
      <c r="X491" s="1" t="s">
        <v>74</v>
      </c>
      <c r="Y491" s="1" t="s">
        <v>10159</v>
      </c>
      <c r="Z491" s="1" t="s">
        <v>10160</v>
      </c>
      <c r="AA491" s="1" t="s">
        <v>10161</v>
      </c>
      <c r="AB491" s="1" t="s">
        <v>74</v>
      </c>
      <c r="AC491" s="1" t="s">
        <v>74</v>
      </c>
      <c r="AD491" s="1" t="s">
        <v>74</v>
      </c>
      <c r="AE491" s="1" t="s">
        <v>74</v>
      </c>
      <c r="AF491" s="1" t="s">
        <v>74</v>
      </c>
      <c r="AG491" s="1">
        <v>17.0</v>
      </c>
      <c r="AH491" s="1">
        <v>0.0</v>
      </c>
      <c r="AI491" s="1">
        <v>0.0</v>
      </c>
      <c r="AJ491" s="1">
        <v>13.0</v>
      </c>
      <c r="AK491" s="1">
        <v>17.0</v>
      </c>
      <c r="AL491" s="1" t="s">
        <v>10162</v>
      </c>
      <c r="AM491" s="1" t="s">
        <v>7333</v>
      </c>
      <c r="AN491" s="1" t="s">
        <v>10163</v>
      </c>
      <c r="AO491" s="1" t="s">
        <v>10164</v>
      </c>
      <c r="AP491" s="1" t="s">
        <v>74</v>
      </c>
      <c r="AQ491" s="1" t="s">
        <v>74</v>
      </c>
      <c r="AR491" s="1" t="s">
        <v>10165</v>
      </c>
      <c r="AS491" s="1" t="s">
        <v>10165</v>
      </c>
      <c r="AT491" s="1" t="s">
        <v>10166</v>
      </c>
      <c r="AU491" s="1">
        <v>2024.0</v>
      </c>
      <c r="AV491" s="1">
        <v>15.0</v>
      </c>
      <c r="AW491" s="1">
        <v>1.0</v>
      </c>
      <c r="AX491" s="1" t="s">
        <v>74</v>
      </c>
      <c r="AY491" s="1" t="s">
        <v>74</v>
      </c>
      <c r="AZ491" s="1" t="s">
        <v>74</v>
      </c>
      <c r="BA491" s="1" t="s">
        <v>74</v>
      </c>
      <c r="BB491" s="1" t="s">
        <v>74</v>
      </c>
      <c r="BC491" s="1" t="s">
        <v>74</v>
      </c>
      <c r="BD491" s="1" t="s">
        <v>74</v>
      </c>
      <c r="BE491" s="1" t="s">
        <v>10167</v>
      </c>
      <c r="BF491" s="2" t="str">
        <f>HYPERLINK("http://dx.doi.org/10.23925/2179-3565.2023v15i1p133-142","http://dx.doi.org/10.23925/2179-3565.2023v15i1p133-142")</f>
        <v>http://dx.doi.org/10.23925/2179-3565.2023v15i1p133-142</v>
      </c>
      <c r="BG491" s="1" t="s">
        <v>74</v>
      </c>
      <c r="BH491" s="1" t="s">
        <v>74</v>
      </c>
      <c r="BI491" s="1">
        <v>10.0</v>
      </c>
      <c r="BJ491" s="1" t="s">
        <v>1776</v>
      </c>
      <c r="BK491" s="1" t="s">
        <v>172</v>
      </c>
      <c r="BL491" s="1" t="s">
        <v>204</v>
      </c>
      <c r="BM491" s="1" t="s">
        <v>10168</v>
      </c>
      <c r="BN491" s="1" t="s">
        <v>74</v>
      </c>
      <c r="BO491" s="1" t="s">
        <v>174</v>
      </c>
      <c r="BP491" s="1" t="s">
        <v>74</v>
      </c>
      <c r="BQ491" s="1" t="s">
        <v>74</v>
      </c>
      <c r="BR491" s="1" t="s">
        <v>102</v>
      </c>
      <c r="BS491" s="1" t="s">
        <v>10169</v>
      </c>
      <c r="BT491" s="1" t="str">
        <f>HYPERLINK("https%3A%2F%2Fwww.webofscience.com%2Fwos%2Fwoscc%2Ffull-record%2FWOS:001217224600001","View Full Record in Web of Science")</f>
        <v>View Full Record in Web of Science</v>
      </c>
    </row>
    <row r="492" ht="12.75" customHeight="1">
      <c r="A492" s="1" t="s">
        <v>132</v>
      </c>
      <c r="B492" s="1" t="s">
        <v>10170</v>
      </c>
      <c r="C492" s="1" t="s">
        <v>74</v>
      </c>
      <c r="D492" s="1" t="s">
        <v>74</v>
      </c>
      <c r="E492" s="1" t="s">
        <v>74</v>
      </c>
      <c r="F492" s="1" t="s">
        <v>10171</v>
      </c>
      <c r="G492" s="1" t="s">
        <v>74</v>
      </c>
      <c r="H492" s="1" t="s">
        <v>74</v>
      </c>
      <c r="I492" s="1" t="s">
        <v>10172</v>
      </c>
      <c r="J492" s="1" t="s">
        <v>10173</v>
      </c>
      <c r="K492" s="1" t="s">
        <v>74</v>
      </c>
      <c r="L492" s="1" t="s">
        <v>74</v>
      </c>
      <c r="M492" s="1" t="s">
        <v>80</v>
      </c>
      <c r="N492" s="1" t="s">
        <v>1010</v>
      </c>
      <c r="O492" s="1" t="s">
        <v>74</v>
      </c>
      <c r="P492" s="1" t="s">
        <v>74</v>
      </c>
      <c r="Q492" s="1" t="s">
        <v>74</v>
      </c>
      <c r="R492" s="1" t="s">
        <v>74</v>
      </c>
      <c r="S492" s="1" t="s">
        <v>74</v>
      </c>
      <c r="T492" s="1" t="s">
        <v>10174</v>
      </c>
      <c r="U492" s="1" t="s">
        <v>10175</v>
      </c>
      <c r="V492" s="1" t="s">
        <v>10176</v>
      </c>
      <c r="W492" s="1" t="s">
        <v>10177</v>
      </c>
      <c r="X492" s="1" t="s">
        <v>10178</v>
      </c>
      <c r="Y492" s="1" t="s">
        <v>10179</v>
      </c>
      <c r="Z492" s="1" t="s">
        <v>10180</v>
      </c>
      <c r="AA492" s="1" t="s">
        <v>10181</v>
      </c>
      <c r="AB492" s="1" t="s">
        <v>10182</v>
      </c>
      <c r="AC492" s="1" t="s">
        <v>74</v>
      </c>
      <c r="AD492" s="1" t="s">
        <v>74</v>
      </c>
      <c r="AE492" s="1" t="s">
        <v>74</v>
      </c>
      <c r="AF492" s="1" t="s">
        <v>74</v>
      </c>
      <c r="AG492" s="1">
        <v>154.0</v>
      </c>
      <c r="AH492" s="1">
        <v>53.0</v>
      </c>
      <c r="AI492" s="1">
        <v>55.0</v>
      </c>
      <c r="AJ492" s="1">
        <v>42.0</v>
      </c>
      <c r="AK492" s="1">
        <v>244.0</v>
      </c>
      <c r="AL492" s="1" t="s">
        <v>2745</v>
      </c>
      <c r="AM492" s="1" t="s">
        <v>2746</v>
      </c>
      <c r="AN492" s="1" t="s">
        <v>2747</v>
      </c>
      <c r="AO492" s="1" t="s">
        <v>10183</v>
      </c>
      <c r="AP492" s="1" t="s">
        <v>10184</v>
      </c>
      <c r="AQ492" s="1" t="s">
        <v>74</v>
      </c>
      <c r="AR492" s="1" t="s">
        <v>10185</v>
      </c>
      <c r="AS492" s="1" t="s">
        <v>10186</v>
      </c>
      <c r="AT492" s="1" t="s">
        <v>1253</v>
      </c>
      <c r="AU492" s="1">
        <v>2022.0</v>
      </c>
      <c r="AV492" s="1">
        <v>27.0</v>
      </c>
      <c r="AW492" s="1">
        <v>4.0</v>
      </c>
      <c r="AX492" s="1" t="s">
        <v>74</v>
      </c>
      <c r="AY492" s="1" t="s">
        <v>74</v>
      </c>
      <c r="AZ492" s="1" t="s">
        <v>74</v>
      </c>
      <c r="BA492" s="1" t="s">
        <v>74</v>
      </c>
      <c r="BB492" s="1">
        <v>967.0</v>
      </c>
      <c r="BC492" s="1">
        <v>984.0</v>
      </c>
      <c r="BD492" s="1" t="s">
        <v>74</v>
      </c>
      <c r="BE492" s="1" t="s">
        <v>10187</v>
      </c>
      <c r="BF492" s="2" t="str">
        <f>HYPERLINK("http://dx.doi.org/10.1016/j.drudis.2021.11.023","http://dx.doi.org/10.1016/j.drudis.2021.11.023")</f>
        <v>http://dx.doi.org/10.1016/j.drudis.2021.11.023</v>
      </c>
      <c r="BG492" s="1" t="s">
        <v>74</v>
      </c>
      <c r="BH492" s="1" t="s">
        <v>1482</v>
      </c>
      <c r="BI492" s="1">
        <v>18.0</v>
      </c>
      <c r="BJ492" s="1" t="s">
        <v>7236</v>
      </c>
      <c r="BK492" s="1" t="s">
        <v>149</v>
      </c>
      <c r="BL492" s="1" t="s">
        <v>7236</v>
      </c>
      <c r="BM492" s="1" t="s">
        <v>10188</v>
      </c>
      <c r="BN492" s="1">
        <v>3.4838731E7</v>
      </c>
      <c r="BO492" s="1" t="s">
        <v>3027</v>
      </c>
      <c r="BP492" s="1" t="s">
        <v>74</v>
      </c>
      <c r="BQ492" s="1" t="s">
        <v>74</v>
      </c>
      <c r="BR492" s="1" t="s">
        <v>102</v>
      </c>
      <c r="BS492" s="1" t="s">
        <v>10189</v>
      </c>
      <c r="BT492" s="1" t="str">
        <f>HYPERLINK("https%3A%2F%2Fwww.webofscience.com%2Fwos%2Fwoscc%2Ffull-record%2FWOS:000783311100005","View Full Record in Web of Science")</f>
        <v>View Full Record in Web of Science</v>
      </c>
    </row>
    <row r="493" ht="12.75" customHeight="1">
      <c r="A493" s="1" t="s">
        <v>132</v>
      </c>
      <c r="B493" s="1" t="s">
        <v>10190</v>
      </c>
      <c r="C493" s="1" t="s">
        <v>74</v>
      </c>
      <c r="D493" s="1" t="s">
        <v>74</v>
      </c>
      <c r="E493" s="1" t="s">
        <v>74</v>
      </c>
      <c r="F493" s="1" t="s">
        <v>10191</v>
      </c>
      <c r="G493" s="1" t="s">
        <v>74</v>
      </c>
      <c r="H493" s="1" t="s">
        <v>74</v>
      </c>
      <c r="I493" s="1" t="s">
        <v>10192</v>
      </c>
      <c r="J493" s="1" t="s">
        <v>10193</v>
      </c>
      <c r="K493" s="1" t="s">
        <v>74</v>
      </c>
      <c r="L493" s="1" t="s">
        <v>74</v>
      </c>
      <c r="M493" s="1" t="s">
        <v>80</v>
      </c>
      <c r="N493" s="1" t="s">
        <v>136</v>
      </c>
      <c r="O493" s="1" t="s">
        <v>74</v>
      </c>
      <c r="P493" s="1" t="s">
        <v>74</v>
      </c>
      <c r="Q493" s="1" t="s">
        <v>74</v>
      </c>
      <c r="R493" s="1" t="s">
        <v>74</v>
      </c>
      <c r="S493" s="1" t="s">
        <v>74</v>
      </c>
      <c r="T493" s="1" t="s">
        <v>10194</v>
      </c>
      <c r="U493" s="1" t="s">
        <v>10195</v>
      </c>
      <c r="V493" s="1" t="s">
        <v>10196</v>
      </c>
      <c r="W493" s="1" t="s">
        <v>10197</v>
      </c>
      <c r="X493" s="1" t="s">
        <v>10198</v>
      </c>
      <c r="Y493" s="1" t="s">
        <v>10199</v>
      </c>
      <c r="Z493" s="1" t="s">
        <v>10200</v>
      </c>
      <c r="AA493" s="1" t="s">
        <v>10201</v>
      </c>
      <c r="AB493" s="1" t="s">
        <v>10202</v>
      </c>
      <c r="AC493" s="1" t="s">
        <v>10203</v>
      </c>
      <c r="AD493" s="1" t="s">
        <v>10204</v>
      </c>
      <c r="AE493" s="1" t="s">
        <v>10205</v>
      </c>
      <c r="AF493" s="1" t="s">
        <v>74</v>
      </c>
      <c r="AG493" s="1">
        <v>21.0</v>
      </c>
      <c r="AH493" s="1">
        <v>0.0</v>
      </c>
      <c r="AI493" s="1">
        <v>0.0</v>
      </c>
      <c r="AJ493" s="1">
        <v>16.0</v>
      </c>
      <c r="AK493" s="1">
        <v>35.0</v>
      </c>
      <c r="AL493" s="1" t="s">
        <v>1357</v>
      </c>
      <c r="AM493" s="1" t="s">
        <v>1358</v>
      </c>
      <c r="AN493" s="1" t="s">
        <v>1359</v>
      </c>
      <c r="AO493" s="1" t="s">
        <v>10206</v>
      </c>
      <c r="AP493" s="1" t="s">
        <v>10207</v>
      </c>
      <c r="AQ493" s="1" t="s">
        <v>74</v>
      </c>
      <c r="AR493" s="1" t="s">
        <v>10208</v>
      </c>
      <c r="AS493" s="1" t="s">
        <v>10209</v>
      </c>
      <c r="AT493" s="1" t="s">
        <v>1364</v>
      </c>
      <c r="AU493" s="1">
        <v>2024.0</v>
      </c>
      <c r="AV493" s="1">
        <v>41.0</v>
      </c>
      <c r="AW493" s="1">
        <v>5.0</v>
      </c>
      <c r="AX493" s="1" t="s">
        <v>74</v>
      </c>
      <c r="AY493" s="1" t="s">
        <v>74</v>
      </c>
      <c r="AZ493" s="1" t="s">
        <v>74</v>
      </c>
      <c r="BA493" s="1" t="s">
        <v>74</v>
      </c>
      <c r="BB493" s="1" t="s">
        <v>74</v>
      </c>
      <c r="BC493" s="1" t="s">
        <v>74</v>
      </c>
      <c r="BD493" s="1" t="s">
        <v>74</v>
      </c>
      <c r="BE493" s="1" t="s">
        <v>10210</v>
      </c>
      <c r="BF493" s="2" t="str">
        <f>HYPERLINK("http://dx.doi.org/10.1111/exsy.13190","http://dx.doi.org/10.1111/exsy.13190")</f>
        <v>http://dx.doi.org/10.1111/exsy.13190</v>
      </c>
      <c r="BG493" s="1" t="s">
        <v>74</v>
      </c>
      <c r="BH493" s="1" t="s">
        <v>3050</v>
      </c>
      <c r="BI493" s="1">
        <v>14.0</v>
      </c>
      <c r="BJ493" s="1" t="s">
        <v>231</v>
      </c>
      <c r="BK493" s="1" t="s">
        <v>149</v>
      </c>
      <c r="BL493" s="1" t="s">
        <v>232</v>
      </c>
      <c r="BM493" s="1" t="s">
        <v>10211</v>
      </c>
      <c r="BN493" s="1" t="s">
        <v>74</v>
      </c>
      <c r="BO493" s="1" t="s">
        <v>74</v>
      </c>
      <c r="BP493" s="1" t="s">
        <v>74</v>
      </c>
      <c r="BQ493" s="1" t="s">
        <v>74</v>
      </c>
      <c r="BR493" s="1" t="s">
        <v>102</v>
      </c>
      <c r="BS493" s="1" t="s">
        <v>10212</v>
      </c>
      <c r="BT493" s="1" t="str">
        <f>HYPERLINK("https%3A%2F%2Fwww.webofscience.com%2Fwos%2Fwoscc%2Ffull-record%2FWOS:000888870800001","View Full Record in Web of Science")</f>
        <v>View Full Record in Web of Science</v>
      </c>
    </row>
    <row r="494" ht="12.75" customHeight="1">
      <c r="A494" s="1" t="s">
        <v>132</v>
      </c>
      <c r="B494" s="1" t="s">
        <v>10213</v>
      </c>
      <c r="C494" s="1" t="s">
        <v>74</v>
      </c>
      <c r="D494" s="1" t="s">
        <v>74</v>
      </c>
      <c r="E494" s="1" t="s">
        <v>74</v>
      </c>
      <c r="F494" s="1" t="s">
        <v>10214</v>
      </c>
      <c r="G494" s="1" t="s">
        <v>74</v>
      </c>
      <c r="H494" s="1" t="s">
        <v>74</v>
      </c>
      <c r="I494" s="1" t="s">
        <v>10215</v>
      </c>
      <c r="J494" s="1" t="s">
        <v>10216</v>
      </c>
      <c r="K494" s="1" t="s">
        <v>74</v>
      </c>
      <c r="L494" s="1" t="s">
        <v>74</v>
      </c>
      <c r="M494" s="1" t="s">
        <v>80</v>
      </c>
      <c r="N494" s="1" t="s">
        <v>10217</v>
      </c>
      <c r="O494" s="1" t="s">
        <v>74</v>
      </c>
      <c r="P494" s="1" t="s">
        <v>74</v>
      </c>
      <c r="Q494" s="1" t="s">
        <v>74</v>
      </c>
      <c r="R494" s="1" t="s">
        <v>74</v>
      </c>
      <c r="S494" s="1" t="s">
        <v>74</v>
      </c>
      <c r="T494" s="1" t="s">
        <v>10218</v>
      </c>
      <c r="U494" s="1" t="s">
        <v>74</v>
      </c>
      <c r="V494" s="1" t="s">
        <v>10219</v>
      </c>
      <c r="W494" s="1" t="s">
        <v>10220</v>
      </c>
      <c r="X494" s="1" t="s">
        <v>10221</v>
      </c>
      <c r="Y494" s="1" t="s">
        <v>10222</v>
      </c>
      <c r="Z494" s="1" t="s">
        <v>10223</v>
      </c>
      <c r="AA494" s="1" t="s">
        <v>74</v>
      </c>
      <c r="AB494" s="1" t="s">
        <v>10224</v>
      </c>
      <c r="AC494" s="1" t="s">
        <v>74</v>
      </c>
      <c r="AD494" s="1" t="s">
        <v>74</v>
      </c>
      <c r="AE494" s="1" t="s">
        <v>74</v>
      </c>
      <c r="AF494" s="1" t="s">
        <v>74</v>
      </c>
      <c r="AG494" s="1">
        <v>20.0</v>
      </c>
      <c r="AH494" s="1">
        <v>0.0</v>
      </c>
      <c r="AI494" s="1">
        <v>0.0</v>
      </c>
      <c r="AJ494" s="1">
        <v>26.0</v>
      </c>
      <c r="AK494" s="1">
        <v>26.0</v>
      </c>
      <c r="AL494" s="1" t="s">
        <v>595</v>
      </c>
      <c r="AM494" s="1" t="s">
        <v>467</v>
      </c>
      <c r="AN494" s="1" t="s">
        <v>596</v>
      </c>
      <c r="AO494" s="1" t="s">
        <v>10225</v>
      </c>
      <c r="AP494" s="1" t="s">
        <v>10226</v>
      </c>
      <c r="AQ494" s="1" t="s">
        <v>74</v>
      </c>
      <c r="AR494" s="1" t="s">
        <v>10227</v>
      </c>
      <c r="AS494" s="1" t="s">
        <v>10228</v>
      </c>
      <c r="AT494" s="1" t="s">
        <v>10229</v>
      </c>
      <c r="AU494" s="1">
        <v>2024.0</v>
      </c>
      <c r="AV494" s="1" t="s">
        <v>74</v>
      </c>
      <c r="AW494" s="1" t="s">
        <v>74</v>
      </c>
      <c r="AX494" s="1" t="s">
        <v>74</v>
      </c>
      <c r="AY494" s="1" t="s">
        <v>74</v>
      </c>
      <c r="AZ494" s="1" t="s">
        <v>74</v>
      </c>
      <c r="BA494" s="1" t="s">
        <v>74</v>
      </c>
      <c r="BB494" s="1" t="s">
        <v>74</v>
      </c>
      <c r="BC494" s="1" t="s">
        <v>74</v>
      </c>
      <c r="BD494" s="1" t="s">
        <v>74</v>
      </c>
      <c r="BE494" s="1" t="s">
        <v>10230</v>
      </c>
      <c r="BF494" s="2" t="str">
        <f>HYPERLINK("http://dx.doi.org/10.1080/13569783.2024.2401335","http://dx.doi.org/10.1080/13569783.2024.2401335")</f>
        <v>http://dx.doi.org/10.1080/13569783.2024.2401335</v>
      </c>
      <c r="BG494" s="1" t="s">
        <v>74</v>
      </c>
      <c r="BH494" s="1" t="s">
        <v>1883</v>
      </c>
      <c r="BI494" s="1">
        <v>7.0</v>
      </c>
      <c r="BJ494" s="1" t="s">
        <v>10231</v>
      </c>
      <c r="BK494" s="1" t="s">
        <v>10232</v>
      </c>
      <c r="BL494" s="1" t="s">
        <v>10231</v>
      </c>
      <c r="BM494" s="1" t="s">
        <v>10233</v>
      </c>
      <c r="BN494" s="1" t="s">
        <v>74</v>
      </c>
      <c r="BO494" s="1" t="s">
        <v>74</v>
      </c>
      <c r="BP494" s="1" t="s">
        <v>74</v>
      </c>
      <c r="BQ494" s="1" t="s">
        <v>74</v>
      </c>
      <c r="BR494" s="1" t="s">
        <v>102</v>
      </c>
      <c r="BS494" s="1" t="s">
        <v>10234</v>
      </c>
      <c r="BT494" s="1" t="str">
        <f>HYPERLINK("https%3A%2F%2Fwww.webofscience.com%2Fwos%2Fwoscc%2Ffull-record%2FWOS:001312616300001","View Full Record in Web of Science")</f>
        <v>View Full Record in Web of Science</v>
      </c>
    </row>
    <row r="495" ht="12.75" customHeight="1">
      <c r="A495" s="1" t="s">
        <v>72</v>
      </c>
      <c r="B495" s="1" t="s">
        <v>10235</v>
      </c>
      <c r="C495" s="1" t="s">
        <v>74</v>
      </c>
      <c r="D495" s="1" t="s">
        <v>105</v>
      </c>
      <c r="E495" s="1" t="s">
        <v>74</v>
      </c>
      <c r="F495" s="1" t="s">
        <v>10236</v>
      </c>
      <c r="G495" s="1" t="s">
        <v>74</v>
      </c>
      <c r="H495" s="1" t="s">
        <v>74</v>
      </c>
      <c r="I495" s="1" t="s">
        <v>10237</v>
      </c>
      <c r="J495" s="1" t="s">
        <v>108</v>
      </c>
      <c r="K495" s="1" t="s">
        <v>74</v>
      </c>
      <c r="L495" s="1" t="s">
        <v>74</v>
      </c>
      <c r="M495" s="1" t="s">
        <v>80</v>
      </c>
      <c r="N495" s="1" t="s">
        <v>81</v>
      </c>
      <c r="O495" s="1" t="s">
        <v>109</v>
      </c>
      <c r="P495" s="1" t="s">
        <v>110</v>
      </c>
      <c r="Q495" s="1" t="s">
        <v>111</v>
      </c>
      <c r="R495" s="1" t="s">
        <v>112</v>
      </c>
      <c r="S495" s="1" t="s">
        <v>113</v>
      </c>
      <c r="T495" s="1" t="s">
        <v>10238</v>
      </c>
      <c r="U495" s="1" t="s">
        <v>74</v>
      </c>
      <c r="V495" s="1" t="s">
        <v>10239</v>
      </c>
      <c r="W495" s="1" t="s">
        <v>10240</v>
      </c>
      <c r="X495" s="1" t="s">
        <v>10241</v>
      </c>
      <c r="Y495" s="1" t="s">
        <v>10242</v>
      </c>
      <c r="Z495" s="1" t="s">
        <v>10243</v>
      </c>
      <c r="AA495" s="1" t="s">
        <v>10244</v>
      </c>
      <c r="AB495" s="1" t="s">
        <v>10245</v>
      </c>
      <c r="AC495" s="1" t="s">
        <v>10246</v>
      </c>
      <c r="AD495" s="1" t="s">
        <v>10247</v>
      </c>
      <c r="AE495" s="1" t="s">
        <v>10248</v>
      </c>
      <c r="AF495" s="1" t="s">
        <v>74</v>
      </c>
      <c r="AG495" s="1">
        <v>56.0</v>
      </c>
      <c r="AH495" s="1">
        <v>0.0</v>
      </c>
      <c r="AI495" s="1">
        <v>0.0</v>
      </c>
      <c r="AJ495" s="1">
        <v>1.0</v>
      </c>
      <c r="AK495" s="1">
        <v>4.0</v>
      </c>
      <c r="AL495" s="1" t="s">
        <v>122</v>
      </c>
      <c r="AM495" s="1" t="s">
        <v>123</v>
      </c>
      <c r="AN495" s="1" t="s">
        <v>124</v>
      </c>
      <c r="AO495" s="1" t="s">
        <v>74</v>
      </c>
      <c r="AP495" s="1" t="s">
        <v>74</v>
      </c>
      <c r="AQ495" s="1" t="s">
        <v>125</v>
      </c>
      <c r="AR495" s="1" t="s">
        <v>74</v>
      </c>
      <c r="AS495" s="1" t="s">
        <v>74</v>
      </c>
      <c r="AT495" s="1" t="s">
        <v>74</v>
      </c>
      <c r="AU495" s="1">
        <v>2021.0</v>
      </c>
      <c r="AV495" s="1" t="s">
        <v>74</v>
      </c>
      <c r="AW495" s="1" t="s">
        <v>74</v>
      </c>
      <c r="AX495" s="1" t="s">
        <v>74</v>
      </c>
      <c r="AY495" s="1" t="s">
        <v>74</v>
      </c>
      <c r="AZ495" s="1" t="s">
        <v>74</v>
      </c>
      <c r="BA495" s="1" t="s">
        <v>74</v>
      </c>
      <c r="BB495" s="1">
        <v>115.0</v>
      </c>
      <c r="BC495" s="1">
        <v>121.0</v>
      </c>
      <c r="BD495" s="1" t="s">
        <v>74</v>
      </c>
      <c r="BE495" s="1" t="s">
        <v>10249</v>
      </c>
      <c r="BF495" s="2" t="str">
        <f>HYPERLINK("http://dx.doi.org/10.34190/EAIR.21.027","http://dx.doi.org/10.34190/EAIR.21.027")</f>
        <v>http://dx.doi.org/10.34190/EAIR.21.027</v>
      </c>
      <c r="BG495" s="1" t="s">
        <v>74</v>
      </c>
      <c r="BH495" s="1" t="s">
        <v>74</v>
      </c>
      <c r="BI495" s="1">
        <v>7.0</v>
      </c>
      <c r="BJ495" s="1" t="s">
        <v>127</v>
      </c>
      <c r="BK495" s="1" t="s">
        <v>128</v>
      </c>
      <c r="BL495" s="1" t="s">
        <v>129</v>
      </c>
      <c r="BM495" s="1" t="s">
        <v>130</v>
      </c>
      <c r="BN495" s="1" t="s">
        <v>74</v>
      </c>
      <c r="BO495" s="1" t="s">
        <v>74</v>
      </c>
      <c r="BP495" s="1" t="s">
        <v>74</v>
      </c>
      <c r="BQ495" s="1" t="s">
        <v>74</v>
      </c>
      <c r="BR495" s="1" t="s">
        <v>102</v>
      </c>
      <c r="BS495" s="1" t="s">
        <v>10250</v>
      </c>
      <c r="BT495" s="1" t="str">
        <f>HYPERLINK("https%3A%2F%2Fwww.webofscience.com%2Fwos%2Fwoscc%2Ffull-record%2FWOS:000838033200015","View Full Record in Web of Science")</f>
        <v>View Full Record in Web of Science</v>
      </c>
    </row>
    <row r="496" ht="12.75" customHeight="1">
      <c r="A496" s="1" t="s">
        <v>132</v>
      </c>
      <c r="B496" s="1" t="s">
        <v>10251</v>
      </c>
      <c r="C496" s="1" t="s">
        <v>74</v>
      </c>
      <c r="D496" s="1" t="s">
        <v>74</v>
      </c>
      <c r="E496" s="1" t="s">
        <v>74</v>
      </c>
      <c r="F496" s="1" t="s">
        <v>10252</v>
      </c>
      <c r="G496" s="1" t="s">
        <v>74</v>
      </c>
      <c r="H496" s="1" t="s">
        <v>74</v>
      </c>
      <c r="I496" s="1" t="s">
        <v>10253</v>
      </c>
      <c r="J496" s="1" t="s">
        <v>10254</v>
      </c>
      <c r="K496" s="1" t="s">
        <v>74</v>
      </c>
      <c r="L496" s="1" t="s">
        <v>74</v>
      </c>
      <c r="M496" s="1" t="s">
        <v>80</v>
      </c>
      <c r="N496" s="1" t="s">
        <v>136</v>
      </c>
      <c r="O496" s="1" t="s">
        <v>74</v>
      </c>
      <c r="P496" s="1" t="s">
        <v>74</v>
      </c>
      <c r="Q496" s="1" t="s">
        <v>74</v>
      </c>
      <c r="R496" s="1" t="s">
        <v>74</v>
      </c>
      <c r="S496" s="1" t="s">
        <v>74</v>
      </c>
      <c r="T496" s="1" t="s">
        <v>10255</v>
      </c>
      <c r="U496" s="1" t="s">
        <v>10256</v>
      </c>
      <c r="V496" s="1" t="s">
        <v>10257</v>
      </c>
      <c r="W496" s="1" t="s">
        <v>10258</v>
      </c>
      <c r="X496" s="1" t="s">
        <v>10259</v>
      </c>
      <c r="Y496" s="1" t="s">
        <v>10260</v>
      </c>
      <c r="Z496" s="1" t="s">
        <v>10261</v>
      </c>
      <c r="AA496" s="1" t="s">
        <v>10262</v>
      </c>
      <c r="AB496" s="1" t="s">
        <v>10263</v>
      </c>
      <c r="AC496" s="1" t="s">
        <v>74</v>
      </c>
      <c r="AD496" s="1" t="s">
        <v>74</v>
      </c>
      <c r="AE496" s="1" t="s">
        <v>74</v>
      </c>
      <c r="AF496" s="1" t="s">
        <v>74</v>
      </c>
      <c r="AG496" s="1">
        <v>42.0</v>
      </c>
      <c r="AH496" s="1">
        <v>9.0</v>
      </c>
      <c r="AI496" s="1">
        <v>9.0</v>
      </c>
      <c r="AJ496" s="1">
        <v>23.0</v>
      </c>
      <c r="AK496" s="1">
        <v>163.0</v>
      </c>
      <c r="AL496" s="1" t="s">
        <v>1725</v>
      </c>
      <c r="AM496" s="1" t="s">
        <v>1726</v>
      </c>
      <c r="AN496" s="1" t="s">
        <v>1727</v>
      </c>
      <c r="AO496" s="1" t="s">
        <v>10264</v>
      </c>
      <c r="AP496" s="1" t="s">
        <v>74</v>
      </c>
      <c r="AQ496" s="1" t="s">
        <v>74</v>
      </c>
      <c r="AR496" s="1" t="s">
        <v>10265</v>
      </c>
      <c r="AS496" s="1" t="s">
        <v>10266</v>
      </c>
      <c r="AT496" s="1" t="s">
        <v>74</v>
      </c>
      <c r="AU496" s="1">
        <v>2023.0</v>
      </c>
      <c r="AV496" s="1">
        <v>53.0</v>
      </c>
      <c r="AW496" s="1" t="s">
        <v>74</v>
      </c>
      <c r="AX496" s="1" t="s">
        <v>74</v>
      </c>
      <c r="AY496" s="1" t="s">
        <v>74</v>
      </c>
      <c r="AZ496" s="1" t="s">
        <v>74</v>
      </c>
      <c r="BA496" s="1" t="s">
        <v>74</v>
      </c>
      <c r="BB496" s="1">
        <v>1.0</v>
      </c>
      <c r="BC496" s="1">
        <v>21.0</v>
      </c>
      <c r="BD496" s="1" t="s">
        <v>74</v>
      </c>
      <c r="BE496" s="1" t="s">
        <v>10267</v>
      </c>
      <c r="BF496" s="2" t="str">
        <f>HYPERLINK("http://dx.doi.org/10.17705/1CAIS.05301","http://dx.doi.org/10.17705/1CAIS.05301")</f>
        <v>http://dx.doi.org/10.17705/1CAIS.05301</v>
      </c>
      <c r="BG496" s="1" t="s">
        <v>74</v>
      </c>
      <c r="BH496" s="1" t="s">
        <v>74</v>
      </c>
      <c r="BI496" s="1">
        <v>22.0</v>
      </c>
      <c r="BJ496" s="1" t="s">
        <v>554</v>
      </c>
      <c r="BK496" s="1" t="s">
        <v>172</v>
      </c>
      <c r="BL496" s="1" t="s">
        <v>232</v>
      </c>
      <c r="BM496" s="1" t="s">
        <v>10268</v>
      </c>
      <c r="BN496" s="1" t="s">
        <v>74</v>
      </c>
      <c r="BO496" s="1" t="s">
        <v>74</v>
      </c>
      <c r="BP496" s="1" t="s">
        <v>74</v>
      </c>
      <c r="BQ496" s="1" t="s">
        <v>74</v>
      </c>
      <c r="BR496" s="1" t="s">
        <v>102</v>
      </c>
      <c r="BS496" s="1" t="s">
        <v>10269</v>
      </c>
      <c r="BT496" s="1" t="str">
        <f>HYPERLINK("https%3A%2F%2Fwww.webofscience.com%2Fwos%2Fwoscc%2Ffull-record%2FWOS:001022678600001","View Full Record in Web of Science")</f>
        <v>View Full Record in Web of Science</v>
      </c>
    </row>
    <row r="497" ht="12.75" customHeight="1">
      <c r="A497" s="1" t="s">
        <v>132</v>
      </c>
      <c r="B497" s="1" t="s">
        <v>10270</v>
      </c>
      <c r="C497" s="1" t="s">
        <v>74</v>
      </c>
      <c r="D497" s="1" t="s">
        <v>74</v>
      </c>
      <c r="E497" s="1" t="s">
        <v>74</v>
      </c>
      <c r="F497" s="1" t="s">
        <v>10271</v>
      </c>
      <c r="G497" s="1" t="s">
        <v>74</v>
      </c>
      <c r="H497" s="1" t="s">
        <v>74</v>
      </c>
      <c r="I497" s="1" t="s">
        <v>10272</v>
      </c>
      <c r="J497" s="1" t="s">
        <v>10273</v>
      </c>
      <c r="K497" s="1" t="s">
        <v>74</v>
      </c>
      <c r="L497" s="1" t="s">
        <v>74</v>
      </c>
      <c r="M497" s="1" t="s">
        <v>80</v>
      </c>
      <c r="N497" s="1" t="s">
        <v>136</v>
      </c>
      <c r="O497" s="1" t="s">
        <v>74</v>
      </c>
      <c r="P497" s="1" t="s">
        <v>74</v>
      </c>
      <c r="Q497" s="1" t="s">
        <v>74</v>
      </c>
      <c r="R497" s="1" t="s">
        <v>74</v>
      </c>
      <c r="S497" s="1" t="s">
        <v>74</v>
      </c>
      <c r="T497" s="1" t="s">
        <v>10274</v>
      </c>
      <c r="U497" s="1" t="s">
        <v>74</v>
      </c>
      <c r="V497" s="1" t="s">
        <v>10275</v>
      </c>
      <c r="W497" s="1" t="s">
        <v>10276</v>
      </c>
      <c r="X497" s="1" t="s">
        <v>10277</v>
      </c>
      <c r="Y497" s="1" t="s">
        <v>10278</v>
      </c>
      <c r="Z497" s="1" t="s">
        <v>10279</v>
      </c>
      <c r="AA497" s="1" t="s">
        <v>74</v>
      </c>
      <c r="AB497" s="1" t="s">
        <v>74</v>
      </c>
      <c r="AC497" s="1" t="s">
        <v>74</v>
      </c>
      <c r="AD497" s="1" t="s">
        <v>74</v>
      </c>
      <c r="AE497" s="1" t="s">
        <v>74</v>
      </c>
      <c r="AF497" s="1" t="s">
        <v>74</v>
      </c>
      <c r="AG497" s="1">
        <v>13.0</v>
      </c>
      <c r="AH497" s="1">
        <v>0.0</v>
      </c>
      <c r="AI497" s="1">
        <v>0.0</v>
      </c>
      <c r="AJ497" s="1">
        <v>9.0</v>
      </c>
      <c r="AK497" s="1">
        <v>16.0</v>
      </c>
      <c r="AL497" s="1" t="s">
        <v>4076</v>
      </c>
      <c r="AM497" s="1" t="s">
        <v>4077</v>
      </c>
      <c r="AN497" s="1" t="s">
        <v>4078</v>
      </c>
      <c r="AO497" s="1" t="s">
        <v>10280</v>
      </c>
      <c r="AP497" s="1" t="s">
        <v>10281</v>
      </c>
      <c r="AQ497" s="1" t="s">
        <v>74</v>
      </c>
      <c r="AR497" s="1" t="s">
        <v>10282</v>
      </c>
      <c r="AS497" s="1" t="s">
        <v>10283</v>
      </c>
      <c r="AT497" s="1" t="s">
        <v>1051</v>
      </c>
      <c r="AU497" s="1">
        <v>2023.0</v>
      </c>
      <c r="AV497" s="1">
        <v>25.0</v>
      </c>
      <c r="AW497" s="1">
        <v>4.0</v>
      </c>
      <c r="AX497" s="1" t="s">
        <v>74</v>
      </c>
      <c r="AY497" s="1" t="s">
        <v>74</v>
      </c>
      <c r="AZ497" s="1" t="s">
        <v>74</v>
      </c>
      <c r="BA497" s="1" t="s">
        <v>74</v>
      </c>
      <c r="BB497" s="1">
        <v>709.0</v>
      </c>
      <c r="BC497" s="1">
        <v>714.0</v>
      </c>
      <c r="BD497" s="1" t="s">
        <v>74</v>
      </c>
      <c r="BE497" s="1" t="s">
        <v>10284</v>
      </c>
      <c r="BF497" s="2" t="str">
        <f>HYPERLINK("http://dx.doi.org/10.1177/09720634231215139","http://dx.doi.org/10.1177/09720634231215139")</f>
        <v>http://dx.doi.org/10.1177/09720634231215139</v>
      </c>
      <c r="BG497" s="1" t="s">
        <v>74</v>
      </c>
      <c r="BH497" s="1" t="s">
        <v>5056</v>
      </c>
      <c r="BI497" s="1">
        <v>6.0</v>
      </c>
      <c r="BJ497" s="1" t="s">
        <v>10285</v>
      </c>
      <c r="BK497" s="1" t="s">
        <v>172</v>
      </c>
      <c r="BL497" s="1" t="s">
        <v>5783</v>
      </c>
      <c r="BM497" s="1" t="s">
        <v>10286</v>
      </c>
      <c r="BN497" s="1" t="s">
        <v>74</v>
      </c>
      <c r="BO497" s="1" t="s">
        <v>74</v>
      </c>
      <c r="BP497" s="1" t="s">
        <v>74</v>
      </c>
      <c r="BQ497" s="1" t="s">
        <v>74</v>
      </c>
      <c r="BR497" s="1" t="s">
        <v>102</v>
      </c>
      <c r="BS497" s="1" t="s">
        <v>10287</v>
      </c>
      <c r="BT497" s="1" t="str">
        <f>HYPERLINK("https%3A%2F%2Fwww.webofscience.com%2Fwos%2Fwoscc%2Ffull-record%2FWOS:001130195400001","View Full Record in Web of Science")</f>
        <v>View Full Record in Web of Science</v>
      </c>
    </row>
    <row r="498" ht="12.75" customHeight="1">
      <c r="A498" s="1" t="s">
        <v>132</v>
      </c>
      <c r="B498" s="1" t="s">
        <v>10288</v>
      </c>
      <c r="C498" s="1" t="s">
        <v>74</v>
      </c>
      <c r="D498" s="1" t="s">
        <v>74</v>
      </c>
      <c r="E498" s="1" t="s">
        <v>74</v>
      </c>
      <c r="F498" s="1" t="s">
        <v>10289</v>
      </c>
      <c r="G498" s="1" t="s">
        <v>74</v>
      </c>
      <c r="H498" s="1" t="s">
        <v>74</v>
      </c>
      <c r="I498" s="1" t="s">
        <v>10290</v>
      </c>
      <c r="J498" s="1" t="s">
        <v>10291</v>
      </c>
      <c r="K498" s="1" t="s">
        <v>74</v>
      </c>
      <c r="L498" s="1" t="s">
        <v>74</v>
      </c>
      <c r="M498" s="1" t="s">
        <v>80</v>
      </c>
      <c r="N498" s="1" t="s">
        <v>136</v>
      </c>
      <c r="O498" s="1" t="s">
        <v>74</v>
      </c>
      <c r="P498" s="1" t="s">
        <v>74</v>
      </c>
      <c r="Q498" s="1" t="s">
        <v>74</v>
      </c>
      <c r="R498" s="1" t="s">
        <v>74</v>
      </c>
      <c r="S498" s="1" t="s">
        <v>74</v>
      </c>
      <c r="T498" s="1" t="s">
        <v>10292</v>
      </c>
      <c r="U498" s="1" t="s">
        <v>10293</v>
      </c>
      <c r="V498" s="1" t="s">
        <v>10294</v>
      </c>
      <c r="W498" s="1" t="s">
        <v>10295</v>
      </c>
      <c r="X498" s="1" t="s">
        <v>10296</v>
      </c>
      <c r="Y498" s="1" t="s">
        <v>10297</v>
      </c>
      <c r="Z498" s="1" t="s">
        <v>10298</v>
      </c>
      <c r="AA498" s="1" t="s">
        <v>74</v>
      </c>
      <c r="AB498" s="1" t="s">
        <v>10299</v>
      </c>
      <c r="AC498" s="1" t="s">
        <v>74</v>
      </c>
      <c r="AD498" s="1" t="s">
        <v>74</v>
      </c>
      <c r="AE498" s="1" t="s">
        <v>74</v>
      </c>
      <c r="AF498" s="1" t="s">
        <v>74</v>
      </c>
      <c r="AG498" s="1">
        <v>84.0</v>
      </c>
      <c r="AH498" s="1">
        <v>35.0</v>
      </c>
      <c r="AI498" s="1">
        <v>41.0</v>
      </c>
      <c r="AJ498" s="1">
        <v>40.0</v>
      </c>
      <c r="AK498" s="1">
        <v>257.0</v>
      </c>
      <c r="AL498" s="1" t="s">
        <v>10300</v>
      </c>
      <c r="AM498" s="1" t="s">
        <v>1120</v>
      </c>
      <c r="AN498" s="1" t="s">
        <v>10301</v>
      </c>
      <c r="AO498" s="1" t="s">
        <v>10302</v>
      </c>
      <c r="AP498" s="1" t="s">
        <v>10303</v>
      </c>
      <c r="AQ498" s="1" t="s">
        <v>74</v>
      </c>
      <c r="AR498" s="1" t="s">
        <v>10304</v>
      </c>
      <c r="AS498" s="1" t="s">
        <v>10305</v>
      </c>
      <c r="AT498" s="1" t="s">
        <v>74</v>
      </c>
      <c r="AU498" s="1">
        <v>2021.0</v>
      </c>
      <c r="AV498" s="1">
        <v>49.0</v>
      </c>
      <c r="AW498" s="1">
        <v>6.0</v>
      </c>
      <c r="AX498" s="1" t="s">
        <v>74</v>
      </c>
      <c r="AY498" s="1" t="s">
        <v>74</v>
      </c>
      <c r="AZ498" s="1" t="s">
        <v>74</v>
      </c>
      <c r="BA498" s="1" t="s">
        <v>74</v>
      </c>
      <c r="BB498" s="1">
        <v>1297.0</v>
      </c>
      <c r="BC498" s="1">
        <v>1314.0</v>
      </c>
      <c r="BD498" s="1" t="s">
        <v>74</v>
      </c>
      <c r="BE498" s="1" t="s">
        <v>10306</v>
      </c>
      <c r="BF498" s="2" t="str">
        <f>HYPERLINK("http://dx.doi.org/10.1142/S0192415X21500622","http://dx.doi.org/10.1142/S0192415X21500622")</f>
        <v>http://dx.doi.org/10.1142/S0192415X21500622</v>
      </c>
      <c r="BG498" s="1" t="s">
        <v>74</v>
      </c>
      <c r="BH498" s="1" t="s">
        <v>74</v>
      </c>
      <c r="BI498" s="1">
        <v>18.0</v>
      </c>
      <c r="BJ498" s="1" t="s">
        <v>10307</v>
      </c>
      <c r="BK498" s="1" t="s">
        <v>149</v>
      </c>
      <c r="BL498" s="1" t="s">
        <v>10308</v>
      </c>
      <c r="BM498" s="1" t="s">
        <v>10309</v>
      </c>
      <c r="BN498" s="1">
        <v>3.4247564E7</v>
      </c>
      <c r="BO498" s="1" t="s">
        <v>74</v>
      </c>
      <c r="BP498" s="1" t="s">
        <v>74</v>
      </c>
      <c r="BQ498" s="1" t="s">
        <v>74</v>
      </c>
      <c r="BR498" s="1" t="s">
        <v>102</v>
      </c>
      <c r="BS498" s="1" t="s">
        <v>10310</v>
      </c>
      <c r="BT498" s="1" t="str">
        <f>HYPERLINK("https%3A%2F%2Fwww.webofscience.com%2Fwos%2Fwoscc%2Ffull-record%2FWOS:000677950800002","View Full Record in Web of Science")</f>
        <v>View Full Record in Web of Science</v>
      </c>
    </row>
    <row r="499" ht="12.75" customHeight="1">
      <c r="A499" s="1" t="s">
        <v>132</v>
      </c>
      <c r="B499" s="1" t="s">
        <v>10311</v>
      </c>
      <c r="C499" s="1" t="s">
        <v>74</v>
      </c>
      <c r="D499" s="1" t="s">
        <v>74</v>
      </c>
      <c r="E499" s="1" t="s">
        <v>74</v>
      </c>
      <c r="F499" s="1" t="s">
        <v>10312</v>
      </c>
      <c r="G499" s="1" t="s">
        <v>74</v>
      </c>
      <c r="H499" s="1" t="s">
        <v>74</v>
      </c>
      <c r="I499" s="1" t="s">
        <v>10313</v>
      </c>
      <c r="J499" s="1" t="s">
        <v>10314</v>
      </c>
      <c r="K499" s="1" t="s">
        <v>74</v>
      </c>
      <c r="L499" s="1" t="s">
        <v>74</v>
      </c>
      <c r="M499" s="1" t="s">
        <v>80</v>
      </c>
      <c r="N499" s="1" t="s">
        <v>136</v>
      </c>
      <c r="O499" s="1" t="s">
        <v>74</v>
      </c>
      <c r="P499" s="1" t="s">
        <v>74</v>
      </c>
      <c r="Q499" s="1" t="s">
        <v>74</v>
      </c>
      <c r="R499" s="1" t="s">
        <v>74</v>
      </c>
      <c r="S499" s="1" t="s">
        <v>74</v>
      </c>
      <c r="T499" s="1" t="s">
        <v>10315</v>
      </c>
      <c r="U499" s="1" t="s">
        <v>10316</v>
      </c>
      <c r="V499" s="1" t="s">
        <v>10317</v>
      </c>
      <c r="W499" s="1" t="s">
        <v>10318</v>
      </c>
      <c r="X499" s="1" t="s">
        <v>10319</v>
      </c>
      <c r="Y499" s="1" t="s">
        <v>10320</v>
      </c>
      <c r="Z499" s="1" t="s">
        <v>10321</v>
      </c>
      <c r="AA499" s="1" t="s">
        <v>10322</v>
      </c>
      <c r="AB499" s="1" t="s">
        <v>74</v>
      </c>
      <c r="AC499" s="1" t="s">
        <v>74</v>
      </c>
      <c r="AD499" s="1" t="s">
        <v>74</v>
      </c>
      <c r="AE499" s="1" t="s">
        <v>74</v>
      </c>
      <c r="AF499" s="1" t="s">
        <v>74</v>
      </c>
      <c r="AG499" s="1">
        <v>82.0</v>
      </c>
      <c r="AH499" s="1">
        <v>11.0</v>
      </c>
      <c r="AI499" s="1">
        <v>11.0</v>
      </c>
      <c r="AJ499" s="1">
        <v>96.0</v>
      </c>
      <c r="AK499" s="1">
        <v>126.0</v>
      </c>
      <c r="AL499" s="1" t="s">
        <v>321</v>
      </c>
      <c r="AM499" s="1" t="s">
        <v>322</v>
      </c>
      <c r="AN499" s="1" t="s">
        <v>323</v>
      </c>
      <c r="AO499" s="1" t="s">
        <v>10323</v>
      </c>
      <c r="AP499" s="1" t="s">
        <v>10324</v>
      </c>
      <c r="AQ499" s="1" t="s">
        <v>74</v>
      </c>
      <c r="AR499" s="1" t="s">
        <v>10325</v>
      </c>
      <c r="AS499" s="1" t="s">
        <v>10326</v>
      </c>
      <c r="AT499" s="1" t="s">
        <v>1364</v>
      </c>
      <c r="AU499" s="1">
        <v>2024.0</v>
      </c>
      <c r="AV499" s="1">
        <v>180.0</v>
      </c>
      <c r="AW499" s="1" t="s">
        <v>74</v>
      </c>
      <c r="AX499" s="1" t="s">
        <v>74</v>
      </c>
      <c r="AY499" s="1" t="s">
        <v>74</v>
      </c>
      <c r="AZ499" s="1" t="s">
        <v>74</v>
      </c>
      <c r="BA499" s="1" t="s">
        <v>74</v>
      </c>
      <c r="BB499" s="1" t="s">
        <v>74</v>
      </c>
      <c r="BC499" s="1" t="s">
        <v>74</v>
      </c>
      <c r="BD499" s="1">
        <v>114194.0</v>
      </c>
      <c r="BE499" s="1" t="s">
        <v>10327</v>
      </c>
      <c r="BF499" s="2" t="str">
        <f>HYPERLINK("http://dx.doi.org/10.1016/j.dss.2024.114194","http://dx.doi.org/10.1016/j.dss.2024.114194")</f>
        <v>http://dx.doi.org/10.1016/j.dss.2024.114194</v>
      </c>
      <c r="BG499" s="1" t="s">
        <v>74</v>
      </c>
      <c r="BH499" s="1" t="s">
        <v>2958</v>
      </c>
      <c r="BI499" s="1">
        <v>10.0</v>
      </c>
      <c r="BJ499" s="1" t="s">
        <v>10328</v>
      </c>
      <c r="BK499" s="1" t="s">
        <v>149</v>
      </c>
      <c r="BL499" s="1" t="s">
        <v>10329</v>
      </c>
      <c r="BM499" s="1" t="s">
        <v>10330</v>
      </c>
      <c r="BN499" s="1" t="s">
        <v>74</v>
      </c>
      <c r="BO499" s="1" t="s">
        <v>306</v>
      </c>
      <c r="BP499" s="1" t="s">
        <v>74</v>
      </c>
      <c r="BQ499" s="1" t="s">
        <v>74</v>
      </c>
      <c r="BR499" s="1" t="s">
        <v>102</v>
      </c>
      <c r="BS499" s="1" t="s">
        <v>10331</v>
      </c>
      <c r="BT499" s="1" t="str">
        <f>HYPERLINK("https%3A%2F%2Fwww.webofscience.com%2Fwos%2Fwoscc%2Ffull-record%2FWOS:001210337700001","View Full Record in Web of Science")</f>
        <v>View Full Record in Web of Science</v>
      </c>
    </row>
    <row r="500" ht="12.75" customHeight="1">
      <c r="A500" s="1" t="s">
        <v>132</v>
      </c>
      <c r="B500" s="1" t="s">
        <v>10332</v>
      </c>
      <c r="C500" s="1" t="s">
        <v>74</v>
      </c>
      <c r="D500" s="1" t="s">
        <v>74</v>
      </c>
      <c r="E500" s="1" t="s">
        <v>74</v>
      </c>
      <c r="F500" s="1" t="s">
        <v>10333</v>
      </c>
      <c r="G500" s="1" t="s">
        <v>74</v>
      </c>
      <c r="H500" s="1" t="s">
        <v>74</v>
      </c>
      <c r="I500" s="1" t="s">
        <v>10334</v>
      </c>
      <c r="J500" s="1" t="s">
        <v>4763</v>
      </c>
      <c r="K500" s="1" t="s">
        <v>74</v>
      </c>
      <c r="L500" s="1" t="s">
        <v>74</v>
      </c>
      <c r="M500" s="1" t="s">
        <v>80</v>
      </c>
      <c r="N500" s="1" t="s">
        <v>136</v>
      </c>
      <c r="O500" s="1" t="s">
        <v>74</v>
      </c>
      <c r="P500" s="1" t="s">
        <v>74</v>
      </c>
      <c r="Q500" s="1" t="s">
        <v>74</v>
      </c>
      <c r="R500" s="1" t="s">
        <v>74</v>
      </c>
      <c r="S500" s="1" t="s">
        <v>74</v>
      </c>
      <c r="T500" s="1" t="s">
        <v>10335</v>
      </c>
      <c r="U500" s="1" t="s">
        <v>10336</v>
      </c>
      <c r="V500" s="1" t="s">
        <v>10337</v>
      </c>
      <c r="W500" s="1" t="s">
        <v>10338</v>
      </c>
      <c r="X500" s="1" t="s">
        <v>10339</v>
      </c>
      <c r="Y500" s="1" t="s">
        <v>10340</v>
      </c>
      <c r="Z500" s="1" t="s">
        <v>10341</v>
      </c>
      <c r="AA500" s="1" t="s">
        <v>74</v>
      </c>
      <c r="AB500" s="1" t="s">
        <v>74</v>
      </c>
      <c r="AC500" s="1" t="s">
        <v>74</v>
      </c>
      <c r="AD500" s="1" t="s">
        <v>74</v>
      </c>
      <c r="AE500" s="1" t="s">
        <v>74</v>
      </c>
      <c r="AF500" s="1" t="s">
        <v>74</v>
      </c>
      <c r="AG500" s="1">
        <v>25.0</v>
      </c>
      <c r="AH500" s="1">
        <v>0.0</v>
      </c>
      <c r="AI500" s="1">
        <v>0.0</v>
      </c>
      <c r="AJ500" s="1">
        <v>2.0</v>
      </c>
      <c r="AK500" s="1">
        <v>2.0</v>
      </c>
      <c r="AL500" s="1" t="s">
        <v>1020</v>
      </c>
      <c r="AM500" s="1" t="s">
        <v>1021</v>
      </c>
      <c r="AN500" s="1" t="s">
        <v>1022</v>
      </c>
      <c r="AO500" s="1" t="s">
        <v>4771</v>
      </c>
      <c r="AP500" s="1" t="s">
        <v>4772</v>
      </c>
      <c r="AQ500" s="1" t="s">
        <v>74</v>
      </c>
      <c r="AR500" s="1" t="s">
        <v>4773</v>
      </c>
      <c r="AS500" s="1" t="s">
        <v>4774</v>
      </c>
      <c r="AT500" s="1" t="s">
        <v>870</v>
      </c>
      <c r="AU500" s="1">
        <v>2025.0</v>
      </c>
      <c r="AV500" s="1">
        <v>41.0</v>
      </c>
      <c r="AW500" s="1">
        <v>1.0</v>
      </c>
      <c r="AX500" s="1" t="s">
        <v>74</v>
      </c>
      <c r="AY500" s="1" t="s">
        <v>74</v>
      </c>
      <c r="AZ500" s="1" t="s">
        <v>74</v>
      </c>
      <c r="BA500" s="1" t="s">
        <v>74</v>
      </c>
      <c r="BB500" s="1">
        <v>3.0</v>
      </c>
      <c r="BC500" s="1">
        <v>8.0</v>
      </c>
      <c r="BD500" s="1" t="s">
        <v>74</v>
      </c>
      <c r="BE500" s="1" t="s">
        <v>10342</v>
      </c>
      <c r="BF500" s="2" t="str">
        <f>HYPERLINK("http://dx.doi.org/10.1097/MOG.0000000000001063","http://dx.doi.org/10.1097/MOG.0000000000001063")</f>
        <v>http://dx.doi.org/10.1097/MOG.0000000000001063</v>
      </c>
      <c r="BG500" s="1" t="s">
        <v>74</v>
      </c>
      <c r="BH500" s="1" t="s">
        <v>74</v>
      </c>
      <c r="BI500" s="1">
        <v>6.0</v>
      </c>
      <c r="BJ500" s="1" t="s">
        <v>1282</v>
      </c>
      <c r="BK500" s="1" t="s">
        <v>149</v>
      </c>
      <c r="BL500" s="1" t="s">
        <v>1282</v>
      </c>
      <c r="BM500" s="1" t="s">
        <v>10343</v>
      </c>
      <c r="BN500" s="1">
        <v>3.9480883E7</v>
      </c>
      <c r="BO500" s="1" t="s">
        <v>74</v>
      </c>
      <c r="BP500" s="1" t="s">
        <v>74</v>
      </c>
      <c r="BQ500" s="1" t="s">
        <v>74</v>
      </c>
      <c r="BR500" s="1" t="s">
        <v>102</v>
      </c>
      <c r="BS500" s="1" t="s">
        <v>10344</v>
      </c>
      <c r="BT500" s="1" t="str">
        <f>HYPERLINK("https%3A%2F%2Fwww.webofscience.com%2Fwos%2Fwoscc%2Ffull-record%2FWOS:001371943700005","View Full Record in Web of Science")</f>
        <v>View Full Record in Web of Science</v>
      </c>
    </row>
    <row r="501" ht="12.75" customHeight="1">
      <c r="A501" s="1" t="s">
        <v>132</v>
      </c>
      <c r="B501" s="1" t="s">
        <v>10345</v>
      </c>
      <c r="C501" s="1" t="s">
        <v>74</v>
      </c>
      <c r="D501" s="1" t="s">
        <v>74</v>
      </c>
      <c r="E501" s="1" t="s">
        <v>74</v>
      </c>
      <c r="F501" s="1" t="s">
        <v>10346</v>
      </c>
      <c r="G501" s="1" t="s">
        <v>74</v>
      </c>
      <c r="H501" s="1" t="s">
        <v>74</v>
      </c>
      <c r="I501" s="1" t="s">
        <v>10347</v>
      </c>
      <c r="J501" s="1" t="s">
        <v>2590</v>
      </c>
      <c r="K501" s="1" t="s">
        <v>74</v>
      </c>
      <c r="L501" s="1" t="s">
        <v>74</v>
      </c>
      <c r="M501" s="1" t="s">
        <v>80</v>
      </c>
      <c r="N501" s="1" t="s">
        <v>136</v>
      </c>
      <c r="O501" s="1" t="s">
        <v>74</v>
      </c>
      <c r="P501" s="1" t="s">
        <v>74</v>
      </c>
      <c r="Q501" s="1" t="s">
        <v>74</v>
      </c>
      <c r="R501" s="1" t="s">
        <v>74</v>
      </c>
      <c r="S501" s="1" t="s">
        <v>74</v>
      </c>
      <c r="T501" s="1" t="s">
        <v>10348</v>
      </c>
      <c r="U501" s="1" t="s">
        <v>74</v>
      </c>
      <c r="V501" s="1" t="s">
        <v>10349</v>
      </c>
      <c r="W501" s="1" t="s">
        <v>10350</v>
      </c>
      <c r="X501" s="1" t="s">
        <v>74</v>
      </c>
      <c r="Y501" s="1" t="s">
        <v>10351</v>
      </c>
      <c r="Z501" s="1" t="s">
        <v>10352</v>
      </c>
      <c r="AA501" s="1" t="s">
        <v>74</v>
      </c>
      <c r="AB501" s="1" t="s">
        <v>74</v>
      </c>
      <c r="AC501" s="1" t="s">
        <v>74</v>
      </c>
      <c r="AD501" s="1" t="s">
        <v>74</v>
      </c>
      <c r="AE501" s="1" t="s">
        <v>74</v>
      </c>
      <c r="AF501" s="1" t="s">
        <v>74</v>
      </c>
      <c r="AG501" s="1">
        <v>38.0</v>
      </c>
      <c r="AH501" s="1">
        <v>0.0</v>
      </c>
      <c r="AI501" s="1">
        <v>0.0</v>
      </c>
      <c r="AJ501" s="1">
        <v>0.0</v>
      </c>
      <c r="AK501" s="1">
        <v>0.0</v>
      </c>
      <c r="AL501" s="1" t="s">
        <v>2596</v>
      </c>
      <c r="AM501" s="1" t="s">
        <v>2597</v>
      </c>
      <c r="AN501" s="1" t="s">
        <v>2598</v>
      </c>
      <c r="AO501" s="1" t="s">
        <v>2599</v>
      </c>
      <c r="AP501" s="1" t="s">
        <v>74</v>
      </c>
      <c r="AQ501" s="1" t="s">
        <v>74</v>
      </c>
      <c r="AR501" s="1" t="s">
        <v>2600</v>
      </c>
      <c r="AS501" s="1" t="s">
        <v>2601</v>
      </c>
      <c r="AT501" s="1" t="s">
        <v>74</v>
      </c>
      <c r="AU501" s="1">
        <v>2024.0</v>
      </c>
      <c r="AV501" s="1">
        <v>17.0</v>
      </c>
      <c r="AW501" s="1">
        <v>2.0</v>
      </c>
      <c r="AX501" s="1" t="s">
        <v>74</v>
      </c>
      <c r="AY501" s="1" t="s">
        <v>74</v>
      </c>
      <c r="AZ501" s="1" t="s">
        <v>74</v>
      </c>
      <c r="BA501" s="1" t="s">
        <v>74</v>
      </c>
      <c r="BB501" s="1" t="s">
        <v>74</v>
      </c>
      <c r="BC501" s="1" t="s">
        <v>74</v>
      </c>
      <c r="BD501" s="1" t="s">
        <v>74</v>
      </c>
      <c r="BE501" s="1" t="s">
        <v>74</v>
      </c>
      <c r="BF501" s="1" t="s">
        <v>74</v>
      </c>
      <c r="BG501" s="1" t="s">
        <v>74</v>
      </c>
      <c r="BH501" s="1" t="s">
        <v>74</v>
      </c>
      <c r="BI501" s="1">
        <v>58.0</v>
      </c>
      <c r="BJ501" s="1" t="s">
        <v>915</v>
      </c>
      <c r="BK501" s="1" t="s">
        <v>172</v>
      </c>
      <c r="BL501" s="1" t="s">
        <v>916</v>
      </c>
      <c r="BM501" s="1" t="s">
        <v>10353</v>
      </c>
      <c r="BN501" s="1" t="s">
        <v>74</v>
      </c>
      <c r="BO501" s="1" t="s">
        <v>74</v>
      </c>
      <c r="BP501" s="1" t="s">
        <v>74</v>
      </c>
      <c r="BQ501" s="1" t="s">
        <v>74</v>
      </c>
      <c r="BR501" s="1" t="s">
        <v>102</v>
      </c>
      <c r="BS501" s="1" t="s">
        <v>10354</v>
      </c>
      <c r="BT501" s="1" t="str">
        <f>HYPERLINK("https%3A%2F%2Fwww.webofscience.com%2Fwos%2Fwoscc%2Ffull-record%2FWOS:001390383600001","View Full Record in Web of Science")</f>
        <v>View Full Record in Web of Science</v>
      </c>
    </row>
    <row r="502" ht="12.75" customHeight="1">
      <c r="A502" s="1" t="s">
        <v>132</v>
      </c>
      <c r="B502" s="1" t="s">
        <v>10355</v>
      </c>
      <c r="C502" s="1" t="s">
        <v>74</v>
      </c>
      <c r="D502" s="1" t="s">
        <v>74</v>
      </c>
      <c r="E502" s="1" t="s">
        <v>74</v>
      </c>
      <c r="F502" s="1" t="s">
        <v>10356</v>
      </c>
      <c r="G502" s="1" t="s">
        <v>74</v>
      </c>
      <c r="H502" s="1" t="s">
        <v>74</v>
      </c>
      <c r="I502" s="1" t="s">
        <v>10357</v>
      </c>
      <c r="J502" s="1" t="s">
        <v>10358</v>
      </c>
      <c r="K502" s="1" t="s">
        <v>74</v>
      </c>
      <c r="L502" s="1" t="s">
        <v>74</v>
      </c>
      <c r="M502" s="1" t="s">
        <v>80</v>
      </c>
      <c r="N502" s="1" t="s">
        <v>1563</v>
      </c>
      <c r="O502" s="1" t="s">
        <v>74</v>
      </c>
      <c r="P502" s="1" t="s">
        <v>74</v>
      </c>
      <c r="Q502" s="1" t="s">
        <v>74</v>
      </c>
      <c r="R502" s="1" t="s">
        <v>74</v>
      </c>
      <c r="S502" s="1" t="s">
        <v>74</v>
      </c>
      <c r="T502" s="1" t="s">
        <v>10359</v>
      </c>
      <c r="U502" s="1" t="s">
        <v>74</v>
      </c>
      <c r="V502" s="1" t="s">
        <v>10360</v>
      </c>
      <c r="W502" s="1" t="s">
        <v>10361</v>
      </c>
      <c r="X502" s="1" t="s">
        <v>10362</v>
      </c>
      <c r="Y502" s="1" t="s">
        <v>10363</v>
      </c>
      <c r="Z502" s="1" t="s">
        <v>10364</v>
      </c>
      <c r="AA502" s="1" t="s">
        <v>74</v>
      </c>
      <c r="AB502" s="1" t="s">
        <v>74</v>
      </c>
      <c r="AC502" s="1" t="s">
        <v>74</v>
      </c>
      <c r="AD502" s="1" t="s">
        <v>74</v>
      </c>
      <c r="AE502" s="1" t="s">
        <v>74</v>
      </c>
      <c r="AF502" s="1" t="s">
        <v>74</v>
      </c>
      <c r="AG502" s="1">
        <v>24.0</v>
      </c>
      <c r="AH502" s="1">
        <v>0.0</v>
      </c>
      <c r="AI502" s="1">
        <v>0.0</v>
      </c>
      <c r="AJ502" s="1">
        <v>5.0</v>
      </c>
      <c r="AK502" s="1">
        <v>5.0</v>
      </c>
      <c r="AL502" s="1" t="s">
        <v>10365</v>
      </c>
      <c r="AM502" s="1" t="s">
        <v>8312</v>
      </c>
      <c r="AN502" s="1" t="s">
        <v>10366</v>
      </c>
      <c r="AO502" s="1" t="s">
        <v>10367</v>
      </c>
      <c r="AP502" s="1" t="s">
        <v>10368</v>
      </c>
      <c r="AQ502" s="1" t="s">
        <v>74</v>
      </c>
      <c r="AR502" s="1" t="s">
        <v>10369</v>
      </c>
      <c r="AS502" s="1" t="s">
        <v>10370</v>
      </c>
      <c r="AT502" s="1" t="s">
        <v>10371</v>
      </c>
      <c r="AU502" s="1">
        <v>2024.0</v>
      </c>
      <c r="AV502" s="1">
        <v>109.0</v>
      </c>
      <c r="AW502" s="1">
        <v>6.0</v>
      </c>
      <c r="AX502" s="1" t="s">
        <v>74</v>
      </c>
      <c r="AY502" s="1" t="s">
        <v>74</v>
      </c>
      <c r="AZ502" s="1" t="s">
        <v>74</v>
      </c>
      <c r="BA502" s="1" t="s">
        <v>74</v>
      </c>
      <c r="BB502" s="1" t="s">
        <v>10372</v>
      </c>
      <c r="BC502" s="1" t="s">
        <v>10373</v>
      </c>
      <c r="BD502" s="1" t="s">
        <v>74</v>
      </c>
      <c r="BE502" s="1" t="s">
        <v>10374</v>
      </c>
      <c r="BF502" s="2" t="str">
        <f>HYPERLINK("http://dx.doi.org/10.1210/clinem/dgae154","http://dx.doi.org/10.1210/clinem/dgae154")</f>
        <v>http://dx.doi.org/10.1210/clinem/dgae154</v>
      </c>
      <c r="BG502" s="1" t="s">
        <v>74</v>
      </c>
      <c r="BH502" s="1" t="s">
        <v>2958</v>
      </c>
      <c r="BI502" s="1">
        <v>6.0</v>
      </c>
      <c r="BJ502" s="1" t="s">
        <v>9718</v>
      </c>
      <c r="BK502" s="1" t="s">
        <v>149</v>
      </c>
      <c r="BL502" s="1" t="s">
        <v>9718</v>
      </c>
      <c r="BM502" s="1" t="s">
        <v>10375</v>
      </c>
      <c r="BN502" s="1">
        <v>3.8466742E7</v>
      </c>
      <c r="BO502" s="1" t="s">
        <v>306</v>
      </c>
      <c r="BP502" s="1" t="s">
        <v>74</v>
      </c>
      <c r="BQ502" s="1" t="s">
        <v>74</v>
      </c>
      <c r="BR502" s="1" t="s">
        <v>102</v>
      </c>
      <c r="BS502" s="1" t="s">
        <v>10376</v>
      </c>
      <c r="BT502" s="1" t="str">
        <f>HYPERLINK("https%3A%2F%2Fwww.webofscience.com%2Fwos%2Fwoscc%2Ffull-record%2FWOS:001205143100001","View Full Record in Web of Science")</f>
        <v>View Full Record in Web of Science</v>
      </c>
    </row>
    <row r="503" ht="12.75" customHeight="1">
      <c r="A503" s="1" t="s">
        <v>132</v>
      </c>
      <c r="B503" s="1" t="s">
        <v>10377</v>
      </c>
      <c r="C503" s="1" t="s">
        <v>74</v>
      </c>
      <c r="D503" s="1" t="s">
        <v>74</v>
      </c>
      <c r="E503" s="1" t="s">
        <v>74</v>
      </c>
      <c r="F503" s="1" t="s">
        <v>10378</v>
      </c>
      <c r="G503" s="1" t="s">
        <v>74</v>
      </c>
      <c r="H503" s="1" t="s">
        <v>74</v>
      </c>
      <c r="I503" s="1" t="s">
        <v>10379</v>
      </c>
      <c r="J503" s="1" t="s">
        <v>2316</v>
      </c>
      <c r="K503" s="1" t="s">
        <v>74</v>
      </c>
      <c r="L503" s="1" t="s">
        <v>74</v>
      </c>
      <c r="M503" s="1" t="s">
        <v>80</v>
      </c>
      <c r="N503" s="1" t="s">
        <v>1010</v>
      </c>
      <c r="O503" s="1" t="s">
        <v>74</v>
      </c>
      <c r="P503" s="1" t="s">
        <v>74</v>
      </c>
      <c r="Q503" s="1" t="s">
        <v>74</v>
      </c>
      <c r="R503" s="1" t="s">
        <v>74</v>
      </c>
      <c r="S503" s="1" t="s">
        <v>74</v>
      </c>
      <c r="T503" s="1" t="s">
        <v>10380</v>
      </c>
      <c r="U503" s="1" t="s">
        <v>10381</v>
      </c>
      <c r="V503" s="1" t="s">
        <v>10382</v>
      </c>
      <c r="W503" s="1" t="s">
        <v>10383</v>
      </c>
      <c r="X503" s="1" t="s">
        <v>10384</v>
      </c>
      <c r="Y503" s="1" t="s">
        <v>10385</v>
      </c>
      <c r="Z503" s="1" t="s">
        <v>10386</v>
      </c>
      <c r="AA503" s="1" t="s">
        <v>10387</v>
      </c>
      <c r="AB503" s="1" t="s">
        <v>10388</v>
      </c>
      <c r="AC503" s="1" t="s">
        <v>74</v>
      </c>
      <c r="AD503" s="1" t="s">
        <v>74</v>
      </c>
      <c r="AE503" s="1" t="s">
        <v>74</v>
      </c>
      <c r="AF503" s="1" t="s">
        <v>74</v>
      </c>
      <c r="AG503" s="1">
        <v>33.0</v>
      </c>
      <c r="AH503" s="1">
        <v>2.0</v>
      </c>
      <c r="AI503" s="1">
        <v>2.0</v>
      </c>
      <c r="AJ503" s="1">
        <v>6.0</v>
      </c>
      <c r="AK503" s="1">
        <v>16.0</v>
      </c>
      <c r="AL503" s="1" t="s">
        <v>1970</v>
      </c>
      <c r="AM503" s="1" t="s">
        <v>1658</v>
      </c>
      <c r="AN503" s="1" t="s">
        <v>1971</v>
      </c>
      <c r="AO503" s="1" t="s">
        <v>74</v>
      </c>
      <c r="AP503" s="1" t="s">
        <v>2326</v>
      </c>
      <c r="AQ503" s="1" t="s">
        <v>74</v>
      </c>
      <c r="AR503" s="1" t="s">
        <v>2316</v>
      </c>
      <c r="AS503" s="1" t="s">
        <v>2327</v>
      </c>
      <c r="AT503" s="1" t="s">
        <v>1027</v>
      </c>
      <c r="AU503" s="1">
        <v>2024.0</v>
      </c>
      <c r="AV503" s="1">
        <v>14.0</v>
      </c>
      <c r="AW503" s="1">
        <v>5.0</v>
      </c>
      <c r="AX503" s="1" t="s">
        <v>74</v>
      </c>
      <c r="AY503" s="1" t="s">
        <v>74</v>
      </c>
      <c r="AZ503" s="1" t="s">
        <v>74</v>
      </c>
      <c r="BA503" s="1" t="s">
        <v>74</v>
      </c>
      <c r="BB503" s="1" t="s">
        <v>74</v>
      </c>
      <c r="BC503" s="1" t="s">
        <v>74</v>
      </c>
      <c r="BD503" s="1">
        <v>528.0</v>
      </c>
      <c r="BE503" s="1" t="s">
        <v>10389</v>
      </c>
      <c r="BF503" s="2" t="str">
        <f>HYPERLINK("http://dx.doi.org/10.3390/diagnostics14050528","http://dx.doi.org/10.3390/diagnostics14050528")</f>
        <v>http://dx.doi.org/10.3390/diagnostics14050528</v>
      </c>
      <c r="BG503" s="1" t="s">
        <v>74</v>
      </c>
      <c r="BH503" s="1" t="s">
        <v>74</v>
      </c>
      <c r="BI503" s="1">
        <v>16.0</v>
      </c>
      <c r="BJ503" s="1" t="s">
        <v>1158</v>
      </c>
      <c r="BK503" s="1" t="s">
        <v>149</v>
      </c>
      <c r="BL503" s="1" t="s">
        <v>1159</v>
      </c>
      <c r="BM503" s="1" t="s">
        <v>10390</v>
      </c>
      <c r="BN503" s="1">
        <v>3.8472999E7</v>
      </c>
      <c r="BO503" s="1" t="s">
        <v>1161</v>
      </c>
      <c r="BP503" s="1" t="s">
        <v>74</v>
      </c>
      <c r="BQ503" s="1" t="s">
        <v>74</v>
      </c>
      <c r="BR503" s="1" t="s">
        <v>102</v>
      </c>
      <c r="BS503" s="1" t="s">
        <v>10391</v>
      </c>
      <c r="BT503" s="1" t="str">
        <f>HYPERLINK("https%3A%2F%2Fwww.webofscience.com%2Fwos%2Fwoscc%2Ffull-record%2FWOS:001182721900001","View Full Record in Web of Science")</f>
        <v>View Full Record in Web of Science</v>
      </c>
    </row>
    <row r="504" ht="12.75" customHeight="1">
      <c r="A504" s="1" t="s">
        <v>132</v>
      </c>
      <c r="B504" s="1" t="s">
        <v>10392</v>
      </c>
      <c r="C504" s="1" t="s">
        <v>74</v>
      </c>
      <c r="D504" s="1" t="s">
        <v>74</v>
      </c>
      <c r="E504" s="1" t="s">
        <v>74</v>
      </c>
      <c r="F504" s="1" t="s">
        <v>10393</v>
      </c>
      <c r="G504" s="1" t="s">
        <v>74</v>
      </c>
      <c r="H504" s="1" t="s">
        <v>74</v>
      </c>
      <c r="I504" s="1" t="s">
        <v>10394</v>
      </c>
      <c r="J504" s="1" t="s">
        <v>10395</v>
      </c>
      <c r="K504" s="1" t="s">
        <v>74</v>
      </c>
      <c r="L504" s="1" t="s">
        <v>74</v>
      </c>
      <c r="M504" s="1" t="s">
        <v>80</v>
      </c>
      <c r="N504" s="1" t="s">
        <v>136</v>
      </c>
      <c r="O504" s="1" t="s">
        <v>74</v>
      </c>
      <c r="P504" s="1" t="s">
        <v>74</v>
      </c>
      <c r="Q504" s="1" t="s">
        <v>74</v>
      </c>
      <c r="R504" s="1" t="s">
        <v>74</v>
      </c>
      <c r="S504" s="1" t="s">
        <v>74</v>
      </c>
      <c r="T504" s="1" t="s">
        <v>10396</v>
      </c>
      <c r="U504" s="1" t="s">
        <v>10397</v>
      </c>
      <c r="V504" s="1" t="s">
        <v>10398</v>
      </c>
      <c r="W504" s="1" t="s">
        <v>10399</v>
      </c>
      <c r="X504" s="1" t="s">
        <v>10400</v>
      </c>
      <c r="Y504" s="1" t="s">
        <v>10401</v>
      </c>
      <c r="Z504" s="1" t="s">
        <v>10402</v>
      </c>
      <c r="AA504" s="1" t="s">
        <v>10403</v>
      </c>
      <c r="AB504" s="1" t="s">
        <v>10404</v>
      </c>
      <c r="AC504" s="1" t="s">
        <v>74</v>
      </c>
      <c r="AD504" s="1" t="s">
        <v>74</v>
      </c>
      <c r="AE504" s="1" t="s">
        <v>74</v>
      </c>
      <c r="AF504" s="1" t="s">
        <v>74</v>
      </c>
      <c r="AG504" s="1">
        <v>105.0</v>
      </c>
      <c r="AH504" s="1">
        <v>51.0</v>
      </c>
      <c r="AI504" s="1">
        <v>51.0</v>
      </c>
      <c r="AJ504" s="1">
        <v>43.0</v>
      </c>
      <c r="AK504" s="1">
        <v>233.0</v>
      </c>
      <c r="AL504" s="1" t="s">
        <v>192</v>
      </c>
      <c r="AM504" s="1" t="s">
        <v>864</v>
      </c>
      <c r="AN504" s="1" t="s">
        <v>865</v>
      </c>
      <c r="AO504" s="1" t="s">
        <v>10405</v>
      </c>
      <c r="AP504" s="1" t="s">
        <v>10406</v>
      </c>
      <c r="AQ504" s="1" t="s">
        <v>74</v>
      </c>
      <c r="AR504" s="1" t="s">
        <v>10407</v>
      </c>
      <c r="AS504" s="1" t="s">
        <v>10408</v>
      </c>
      <c r="AT504" s="1" t="s">
        <v>1709</v>
      </c>
      <c r="AU504" s="1">
        <v>2021.0</v>
      </c>
      <c r="AV504" s="1">
        <v>23.0</v>
      </c>
      <c r="AW504" s="1">
        <v>3.0</v>
      </c>
      <c r="AX504" s="1" t="s">
        <v>74</v>
      </c>
      <c r="AY504" s="1" t="s">
        <v>74</v>
      </c>
      <c r="AZ504" s="1" t="s">
        <v>74</v>
      </c>
      <c r="BA504" s="1" t="s">
        <v>74</v>
      </c>
      <c r="BB504" s="1">
        <v>505.0</v>
      </c>
      <c r="BC504" s="1">
        <v>525.0</v>
      </c>
      <c r="BD504" s="1" t="s">
        <v>74</v>
      </c>
      <c r="BE504" s="1" t="s">
        <v>10409</v>
      </c>
      <c r="BF504" s="2" t="str">
        <f>HYPERLINK("http://dx.doi.org/10.1007/s10676-021-09593-z","http://dx.doi.org/10.1007/s10676-021-09593-z")</f>
        <v>http://dx.doi.org/10.1007/s10676-021-09593-z</v>
      </c>
      <c r="BG504" s="1" t="s">
        <v>74</v>
      </c>
      <c r="BH504" s="1" t="s">
        <v>10410</v>
      </c>
      <c r="BI504" s="1">
        <v>21.0</v>
      </c>
      <c r="BJ504" s="1" t="s">
        <v>10411</v>
      </c>
      <c r="BK504" s="1" t="s">
        <v>10232</v>
      </c>
      <c r="BL504" s="1" t="s">
        <v>10412</v>
      </c>
      <c r="BM504" s="1" t="s">
        <v>10413</v>
      </c>
      <c r="BN504" s="1" t="s">
        <v>74</v>
      </c>
      <c r="BO504" s="1" t="s">
        <v>74</v>
      </c>
      <c r="BP504" s="1" t="s">
        <v>74</v>
      </c>
      <c r="BQ504" s="1" t="s">
        <v>74</v>
      </c>
      <c r="BR504" s="1" t="s">
        <v>102</v>
      </c>
      <c r="BS504" s="1" t="s">
        <v>10414</v>
      </c>
      <c r="BT504" s="1" t="str">
        <f>HYPERLINK("https%3A%2F%2Fwww.webofscience.com%2Fwos%2Fwoscc%2Ffull-record%2FWOS:000642029700001","View Full Record in Web of Science")</f>
        <v>View Full Record in Web of Science</v>
      </c>
    </row>
    <row r="505" ht="12.75" customHeight="1">
      <c r="A505" s="1" t="s">
        <v>132</v>
      </c>
      <c r="B505" s="1" t="s">
        <v>10415</v>
      </c>
      <c r="C505" s="1" t="s">
        <v>74</v>
      </c>
      <c r="D505" s="1" t="s">
        <v>74</v>
      </c>
      <c r="E505" s="1" t="s">
        <v>74</v>
      </c>
      <c r="F505" s="1" t="s">
        <v>10416</v>
      </c>
      <c r="G505" s="1" t="s">
        <v>74</v>
      </c>
      <c r="H505" s="1" t="s">
        <v>74</v>
      </c>
      <c r="I505" s="1" t="s">
        <v>10417</v>
      </c>
      <c r="J505" s="1" t="s">
        <v>10418</v>
      </c>
      <c r="K505" s="1" t="s">
        <v>74</v>
      </c>
      <c r="L505" s="1" t="s">
        <v>74</v>
      </c>
      <c r="M505" s="1" t="s">
        <v>638</v>
      </c>
      <c r="N505" s="1" t="s">
        <v>136</v>
      </c>
      <c r="O505" s="1" t="s">
        <v>74</v>
      </c>
      <c r="P505" s="1" t="s">
        <v>74</v>
      </c>
      <c r="Q505" s="1" t="s">
        <v>74</v>
      </c>
      <c r="R505" s="1" t="s">
        <v>74</v>
      </c>
      <c r="S505" s="1" t="s">
        <v>74</v>
      </c>
      <c r="T505" s="1" t="s">
        <v>10419</v>
      </c>
      <c r="U505" s="1" t="s">
        <v>74</v>
      </c>
      <c r="V505" s="1" t="s">
        <v>10420</v>
      </c>
      <c r="W505" s="1" t="s">
        <v>10421</v>
      </c>
      <c r="X505" s="1" t="s">
        <v>10422</v>
      </c>
      <c r="Y505" s="1" t="s">
        <v>10423</v>
      </c>
      <c r="Z505" s="1" t="s">
        <v>10424</v>
      </c>
      <c r="AA505" s="1" t="s">
        <v>10425</v>
      </c>
      <c r="AB505" s="1" t="s">
        <v>10426</v>
      </c>
      <c r="AC505" s="1" t="s">
        <v>74</v>
      </c>
      <c r="AD505" s="1" t="s">
        <v>74</v>
      </c>
      <c r="AE505" s="1" t="s">
        <v>74</v>
      </c>
      <c r="AF505" s="1" t="s">
        <v>74</v>
      </c>
      <c r="AG505" s="1">
        <v>36.0</v>
      </c>
      <c r="AH505" s="1">
        <v>0.0</v>
      </c>
      <c r="AI505" s="1">
        <v>0.0</v>
      </c>
      <c r="AJ505" s="1">
        <v>20.0</v>
      </c>
      <c r="AK505" s="1">
        <v>20.0</v>
      </c>
      <c r="AL505" s="1" t="s">
        <v>10427</v>
      </c>
      <c r="AM505" s="1" t="s">
        <v>10428</v>
      </c>
      <c r="AN505" s="1" t="s">
        <v>10429</v>
      </c>
      <c r="AO505" s="1" t="s">
        <v>10430</v>
      </c>
      <c r="AP505" s="1" t="s">
        <v>74</v>
      </c>
      <c r="AQ505" s="1" t="s">
        <v>74</v>
      </c>
      <c r="AR505" s="1" t="s">
        <v>10431</v>
      </c>
      <c r="AS505" s="1" t="s">
        <v>10432</v>
      </c>
      <c r="AT505" s="1" t="s">
        <v>328</v>
      </c>
      <c r="AU505" s="1">
        <v>2024.0</v>
      </c>
      <c r="AV505" s="1" t="s">
        <v>74</v>
      </c>
      <c r="AW505" s="1">
        <v>45.0</v>
      </c>
      <c r="AX505" s="1" t="s">
        <v>74</v>
      </c>
      <c r="AY505" s="1" t="s">
        <v>74</v>
      </c>
      <c r="AZ505" s="1" t="s">
        <v>74</v>
      </c>
      <c r="BA505" s="1" t="s">
        <v>74</v>
      </c>
      <c r="BB505" s="1">
        <v>50.0</v>
      </c>
      <c r="BC505" s="1">
        <v>58.0</v>
      </c>
      <c r="BD505" s="1" t="s">
        <v>74</v>
      </c>
      <c r="BE505" s="1" t="s">
        <v>10433</v>
      </c>
      <c r="BF505" s="2" t="str">
        <f>HYPERLINK("http://dx.doi.org/10.1344/der.2024.45.50-58","http://dx.doi.org/10.1344/der.2024.45.50-58")</f>
        <v>http://dx.doi.org/10.1344/der.2024.45.50-58</v>
      </c>
      <c r="BG505" s="1" t="s">
        <v>74</v>
      </c>
      <c r="BH505" s="1" t="s">
        <v>74</v>
      </c>
      <c r="BI505" s="1">
        <v>9.0</v>
      </c>
      <c r="BJ505" s="1" t="s">
        <v>171</v>
      </c>
      <c r="BK505" s="1" t="s">
        <v>172</v>
      </c>
      <c r="BL505" s="1" t="s">
        <v>171</v>
      </c>
      <c r="BM505" s="1" t="s">
        <v>10434</v>
      </c>
      <c r="BN505" s="1" t="s">
        <v>74</v>
      </c>
      <c r="BO505" s="1" t="s">
        <v>174</v>
      </c>
      <c r="BP505" s="1" t="s">
        <v>74</v>
      </c>
      <c r="BQ505" s="1" t="s">
        <v>74</v>
      </c>
      <c r="BR505" s="1" t="s">
        <v>102</v>
      </c>
      <c r="BS505" s="1" t="s">
        <v>10435</v>
      </c>
      <c r="BT505" s="1" t="str">
        <f>HYPERLINK("https%3A%2F%2Fwww.webofscience.com%2Fwos%2Fwoscc%2Ffull-record%2FWOS:001270470900008","View Full Record in Web of Science")</f>
        <v>View Full Record in Web of Science</v>
      </c>
    </row>
    <row r="506" ht="12.75" customHeight="1">
      <c r="A506" s="1" t="s">
        <v>132</v>
      </c>
      <c r="B506" s="1" t="s">
        <v>10436</v>
      </c>
      <c r="C506" s="1" t="s">
        <v>74</v>
      </c>
      <c r="D506" s="1" t="s">
        <v>74</v>
      </c>
      <c r="E506" s="1" t="s">
        <v>74</v>
      </c>
      <c r="F506" s="1" t="s">
        <v>10437</v>
      </c>
      <c r="G506" s="1" t="s">
        <v>74</v>
      </c>
      <c r="H506" s="1" t="s">
        <v>74</v>
      </c>
      <c r="I506" s="1" t="s">
        <v>10438</v>
      </c>
      <c r="J506" s="1" t="s">
        <v>10439</v>
      </c>
      <c r="K506" s="1" t="s">
        <v>74</v>
      </c>
      <c r="L506" s="1" t="s">
        <v>74</v>
      </c>
      <c r="M506" s="1" t="s">
        <v>157</v>
      </c>
      <c r="N506" s="1" t="s">
        <v>136</v>
      </c>
      <c r="O506" s="1" t="s">
        <v>74</v>
      </c>
      <c r="P506" s="1" t="s">
        <v>74</v>
      </c>
      <c r="Q506" s="1" t="s">
        <v>74</v>
      </c>
      <c r="R506" s="1" t="s">
        <v>74</v>
      </c>
      <c r="S506" s="1" t="s">
        <v>74</v>
      </c>
      <c r="T506" s="1" t="s">
        <v>10440</v>
      </c>
      <c r="U506" s="1" t="s">
        <v>10441</v>
      </c>
      <c r="V506" s="1" t="s">
        <v>10442</v>
      </c>
      <c r="W506" s="1" t="s">
        <v>10443</v>
      </c>
      <c r="X506" s="1" t="s">
        <v>10444</v>
      </c>
      <c r="Y506" s="1" t="s">
        <v>10445</v>
      </c>
      <c r="Z506" s="1" t="s">
        <v>10446</v>
      </c>
      <c r="AA506" s="1" t="s">
        <v>74</v>
      </c>
      <c r="AB506" s="1" t="s">
        <v>74</v>
      </c>
      <c r="AC506" s="1" t="s">
        <v>74</v>
      </c>
      <c r="AD506" s="1" t="s">
        <v>74</v>
      </c>
      <c r="AE506" s="1" t="s">
        <v>74</v>
      </c>
      <c r="AF506" s="1" t="s">
        <v>74</v>
      </c>
      <c r="AG506" s="1">
        <v>40.0</v>
      </c>
      <c r="AH506" s="1">
        <v>3.0</v>
      </c>
      <c r="AI506" s="1">
        <v>3.0</v>
      </c>
      <c r="AJ506" s="1">
        <v>2.0</v>
      </c>
      <c r="AK506" s="1">
        <v>18.0</v>
      </c>
      <c r="AL506" s="1" t="s">
        <v>10447</v>
      </c>
      <c r="AM506" s="1" t="s">
        <v>10448</v>
      </c>
      <c r="AN506" s="1" t="s">
        <v>10449</v>
      </c>
      <c r="AO506" s="1" t="s">
        <v>74</v>
      </c>
      <c r="AP506" s="1" t="s">
        <v>10450</v>
      </c>
      <c r="AQ506" s="1" t="s">
        <v>74</v>
      </c>
      <c r="AR506" s="1" t="s">
        <v>10451</v>
      </c>
      <c r="AS506" s="1" t="s">
        <v>10452</v>
      </c>
      <c r="AT506" s="1" t="s">
        <v>74</v>
      </c>
      <c r="AU506" s="1">
        <v>2021.0</v>
      </c>
      <c r="AV506" s="1">
        <v>26.0</v>
      </c>
      <c r="AW506" s="1" t="s">
        <v>74</v>
      </c>
      <c r="AX506" s="1" t="s">
        <v>74</v>
      </c>
      <c r="AY506" s="1" t="s">
        <v>74</v>
      </c>
      <c r="AZ506" s="1" t="s">
        <v>74</v>
      </c>
      <c r="BA506" s="1" t="s">
        <v>74</v>
      </c>
      <c r="BB506" s="1" t="s">
        <v>74</v>
      </c>
      <c r="BC506" s="1" t="s">
        <v>74</v>
      </c>
      <c r="BD506" s="1" t="s">
        <v>10453</v>
      </c>
      <c r="BE506" s="1" t="s">
        <v>10454</v>
      </c>
      <c r="BF506" s="2" t="str">
        <f>HYPERLINK("http://dx.doi.org/10.5007/1518-2924.2021.e76249","http://dx.doi.org/10.5007/1518-2924.2021.e76249")</f>
        <v>http://dx.doi.org/10.5007/1518-2924.2021.e76249</v>
      </c>
      <c r="BG506" s="1" t="s">
        <v>74</v>
      </c>
      <c r="BH506" s="1" t="s">
        <v>74</v>
      </c>
      <c r="BI506" s="1">
        <v>21.0</v>
      </c>
      <c r="BJ506" s="1" t="s">
        <v>358</v>
      </c>
      <c r="BK506" s="1" t="s">
        <v>172</v>
      </c>
      <c r="BL506" s="1" t="s">
        <v>358</v>
      </c>
      <c r="BM506" s="1" t="s">
        <v>10455</v>
      </c>
      <c r="BN506" s="1" t="s">
        <v>74</v>
      </c>
      <c r="BO506" s="1" t="s">
        <v>3076</v>
      </c>
      <c r="BP506" s="1" t="s">
        <v>74</v>
      </c>
      <c r="BQ506" s="1" t="s">
        <v>74</v>
      </c>
      <c r="BR506" s="1" t="s">
        <v>102</v>
      </c>
      <c r="BS506" s="1" t="s">
        <v>10456</v>
      </c>
      <c r="BT506" s="1" t="str">
        <f>HYPERLINK("https%3A%2F%2Fwww.webofscience.com%2Fwos%2Fwoscc%2Ffull-record%2FWOS:000707350300009","View Full Record in Web of Science")</f>
        <v>View Full Record in Web of Science</v>
      </c>
    </row>
    <row r="507" ht="12.75" customHeight="1">
      <c r="A507" s="1" t="s">
        <v>132</v>
      </c>
      <c r="B507" s="1" t="s">
        <v>10457</v>
      </c>
      <c r="C507" s="1" t="s">
        <v>74</v>
      </c>
      <c r="D507" s="1" t="s">
        <v>74</v>
      </c>
      <c r="E507" s="1" t="s">
        <v>74</v>
      </c>
      <c r="F507" s="1" t="s">
        <v>10458</v>
      </c>
      <c r="G507" s="1" t="s">
        <v>74</v>
      </c>
      <c r="H507" s="1" t="s">
        <v>74</v>
      </c>
      <c r="I507" s="1" t="s">
        <v>10459</v>
      </c>
      <c r="J507" s="1" t="s">
        <v>5039</v>
      </c>
      <c r="K507" s="1" t="s">
        <v>74</v>
      </c>
      <c r="L507" s="1" t="s">
        <v>74</v>
      </c>
      <c r="M507" s="1" t="s">
        <v>80</v>
      </c>
      <c r="N507" s="1" t="s">
        <v>1010</v>
      </c>
      <c r="O507" s="1" t="s">
        <v>74</v>
      </c>
      <c r="P507" s="1" t="s">
        <v>74</v>
      </c>
      <c r="Q507" s="1" t="s">
        <v>74</v>
      </c>
      <c r="R507" s="1" t="s">
        <v>74</v>
      </c>
      <c r="S507" s="1" t="s">
        <v>74</v>
      </c>
      <c r="T507" s="1" t="s">
        <v>10460</v>
      </c>
      <c r="U507" s="1" t="s">
        <v>10461</v>
      </c>
      <c r="V507" s="1" t="s">
        <v>10462</v>
      </c>
      <c r="W507" s="1" t="s">
        <v>10463</v>
      </c>
      <c r="X507" s="1" t="s">
        <v>10464</v>
      </c>
      <c r="Y507" s="1" t="s">
        <v>10465</v>
      </c>
      <c r="Z507" s="1" t="s">
        <v>10466</v>
      </c>
      <c r="AA507" s="1" t="s">
        <v>10467</v>
      </c>
      <c r="AB507" s="1" t="s">
        <v>10468</v>
      </c>
      <c r="AC507" s="1" t="s">
        <v>74</v>
      </c>
      <c r="AD507" s="1" t="s">
        <v>74</v>
      </c>
      <c r="AE507" s="1" t="s">
        <v>74</v>
      </c>
      <c r="AF507" s="1" t="s">
        <v>74</v>
      </c>
      <c r="AG507" s="1">
        <v>50.0</v>
      </c>
      <c r="AH507" s="1">
        <v>49.0</v>
      </c>
      <c r="AI507" s="1">
        <v>50.0</v>
      </c>
      <c r="AJ507" s="1">
        <v>4.0</v>
      </c>
      <c r="AK507" s="1">
        <v>27.0</v>
      </c>
      <c r="AL507" s="1" t="s">
        <v>1528</v>
      </c>
      <c r="AM507" s="1" t="s">
        <v>1529</v>
      </c>
      <c r="AN507" s="1" t="s">
        <v>1530</v>
      </c>
      <c r="AO507" s="1" t="s">
        <v>5051</v>
      </c>
      <c r="AP507" s="1" t="s">
        <v>5052</v>
      </c>
      <c r="AQ507" s="1" t="s">
        <v>74</v>
      </c>
      <c r="AR507" s="1" t="s">
        <v>5053</v>
      </c>
      <c r="AS507" s="1" t="s">
        <v>5054</v>
      </c>
      <c r="AT507" s="1" t="s">
        <v>1709</v>
      </c>
      <c r="AU507" s="1">
        <v>2021.0</v>
      </c>
      <c r="AV507" s="1">
        <v>28.0</v>
      </c>
      <c r="AW507" s="1">
        <v>34.0</v>
      </c>
      <c r="AX507" s="1" t="s">
        <v>74</v>
      </c>
      <c r="AY507" s="1" t="s">
        <v>74</v>
      </c>
      <c r="AZ507" s="1" t="s">
        <v>74</v>
      </c>
      <c r="BA507" s="1" t="s">
        <v>74</v>
      </c>
      <c r="BB507" s="1">
        <v>46964.0</v>
      </c>
      <c r="BC507" s="1">
        <v>46984.0</v>
      </c>
      <c r="BD507" s="1" t="s">
        <v>74</v>
      </c>
      <c r="BE507" s="1" t="s">
        <v>10469</v>
      </c>
      <c r="BF507" s="2" t="str">
        <f>HYPERLINK("http://dx.doi.org/10.1007/s11356-021-15292-5","http://dx.doi.org/10.1007/s11356-021-15292-5")</f>
        <v>http://dx.doi.org/10.1007/s11356-021-15292-5</v>
      </c>
      <c r="BG507" s="1" t="s">
        <v>74</v>
      </c>
      <c r="BH507" s="1" t="s">
        <v>5635</v>
      </c>
      <c r="BI507" s="1">
        <v>21.0</v>
      </c>
      <c r="BJ507" s="1" t="s">
        <v>893</v>
      </c>
      <c r="BK507" s="1" t="s">
        <v>149</v>
      </c>
      <c r="BL507" s="1" t="s">
        <v>894</v>
      </c>
      <c r="BM507" s="1" t="s">
        <v>10470</v>
      </c>
      <c r="BN507" s="1">
        <v>3.4269979E7</v>
      </c>
      <c r="BO507" s="1" t="s">
        <v>7447</v>
      </c>
      <c r="BP507" s="1" t="s">
        <v>74</v>
      </c>
      <c r="BQ507" s="1" t="s">
        <v>74</v>
      </c>
      <c r="BR507" s="1" t="s">
        <v>102</v>
      </c>
      <c r="BS507" s="1" t="s">
        <v>10471</v>
      </c>
      <c r="BT507" s="1" t="str">
        <f>HYPERLINK("https%3A%2F%2Fwww.webofscience.com%2Fwos%2Fwoscc%2Ffull-record%2FWOS:000673205200003","View Full Record in Web of Science")</f>
        <v>View Full Record in Web of Science</v>
      </c>
    </row>
    <row r="508" ht="12.75" customHeight="1">
      <c r="A508" s="1" t="s">
        <v>72</v>
      </c>
      <c r="B508" s="1" t="s">
        <v>10472</v>
      </c>
      <c r="C508" s="1" t="s">
        <v>74</v>
      </c>
      <c r="D508" s="1" t="s">
        <v>74</v>
      </c>
      <c r="E508" s="1" t="s">
        <v>236</v>
      </c>
      <c r="F508" s="1" t="s">
        <v>10473</v>
      </c>
      <c r="G508" s="1" t="s">
        <v>74</v>
      </c>
      <c r="H508" s="1" t="s">
        <v>74</v>
      </c>
      <c r="I508" s="1" t="s">
        <v>10474</v>
      </c>
      <c r="J508" s="1" t="s">
        <v>10475</v>
      </c>
      <c r="K508" s="1" t="s">
        <v>74</v>
      </c>
      <c r="L508" s="1" t="s">
        <v>74</v>
      </c>
      <c r="M508" s="1" t="s">
        <v>80</v>
      </c>
      <c r="N508" s="1" t="s">
        <v>81</v>
      </c>
      <c r="O508" s="1" t="s">
        <v>10476</v>
      </c>
      <c r="P508" s="1" t="s">
        <v>10477</v>
      </c>
      <c r="Q508" s="1" t="s">
        <v>10478</v>
      </c>
      <c r="R508" s="1" t="s">
        <v>10479</v>
      </c>
      <c r="S508" s="1" t="s">
        <v>10480</v>
      </c>
      <c r="T508" s="1" t="s">
        <v>10481</v>
      </c>
      <c r="U508" s="1" t="s">
        <v>74</v>
      </c>
      <c r="V508" s="1" t="s">
        <v>10482</v>
      </c>
      <c r="W508" s="1" t="s">
        <v>10483</v>
      </c>
      <c r="X508" s="1" t="s">
        <v>10484</v>
      </c>
      <c r="Y508" s="1" t="s">
        <v>10485</v>
      </c>
      <c r="Z508" s="1" t="s">
        <v>10486</v>
      </c>
      <c r="AA508" s="1" t="s">
        <v>10487</v>
      </c>
      <c r="AB508" s="1" t="s">
        <v>10488</v>
      </c>
      <c r="AC508" s="1" t="s">
        <v>74</v>
      </c>
      <c r="AD508" s="1" t="s">
        <v>74</v>
      </c>
      <c r="AE508" s="1" t="s">
        <v>74</v>
      </c>
      <c r="AF508" s="1" t="s">
        <v>74</v>
      </c>
      <c r="AG508" s="1">
        <v>13.0</v>
      </c>
      <c r="AH508" s="1">
        <v>1.0</v>
      </c>
      <c r="AI508" s="1">
        <v>1.0</v>
      </c>
      <c r="AJ508" s="1">
        <v>2.0</v>
      </c>
      <c r="AK508" s="1">
        <v>24.0</v>
      </c>
      <c r="AL508" s="1" t="s">
        <v>236</v>
      </c>
      <c r="AM508" s="1" t="s">
        <v>193</v>
      </c>
      <c r="AN508" s="1" t="s">
        <v>252</v>
      </c>
      <c r="AO508" s="1" t="s">
        <v>74</v>
      </c>
      <c r="AP508" s="1" t="s">
        <v>74</v>
      </c>
      <c r="AQ508" s="1" t="s">
        <v>10489</v>
      </c>
      <c r="AR508" s="1" t="s">
        <v>74</v>
      </c>
      <c r="AS508" s="1" t="s">
        <v>74</v>
      </c>
      <c r="AT508" s="1" t="s">
        <v>74</v>
      </c>
      <c r="AU508" s="1">
        <v>2016.0</v>
      </c>
      <c r="AV508" s="1" t="s">
        <v>74</v>
      </c>
      <c r="AW508" s="1" t="s">
        <v>74</v>
      </c>
      <c r="AX508" s="1" t="s">
        <v>74</v>
      </c>
      <c r="AY508" s="1" t="s">
        <v>74</v>
      </c>
      <c r="AZ508" s="1" t="s">
        <v>74</v>
      </c>
      <c r="BA508" s="1" t="s">
        <v>74</v>
      </c>
      <c r="BB508" s="1">
        <v>249.0</v>
      </c>
      <c r="BC508" s="1">
        <v>254.0</v>
      </c>
      <c r="BD508" s="1" t="s">
        <v>74</v>
      </c>
      <c r="BE508" s="1" t="s">
        <v>74</v>
      </c>
      <c r="BF508" s="1" t="s">
        <v>74</v>
      </c>
      <c r="BG508" s="1" t="s">
        <v>74</v>
      </c>
      <c r="BH508" s="1" t="s">
        <v>74</v>
      </c>
      <c r="BI508" s="1">
        <v>6.0</v>
      </c>
      <c r="BJ508" s="1" t="s">
        <v>10490</v>
      </c>
      <c r="BK508" s="1" t="s">
        <v>128</v>
      </c>
      <c r="BL508" s="1" t="s">
        <v>10491</v>
      </c>
      <c r="BM508" s="1" t="s">
        <v>10492</v>
      </c>
      <c r="BN508" s="1" t="s">
        <v>74</v>
      </c>
      <c r="BO508" s="1" t="s">
        <v>74</v>
      </c>
      <c r="BP508" s="1" t="s">
        <v>74</v>
      </c>
      <c r="BQ508" s="1" t="s">
        <v>74</v>
      </c>
      <c r="BR508" s="1" t="s">
        <v>102</v>
      </c>
      <c r="BS508" s="1" t="s">
        <v>10493</v>
      </c>
      <c r="BT508" s="1" t="str">
        <f>HYPERLINK("https%3A%2F%2Fwww.webofscience.com%2Fwos%2Fwoscc%2Ffull-record%2FWOS:000391239500049","View Full Record in Web of Science")</f>
        <v>View Full Record in Web of Science</v>
      </c>
    </row>
    <row r="509" ht="12.75" customHeight="1">
      <c r="A509" s="1" t="s">
        <v>132</v>
      </c>
      <c r="B509" s="1" t="s">
        <v>10494</v>
      </c>
      <c r="C509" s="1" t="s">
        <v>74</v>
      </c>
      <c r="D509" s="1" t="s">
        <v>74</v>
      </c>
      <c r="E509" s="1" t="s">
        <v>74</v>
      </c>
      <c r="F509" s="1" t="s">
        <v>10495</v>
      </c>
      <c r="G509" s="1" t="s">
        <v>74</v>
      </c>
      <c r="H509" s="1" t="s">
        <v>74</v>
      </c>
      <c r="I509" s="1" t="s">
        <v>10496</v>
      </c>
      <c r="J509" s="1" t="s">
        <v>10497</v>
      </c>
      <c r="K509" s="1" t="s">
        <v>74</v>
      </c>
      <c r="L509" s="1" t="s">
        <v>74</v>
      </c>
      <c r="M509" s="1" t="s">
        <v>80</v>
      </c>
      <c r="N509" s="1" t="s">
        <v>136</v>
      </c>
      <c r="O509" s="1" t="s">
        <v>74</v>
      </c>
      <c r="P509" s="1" t="s">
        <v>74</v>
      </c>
      <c r="Q509" s="1" t="s">
        <v>74</v>
      </c>
      <c r="R509" s="1" t="s">
        <v>74</v>
      </c>
      <c r="S509" s="1" t="s">
        <v>74</v>
      </c>
      <c r="T509" s="1" t="s">
        <v>10498</v>
      </c>
      <c r="U509" s="1" t="s">
        <v>74</v>
      </c>
      <c r="V509" s="1" t="s">
        <v>10499</v>
      </c>
      <c r="W509" s="1" t="s">
        <v>10500</v>
      </c>
      <c r="X509" s="1" t="s">
        <v>10501</v>
      </c>
      <c r="Y509" s="1" t="s">
        <v>10502</v>
      </c>
      <c r="Z509" s="1" t="s">
        <v>10503</v>
      </c>
      <c r="AA509" s="1" t="s">
        <v>74</v>
      </c>
      <c r="AB509" s="1" t="s">
        <v>10504</v>
      </c>
      <c r="AC509" s="1" t="s">
        <v>74</v>
      </c>
      <c r="AD509" s="1" t="s">
        <v>74</v>
      </c>
      <c r="AE509" s="1" t="s">
        <v>74</v>
      </c>
      <c r="AF509" s="1" t="s">
        <v>74</v>
      </c>
      <c r="AG509" s="1">
        <v>10.0</v>
      </c>
      <c r="AH509" s="1">
        <v>4.0</v>
      </c>
      <c r="AI509" s="1">
        <v>4.0</v>
      </c>
      <c r="AJ509" s="1">
        <v>3.0</v>
      </c>
      <c r="AK509" s="1">
        <v>6.0</v>
      </c>
      <c r="AL509" s="1" t="s">
        <v>321</v>
      </c>
      <c r="AM509" s="1" t="s">
        <v>322</v>
      </c>
      <c r="AN509" s="1" t="s">
        <v>323</v>
      </c>
      <c r="AO509" s="1" t="s">
        <v>10505</v>
      </c>
      <c r="AP509" s="1" t="s">
        <v>74</v>
      </c>
      <c r="AQ509" s="1" t="s">
        <v>74</v>
      </c>
      <c r="AR509" s="1" t="s">
        <v>10497</v>
      </c>
      <c r="AS509" s="1" t="s">
        <v>10506</v>
      </c>
      <c r="AT509" s="1" t="s">
        <v>1027</v>
      </c>
      <c r="AU509" s="1">
        <v>2024.0</v>
      </c>
      <c r="AV509" s="1">
        <v>39.0</v>
      </c>
      <c r="AW509" s="1" t="s">
        <v>74</v>
      </c>
      <c r="AX509" s="1" t="s">
        <v>74</v>
      </c>
      <c r="AY509" s="1" t="s">
        <v>74</v>
      </c>
      <c r="AZ509" s="1" t="s">
        <v>74</v>
      </c>
      <c r="BA509" s="1" t="s">
        <v>74</v>
      </c>
      <c r="BB509" s="1">
        <v>89.0</v>
      </c>
      <c r="BC509" s="1">
        <v>92.0</v>
      </c>
      <c r="BD509" s="1" t="s">
        <v>74</v>
      </c>
      <c r="BE509" s="1" t="s">
        <v>10507</v>
      </c>
      <c r="BF509" s="2" t="str">
        <f>HYPERLINK("http://dx.doi.org/10.1016/j.jpra.2023.11.016","http://dx.doi.org/10.1016/j.jpra.2023.11.016")</f>
        <v>http://dx.doi.org/10.1016/j.jpra.2023.11.016</v>
      </c>
      <c r="BG509" s="1" t="s">
        <v>74</v>
      </c>
      <c r="BH509" s="1" t="s">
        <v>5056</v>
      </c>
      <c r="BI509" s="1">
        <v>4.0</v>
      </c>
      <c r="BJ509" s="1" t="s">
        <v>5012</v>
      </c>
      <c r="BK509" s="1" t="s">
        <v>172</v>
      </c>
      <c r="BL509" s="1" t="s">
        <v>5012</v>
      </c>
      <c r="BM509" s="1" t="s">
        <v>10508</v>
      </c>
      <c r="BN509" s="1">
        <v>3.8186379E7</v>
      </c>
      <c r="BO509" s="1" t="s">
        <v>1161</v>
      </c>
      <c r="BP509" s="1" t="s">
        <v>74</v>
      </c>
      <c r="BQ509" s="1" t="s">
        <v>74</v>
      </c>
      <c r="BR509" s="1" t="s">
        <v>102</v>
      </c>
      <c r="BS509" s="1" t="s">
        <v>10509</v>
      </c>
      <c r="BT509" s="1" t="str">
        <f>HYPERLINK("https%3A%2F%2Fwww.webofscience.com%2Fwos%2Fwoscc%2Ffull-record%2FWOS:001139023800001","View Full Record in Web of Science")</f>
        <v>View Full Record in Web of Science</v>
      </c>
    </row>
    <row r="510" ht="12.75" customHeight="1">
      <c r="A510" s="1" t="s">
        <v>132</v>
      </c>
      <c r="B510" s="1" t="s">
        <v>10510</v>
      </c>
      <c r="C510" s="1" t="s">
        <v>74</v>
      </c>
      <c r="D510" s="1" t="s">
        <v>74</v>
      </c>
      <c r="E510" s="1" t="s">
        <v>74</v>
      </c>
      <c r="F510" s="1" t="s">
        <v>10511</v>
      </c>
      <c r="G510" s="1" t="s">
        <v>74</v>
      </c>
      <c r="H510" s="1" t="s">
        <v>74</v>
      </c>
      <c r="I510" s="1" t="s">
        <v>10512</v>
      </c>
      <c r="J510" s="1" t="s">
        <v>10513</v>
      </c>
      <c r="K510" s="1" t="s">
        <v>74</v>
      </c>
      <c r="L510" s="1" t="s">
        <v>74</v>
      </c>
      <c r="M510" s="1" t="s">
        <v>80</v>
      </c>
      <c r="N510" s="1" t="s">
        <v>136</v>
      </c>
      <c r="O510" s="1" t="s">
        <v>74</v>
      </c>
      <c r="P510" s="1" t="s">
        <v>74</v>
      </c>
      <c r="Q510" s="1" t="s">
        <v>74</v>
      </c>
      <c r="R510" s="1" t="s">
        <v>74</v>
      </c>
      <c r="S510" s="1" t="s">
        <v>74</v>
      </c>
      <c r="T510" s="1" t="s">
        <v>10514</v>
      </c>
      <c r="U510" s="1" t="s">
        <v>74</v>
      </c>
      <c r="V510" s="1" t="s">
        <v>10515</v>
      </c>
      <c r="W510" s="1" t="s">
        <v>10516</v>
      </c>
      <c r="X510" s="1" t="s">
        <v>10517</v>
      </c>
      <c r="Y510" s="1" t="s">
        <v>10518</v>
      </c>
      <c r="Z510" s="1" t="s">
        <v>10519</v>
      </c>
      <c r="AA510" s="1" t="s">
        <v>10520</v>
      </c>
      <c r="AB510" s="1" t="s">
        <v>10521</v>
      </c>
      <c r="AC510" s="1" t="s">
        <v>10522</v>
      </c>
      <c r="AD510" s="1" t="s">
        <v>10523</v>
      </c>
      <c r="AE510" s="1" t="s">
        <v>10524</v>
      </c>
      <c r="AF510" s="1" t="s">
        <v>74</v>
      </c>
      <c r="AG510" s="1">
        <v>30.0</v>
      </c>
      <c r="AH510" s="1">
        <v>1.0</v>
      </c>
      <c r="AI510" s="1">
        <v>1.0</v>
      </c>
      <c r="AJ510" s="1">
        <v>7.0</v>
      </c>
      <c r="AK510" s="1">
        <v>19.0</v>
      </c>
      <c r="AL510" s="1" t="s">
        <v>275</v>
      </c>
      <c r="AM510" s="1" t="s">
        <v>276</v>
      </c>
      <c r="AN510" s="1" t="s">
        <v>277</v>
      </c>
      <c r="AO510" s="1" t="s">
        <v>74</v>
      </c>
      <c r="AP510" s="1" t="s">
        <v>10525</v>
      </c>
      <c r="AQ510" s="1" t="s">
        <v>74</v>
      </c>
      <c r="AR510" s="1" t="s">
        <v>10526</v>
      </c>
      <c r="AS510" s="1" t="s">
        <v>10527</v>
      </c>
      <c r="AT510" s="1" t="s">
        <v>10528</v>
      </c>
      <c r="AU510" s="1">
        <v>2022.0</v>
      </c>
      <c r="AV510" s="1">
        <v>4.0</v>
      </c>
      <c r="AW510" s="1" t="s">
        <v>74</v>
      </c>
      <c r="AX510" s="1" t="s">
        <v>74</v>
      </c>
      <c r="AY510" s="1" t="s">
        <v>74</v>
      </c>
      <c r="AZ510" s="1" t="s">
        <v>74</v>
      </c>
      <c r="BA510" s="1" t="s">
        <v>74</v>
      </c>
      <c r="BB510" s="1" t="s">
        <v>74</v>
      </c>
      <c r="BC510" s="1" t="s">
        <v>74</v>
      </c>
      <c r="BD510" s="1">
        <v>824391.0</v>
      </c>
      <c r="BE510" s="1" t="s">
        <v>10529</v>
      </c>
      <c r="BF510" s="2" t="str">
        <f>HYPERLINK("http://dx.doi.org/10.3389/frsc.2022.824391","http://dx.doi.org/10.3389/frsc.2022.824391")</f>
        <v>http://dx.doi.org/10.3389/frsc.2022.824391</v>
      </c>
      <c r="BG510" s="1" t="s">
        <v>74</v>
      </c>
      <c r="BH510" s="1" t="s">
        <v>74</v>
      </c>
      <c r="BI510" s="1">
        <v>8.0</v>
      </c>
      <c r="BJ510" s="1" t="s">
        <v>10530</v>
      </c>
      <c r="BK510" s="1" t="s">
        <v>172</v>
      </c>
      <c r="BL510" s="1" t="s">
        <v>10531</v>
      </c>
      <c r="BM510" s="1" t="s">
        <v>10532</v>
      </c>
      <c r="BN510" s="1" t="s">
        <v>74</v>
      </c>
      <c r="BO510" s="1" t="s">
        <v>10533</v>
      </c>
      <c r="BP510" s="1" t="s">
        <v>74</v>
      </c>
      <c r="BQ510" s="1" t="s">
        <v>74</v>
      </c>
      <c r="BR510" s="1" t="s">
        <v>102</v>
      </c>
      <c r="BS510" s="1" t="s">
        <v>10534</v>
      </c>
      <c r="BT510" s="1" t="str">
        <f>HYPERLINK("https%3A%2F%2Fwww.webofscience.com%2Fwos%2Fwoscc%2Ffull-record%2FWOS:000913057600001","View Full Record in Web of Science")</f>
        <v>View Full Record in Web of Science</v>
      </c>
    </row>
    <row r="511" ht="12.75" customHeight="1">
      <c r="A511" s="1" t="s">
        <v>72</v>
      </c>
      <c r="B511" s="1" t="s">
        <v>10535</v>
      </c>
      <c r="C511" s="1" t="s">
        <v>74</v>
      </c>
      <c r="D511" s="1" t="s">
        <v>74</v>
      </c>
      <c r="E511" s="1" t="s">
        <v>236</v>
      </c>
      <c r="F511" s="1" t="s">
        <v>10536</v>
      </c>
      <c r="G511" s="1" t="s">
        <v>74</v>
      </c>
      <c r="H511" s="1" t="s">
        <v>74</v>
      </c>
      <c r="I511" s="1" t="s">
        <v>10537</v>
      </c>
      <c r="J511" s="1" t="s">
        <v>10538</v>
      </c>
      <c r="K511" s="1" t="s">
        <v>10539</v>
      </c>
      <c r="L511" s="1" t="s">
        <v>74</v>
      </c>
      <c r="M511" s="1" t="s">
        <v>80</v>
      </c>
      <c r="N511" s="1" t="s">
        <v>81</v>
      </c>
      <c r="O511" s="1" t="s">
        <v>10540</v>
      </c>
      <c r="P511" s="1" t="s">
        <v>10541</v>
      </c>
      <c r="Q511" s="1" t="s">
        <v>10542</v>
      </c>
      <c r="R511" s="1" t="s">
        <v>10543</v>
      </c>
      <c r="S511" s="1" t="s">
        <v>74</v>
      </c>
      <c r="T511" s="1" t="s">
        <v>10544</v>
      </c>
      <c r="U511" s="1" t="s">
        <v>10545</v>
      </c>
      <c r="V511" s="1" t="s">
        <v>10546</v>
      </c>
      <c r="W511" s="1" t="s">
        <v>10547</v>
      </c>
      <c r="X511" s="1" t="s">
        <v>10548</v>
      </c>
      <c r="Y511" s="1" t="s">
        <v>10549</v>
      </c>
      <c r="Z511" s="1" t="s">
        <v>10550</v>
      </c>
      <c r="AA511" s="1" t="s">
        <v>74</v>
      </c>
      <c r="AB511" s="1" t="s">
        <v>10551</v>
      </c>
      <c r="AC511" s="1" t="s">
        <v>74</v>
      </c>
      <c r="AD511" s="1" t="s">
        <v>74</v>
      </c>
      <c r="AE511" s="1" t="s">
        <v>74</v>
      </c>
      <c r="AF511" s="1" t="s">
        <v>74</v>
      </c>
      <c r="AG511" s="1">
        <v>48.0</v>
      </c>
      <c r="AH511" s="1">
        <v>1.0</v>
      </c>
      <c r="AI511" s="1">
        <v>1.0</v>
      </c>
      <c r="AJ511" s="1">
        <v>0.0</v>
      </c>
      <c r="AK511" s="1">
        <v>19.0</v>
      </c>
      <c r="AL511" s="1" t="s">
        <v>236</v>
      </c>
      <c r="AM511" s="1" t="s">
        <v>193</v>
      </c>
      <c r="AN511" s="1" t="s">
        <v>252</v>
      </c>
      <c r="AO511" s="1" t="s">
        <v>10552</v>
      </c>
      <c r="AP511" s="1" t="s">
        <v>74</v>
      </c>
      <c r="AQ511" s="1" t="s">
        <v>10553</v>
      </c>
      <c r="AR511" s="1" t="s">
        <v>10554</v>
      </c>
      <c r="AS511" s="1" t="s">
        <v>74</v>
      </c>
      <c r="AT511" s="1" t="s">
        <v>74</v>
      </c>
      <c r="AU511" s="1">
        <v>2020.0</v>
      </c>
      <c r="AV511" s="1" t="s">
        <v>74</v>
      </c>
      <c r="AW511" s="1" t="s">
        <v>74</v>
      </c>
      <c r="AX511" s="1" t="s">
        <v>74</v>
      </c>
      <c r="AY511" s="1" t="s">
        <v>74</v>
      </c>
      <c r="AZ511" s="1" t="s">
        <v>74</v>
      </c>
      <c r="BA511" s="1" t="s">
        <v>74</v>
      </c>
      <c r="BB511" s="1" t="s">
        <v>74</v>
      </c>
      <c r="BC511" s="1" t="s">
        <v>74</v>
      </c>
      <c r="BD511" s="1" t="s">
        <v>74</v>
      </c>
      <c r="BE511" s="1" t="s">
        <v>10555</v>
      </c>
      <c r="BF511" s="2" t="str">
        <f>HYPERLINK("http://dx.doi.org/10.1109/esw42757.2020.9188324","http://dx.doi.org/10.1109/esw42757.2020.9188324")</f>
        <v>http://dx.doi.org/10.1109/esw42757.2020.9188324</v>
      </c>
      <c r="BG511" s="1" t="s">
        <v>74</v>
      </c>
      <c r="BH511" s="1" t="s">
        <v>74</v>
      </c>
      <c r="BI511" s="1">
        <v>6.0</v>
      </c>
      <c r="BJ511" s="1" t="s">
        <v>7756</v>
      </c>
      <c r="BK511" s="1" t="s">
        <v>128</v>
      </c>
      <c r="BL511" s="1" t="s">
        <v>3052</v>
      </c>
      <c r="BM511" s="1" t="s">
        <v>10556</v>
      </c>
      <c r="BN511" s="1" t="s">
        <v>74</v>
      </c>
      <c r="BO511" s="1" t="s">
        <v>74</v>
      </c>
      <c r="BP511" s="1" t="s">
        <v>74</v>
      </c>
      <c r="BQ511" s="1" t="s">
        <v>74</v>
      </c>
      <c r="BR511" s="1" t="s">
        <v>102</v>
      </c>
      <c r="BS511" s="1" t="s">
        <v>10557</v>
      </c>
      <c r="BT511" s="1" t="str">
        <f>HYPERLINK("https%3A%2F%2Fwww.webofscience.com%2Fwos%2Fwoscc%2Ffull-record%2FWOS:000696157100016","View Full Record in Web of Science")</f>
        <v>View Full Record in Web of Science</v>
      </c>
    </row>
    <row r="512" ht="12.75" customHeight="1">
      <c r="A512" s="1" t="s">
        <v>132</v>
      </c>
      <c r="B512" s="1" t="s">
        <v>10558</v>
      </c>
      <c r="C512" s="1" t="s">
        <v>74</v>
      </c>
      <c r="D512" s="1" t="s">
        <v>74</v>
      </c>
      <c r="E512" s="1" t="s">
        <v>74</v>
      </c>
      <c r="F512" s="1" t="s">
        <v>10559</v>
      </c>
      <c r="G512" s="1" t="s">
        <v>74</v>
      </c>
      <c r="H512" s="1" t="s">
        <v>74</v>
      </c>
      <c r="I512" s="1" t="s">
        <v>10560</v>
      </c>
      <c r="J512" s="1" t="s">
        <v>10561</v>
      </c>
      <c r="K512" s="1" t="s">
        <v>74</v>
      </c>
      <c r="L512" s="1" t="s">
        <v>74</v>
      </c>
      <c r="M512" s="1" t="s">
        <v>80</v>
      </c>
      <c r="N512" s="1" t="s">
        <v>136</v>
      </c>
      <c r="O512" s="1" t="s">
        <v>74</v>
      </c>
      <c r="P512" s="1" t="s">
        <v>74</v>
      </c>
      <c r="Q512" s="1" t="s">
        <v>74</v>
      </c>
      <c r="R512" s="1" t="s">
        <v>74</v>
      </c>
      <c r="S512" s="1" t="s">
        <v>74</v>
      </c>
      <c r="T512" s="1" t="s">
        <v>10562</v>
      </c>
      <c r="U512" s="1" t="s">
        <v>74</v>
      </c>
      <c r="V512" s="1" t="s">
        <v>10563</v>
      </c>
      <c r="W512" s="1" t="s">
        <v>10564</v>
      </c>
      <c r="X512" s="1" t="s">
        <v>10565</v>
      </c>
      <c r="Y512" s="1" t="s">
        <v>10566</v>
      </c>
      <c r="Z512" s="1" t="s">
        <v>10567</v>
      </c>
      <c r="AA512" s="1" t="s">
        <v>10568</v>
      </c>
      <c r="AB512" s="1" t="s">
        <v>10569</v>
      </c>
      <c r="AC512" s="1" t="s">
        <v>74</v>
      </c>
      <c r="AD512" s="1" t="s">
        <v>74</v>
      </c>
      <c r="AE512" s="1" t="s">
        <v>74</v>
      </c>
      <c r="AF512" s="1" t="s">
        <v>74</v>
      </c>
      <c r="AG512" s="1">
        <v>21.0</v>
      </c>
      <c r="AH512" s="1">
        <v>13.0</v>
      </c>
      <c r="AI512" s="1">
        <v>13.0</v>
      </c>
      <c r="AJ512" s="1">
        <v>5.0</v>
      </c>
      <c r="AK512" s="1">
        <v>48.0</v>
      </c>
      <c r="AL512" s="1" t="s">
        <v>192</v>
      </c>
      <c r="AM512" s="1" t="s">
        <v>864</v>
      </c>
      <c r="AN512" s="1" t="s">
        <v>865</v>
      </c>
      <c r="AO512" s="1" t="s">
        <v>10570</v>
      </c>
      <c r="AP512" s="1" t="s">
        <v>10571</v>
      </c>
      <c r="AQ512" s="1" t="s">
        <v>74</v>
      </c>
      <c r="AR512" s="1" t="s">
        <v>10572</v>
      </c>
      <c r="AS512" s="1" t="s">
        <v>10573</v>
      </c>
      <c r="AT512" s="1" t="s">
        <v>1709</v>
      </c>
      <c r="AU512" s="1">
        <v>2021.0</v>
      </c>
      <c r="AV512" s="1">
        <v>44.0</v>
      </c>
      <c r="AW512" s="1">
        <v>3.0</v>
      </c>
      <c r="AX512" s="1" t="s">
        <v>74</v>
      </c>
      <c r="AY512" s="1" t="s">
        <v>74</v>
      </c>
      <c r="AZ512" s="1" t="s">
        <v>74</v>
      </c>
      <c r="BA512" s="1" t="s">
        <v>74</v>
      </c>
      <c r="BB512" s="1">
        <v>833.0</v>
      </c>
      <c r="BC512" s="1">
        <v>841.0</v>
      </c>
      <c r="BD512" s="1" t="s">
        <v>74</v>
      </c>
      <c r="BE512" s="1" t="s">
        <v>10574</v>
      </c>
      <c r="BF512" s="2" t="str">
        <f>HYPERLINK("http://dx.doi.org/10.1007/s13246-021-01036-9","http://dx.doi.org/10.1007/s13246-021-01036-9")</f>
        <v>http://dx.doi.org/10.1007/s13246-021-01036-9</v>
      </c>
      <c r="BG512" s="1" t="s">
        <v>74</v>
      </c>
      <c r="BH512" s="1" t="s">
        <v>5635</v>
      </c>
      <c r="BI512" s="1">
        <v>9.0</v>
      </c>
      <c r="BJ512" s="1" t="s">
        <v>10575</v>
      </c>
      <c r="BK512" s="1" t="s">
        <v>149</v>
      </c>
      <c r="BL512" s="1" t="s">
        <v>10576</v>
      </c>
      <c r="BM512" s="1" t="s">
        <v>10577</v>
      </c>
      <c r="BN512" s="1">
        <v>3.4283393E7</v>
      </c>
      <c r="BO512" s="1" t="s">
        <v>556</v>
      </c>
      <c r="BP512" s="1" t="s">
        <v>74</v>
      </c>
      <c r="BQ512" s="1" t="s">
        <v>74</v>
      </c>
      <c r="BR512" s="1" t="s">
        <v>102</v>
      </c>
      <c r="BS512" s="1" t="s">
        <v>10578</v>
      </c>
      <c r="BT512" s="1" t="str">
        <f>HYPERLINK("https%3A%2F%2Fwww.webofscience.com%2Fwos%2Fwoscc%2Ffull-record%2FWOS:000675064100001","View Full Record in Web of Science")</f>
        <v>View Full Record in Web of Science</v>
      </c>
    </row>
    <row r="513" ht="12.75" customHeight="1">
      <c r="A513" s="1" t="s">
        <v>72</v>
      </c>
      <c r="B513" s="1" t="s">
        <v>10579</v>
      </c>
      <c r="C513" s="1" t="s">
        <v>74</v>
      </c>
      <c r="D513" s="1" t="s">
        <v>74</v>
      </c>
      <c r="E513" s="1" t="s">
        <v>236</v>
      </c>
      <c r="F513" s="1" t="s">
        <v>10580</v>
      </c>
      <c r="G513" s="1" t="s">
        <v>74</v>
      </c>
      <c r="H513" s="1" t="s">
        <v>74</v>
      </c>
      <c r="I513" s="1" t="s">
        <v>10581</v>
      </c>
      <c r="J513" s="1" t="s">
        <v>10582</v>
      </c>
      <c r="K513" s="1" t="s">
        <v>10583</v>
      </c>
      <c r="L513" s="1" t="s">
        <v>74</v>
      </c>
      <c r="M513" s="1" t="s">
        <v>80</v>
      </c>
      <c r="N513" s="1" t="s">
        <v>81</v>
      </c>
      <c r="O513" s="1" t="s">
        <v>10584</v>
      </c>
      <c r="P513" s="1" t="s">
        <v>10585</v>
      </c>
      <c r="Q513" s="1" t="s">
        <v>10586</v>
      </c>
      <c r="R513" s="1" t="s">
        <v>236</v>
      </c>
      <c r="S513" s="1" t="s">
        <v>74</v>
      </c>
      <c r="T513" s="1" t="s">
        <v>10587</v>
      </c>
      <c r="U513" s="1" t="s">
        <v>10588</v>
      </c>
      <c r="V513" s="1" t="s">
        <v>10589</v>
      </c>
      <c r="W513" s="1" t="s">
        <v>10590</v>
      </c>
      <c r="X513" s="1" t="s">
        <v>10591</v>
      </c>
      <c r="Y513" s="1" t="s">
        <v>10592</v>
      </c>
      <c r="Z513" s="1" t="s">
        <v>10593</v>
      </c>
      <c r="AA513" s="1" t="s">
        <v>74</v>
      </c>
      <c r="AB513" s="1" t="s">
        <v>74</v>
      </c>
      <c r="AC513" s="1" t="s">
        <v>74</v>
      </c>
      <c r="AD513" s="1" t="s">
        <v>74</v>
      </c>
      <c r="AE513" s="1" t="s">
        <v>74</v>
      </c>
      <c r="AF513" s="1" t="s">
        <v>74</v>
      </c>
      <c r="AG513" s="1">
        <v>7.0</v>
      </c>
      <c r="AH513" s="1">
        <v>0.0</v>
      </c>
      <c r="AI513" s="1">
        <v>0.0</v>
      </c>
      <c r="AJ513" s="1">
        <v>0.0</v>
      </c>
      <c r="AK513" s="1">
        <v>0.0</v>
      </c>
      <c r="AL513" s="1" t="s">
        <v>236</v>
      </c>
      <c r="AM513" s="1" t="s">
        <v>193</v>
      </c>
      <c r="AN513" s="1" t="s">
        <v>252</v>
      </c>
      <c r="AO513" s="1" t="s">
        <v>10594</v>
      </c>
      <c r="AP513" s="1" t="s">
        <v>74</v>
      </c>
      <c r="AQ513" s="1" t="s">
        <v>10595</v>
      </c>
      <c r="AR513" s="1" t="s">
        <v>10596</v>
      </c>
      <c r="AS513" s="1" t="s">
        <v>74</v>
      </c>
      <c r="AT513" s="1" t="s">
        <v>74</v>
      </c>
      <c r="AU513" s="1">
        <v>2024.0</v>
      </c>
      <c r="AV513" s="1" t="s">
        <v>74</v>
      </c>
      <c r="AW513" s="1" t="s">
        <v>74</v>
      </c>
      <c r="AX513" s="1" t="s">
        <v>74</v>
      </c>
      <c r="AY513" s="1" t="s">
        <v>74</v>
      </c>
      <c r="AZ513" s="1" t="s">
        <v>74</v>
      </c>
      <c r="BA513" s="1" t="s">
        <v>74</v>
      </c>
      <c r="BB513" s="1">
        <v>539.0</v>
      </c>
      <c r="BC513" s="1">
        <v>540.0</v>
      </c>
      <c r="BD513" s="1" t="s">
        <v>74</v>
      </c>
      <c r="BE513" s="1" t="s">
        <v>74</v>
      </c>
      <c r="BF513" s="1" t="s">
        <v>74</v>
      </c>
      <c r="BG513" s="1" t="s">
        <v>74</v>
      </c>
      <c r="BH513" s="1" t="s">
        <v>74</v>
      </c>
      <c r="BI513" s="1">
        <v>2.0</v>
      </c>
      <c r="BJ513" s="1" t="s">
        <v>7756</v>
      </c>
      <c r="BK513" s="1" t="s">
        <v>128</v>
      </c>
      <c r="BL513" s="1" t="s">
        <v>3052</v>
      </c>
      <c r="BM513" s="1" t="s">
        <v>10597</v>
      </c>
      <c r="BN513" s="1" t="s">
        <v>74</v>
      </c>
      <c r="BO513" s="1" t="s">
        <v>74</v>
      </c>
      <c r="BP513" s="1" t="s">
        <v>74</v>
      </c>
      <c r="BQ513" s="1" t="s">
        <v>74</v>
      </c>
      <c r="BR513" s="1" t="s">
        <v>102</v>
      </c>
      <c r="BS513" s="1" t="s">
        <v>10598</v>
      </c>
      <c r="BT513" s="1" t="str">
        <f>HYPERLINK("https%3A%2F%2Fwww.webofscience.com%2Fwos%2Fwoscc%2Ffull-record%2FWOS:001324532300270","View Full Record in Web of Science")</f>
        <v>View Full Record in Web of Science</v>
      </c>
    </row>
    <row r="514" ht="12.75" customHeight="1">
      <c r="A514" s="1" t="s">
        <v>132</v>
      </c>
      <c r="B514" s="1" t="s">
        <v>10599</v>
      </c>
      <c r="C514" s="1" t="s">
        <v>74</v>
      </c>
      <c r="D514" s="1" t="s">
        <v>74</v>
      </c>
      <c r="E514" s="1" t="s">
        <v>74</v>
      </c>
      <c r="F514" s="1" t="s">
        <v>10600</v>
      </c>
      <c r="G514" s="1" t="s">
        <v>74</v>
      </c>
      <c r="H514" s="1" t="s">
        <v>74</v>
      </c>
      <c r="I514" s="1" t="s">
        <v>10601</v>
      </c>
      <c r="J514" s="1" t="s">
        <v>10602</v>
      </c>
      <c r="K514" s="1" t="s">
        <v>74</v>
      </c>
      <c r="L514" s="1" t="s">
        <v>74</v>
      </c>
      <c r="M514" s="1" t="s">
        <v>80</v>
      </c>
      <c r="N514" s="1" t="s">
        <v>1010</v>
      </c>
      <c r="O514" s="1" t="s">
        <v>74</v>
      </c>
      <c r="P514" s="1" t="s">
        <v>74</v>
      </c>
      <c r="Q514" s="1" t="s">
        <v>74</v>
      </c>
      <c r="R514" s="1" t="s">
        <v>74</v>
      </c>
      <c r="S514" s="1" t="s">
        <v>74</v>
      </c>
      <c r="T514" s="1" t="s">
        <v>10603</v>
      </c>
      <c r="U514" s="1" t="s">
        <v>74</v>
      </c>
      <c r="V514" s="1" t="s">
        <v>10604</v>
      </c>
      <c r="W514" s="1" t="s">
        <v>10605</v>
      </c>
      <c r="X514" s="1" t="s">
        <v>10606</v>
      </c>
      <c r="Y514" s="1" t="s">
        <v>10607</v>
      </c>
      <c r="Z514" s="1" t="s">
        <v>10608</v>
      </c>
      <c r="AA514" s="1" t="s">
        <v>74</v>
      </c>
      <c r="AB514" s="1" t="s">
        <v>74</v>
      </c>
      <c r="AC514" s="1" t="s">
        <v>74</v>
      </c>
      <c r="AD514" s="1" t="s">
        <v>74</v>
      </c>
      <c r="AE514" s="1" t="s">
        <v>74</v>
      </c>
      <c r="AF514" s="1" t="s">
        <v>74</v>
      </c>
      <c r="AG514" s="1">
        <v>52.0</v>
      </c>
      <c r="AH514" s="1">
        <v>0.0</v>
      </c>
      <c r="AI514" s="1">
        <v>0.0</v>
      </c>
      <c r="AJ514" s="1">
        <v>6.0</v>
      </c>
      <c r="AK514" s="1">
        <v>6.0</v>
      </c>
      <c r="AL514" s="1" t="s">
        <v>10609</v>
      </c>
      <c r="AM514" s="1" t="s">
        <v>3276</v>
      </c>
      <c r="AN514" s="1" t="s">
        <v>10610</v>
      </c>
      <c r="AO514" s="1" t="s">
        <v>74</v>
      </c>
      <c r="AP514" s="1" t="s">
        <v>10611</v>
      </c>
      <c r="AQ514" s="1" t="s">
        <v>74</v>
      </c>
      <c r="AR514" s="1" t="s">
        <v>10612</v>
      </c>
      <c r="AS514" s="1" t="s">
        <v>10613</v>
      </c>
      <c r="AT514" s="1" t="s">
        <v>74</v>
      </c>
      <c r="AU514" s="1">
        <v>2024.0</v>
      </c>
      <c r="AV514" s="1" t="s">
        <v>74</v>
      </c>
      <c r="AW514" s="1">
        <v>44.0</v>
      </c>
      <c r="AX514" s="1" t="s">
        <v>74</v>
      </c>
      <c r="AY514" s="1" t="s">
        <v>74</v>
      </c>
      <c r="AZ514" s="1" t="s">
        <v>474</v>
      </c>
      <c r="BA514" s="1" t="s">
        <v>74</v>
      </c>
      <c r="BB514" s="1" t="s">
        <v>10614</v>
      </c>
      <c r="BC514" s="1" t="s">
        <v>10615</v>
      </c>
      <c r="BD514" s="1" t="s">
        <v>74</v>
      </c>
      <c r="BE514" s="1" t="s">
        <v>10616</v>
      </c>
      <c r="BF514" s="2" t="str">
        <f>HYPERLINK("http://dx.doi.org/10.17829/turcom.1360264","http://dx.doi.org/10.17829/turcom.1360264")</f>
        <v>http://dx.doi.org/10.17829/turcom.1360264</v>
      </c>
      <c r="BG514" s="1" t="s">
        <v>74</v>
      </c>
      <c r="BH514" s="1" t="s">
        <v>74</v>
      </c>
      <c r="BI514" s="1">
        <v>20.0</v>
      </c>
      <c r="BJ514" s="1" t="s">
        <v>2183</v>
      </c>
      <c r="BK514" s="1" t="s">
        <v>172</v>
      </c>
      <c r="BL514" s="1" t="s">
        <v>2183</v>
      </c>
      <c r="BM514" s="1" t="s">
        <v>10617</v>
      </c>
      <c r="BN514" s="1" t="s">
        <v>74</v>
      </c>
      <c r="BO514" s="1" t="s">
        <v>2204</v>
      </c>
      <c r="BP514" s="1" t="s">
        <v>74</v>
      </c>
      <c r="BQ514" s="1" t="s">
        <v>74</v>
      </c>
      <c r="BR514" s="1" t="s">
        <v>102</v>
      </c>
      <c r="BS514" s="1" t="s">
        <v>10618</v>
      </c>
      <c r="BT514" s="1" t="str">
        <f>HYPERLINK("https%3A%2F%2Fwww.webofscience.com%2Fwos%2Fwoscc%2Ffull-record%2FWOS:001376727800007","View Full Record in Web of Science")</f>
        <v>View Full Record in Web of Science</v>
      </c>
    </row>
    <row r="515" ht="12.75" customHeight="1">
      <c r="A515" s="1" t="s">
        <v>132</v>
      </c>
      <c r="B515" s="1" t="s">
        <v>10619</v>
      </c>
      <c r="C515" s="1" t="s">
        <v>74</v>
      </c>
      <c r="D515" s="1" t="s">
        <v>74</v>
      </c>
      <c r="E515" s="1" t="s">
        <v>74</v>
      </c>
      <c r="F515" s="1" t="s">
        <v>10620</v>
      </c>
      <c r="G515" s="1" t="s">
        <v>74</v>
      </c>
      <c r="H515" s="1" t="s">
        <v>74</v>
      </c>
      <c r="I515" s="1" t="s">
        <v>10621</v>
      </c>
      <c r="J515" s="1" t="s">
        <v>5018</v>
      </c>
      <c r="K515" s="1" t="s">
        <v>74</v>
      </c>
      <c r="L515" s="1" t="s">
        <v>74</v>
      </c>
      <c r="M515" s="1" t="s">
        <v>80</v>
      </c>
      <c r="N515" s="1" t="s">
        <v>136</v>
      </c>
      <c r="O515" s="1" t="s">
        <v>74</v>
      </c>
      <c r="P515" s="1" t="s">
        <v>74</v>
      </c>
      <c r="Q515" s="1" t="s">
        <v>74</v>
      </c>
      <c r="R515" s="1" t="s">
        <v>74</v>
      </c>
      <c r="S515" s="1" t="s">
        <v>74</v>
      </c>
      <c r="T515" s="1" t="s">
        <v>10622</v>
      </c>
      <c r="U515" s="1" t="s">
        <v>10623</v>
      </c>
      <c r="V515" s="1" t="s">
        <v>10624</v>
      </c>
      <c r="W515" s="1" t="s">
        <v>10625</v>
      </c>
      <c r="X515" s="1" t="s">
        <v>10626</v>
      </c>
      <c r="Y515" s="1" t="s">
        <v>10627</v>
      </c>
      <c r="Z515" s="1" t="s">
        <v>10628</v>
      </c>
      <c r="AA515" s="1" t="s">
        <v>10629</v>
      </c>
      <c r="AB515" s="1" t="s">
        <v>74</v>
      </c>
      <c r="AC515" s="1" t="s">
        <v>10630</v>
      </c>
      <c r="AD515" s="1" t="s">
        <v>10630</v>
      </c>
      <c r="AE515" s="1" t="s">
        <v>3018</v>
      </c>
      <c r="AF515" s="1" t="s">
        <v>74</v>
      </c>
      <c r="AG515" s="1">
        <v>77.0</v>
      </c>
      <c r="AH515" s="1">
        <v>3.0</v>
      </c>
      <c r="AI515" s="1">
        <v>3.0</v>
      </c>
      <c r="AJ515" s="1">
        <v>46.0</v>
      </c>
      <c r="AK515" s="1">
        <v>97.0</v>
      </c>
      <c r="AL515" s="1" t="s">
        <v>1970</v>
      </c>
      <c r="AM515" s="1" t="s">
        <v>1658</v>
      </c>
      <c r="AN515" s="1" t="s">
        <v>1971</v>
      </c>
      <c r="AO515" s="1" t="s">
        <v>74</v>
      </c>
      <c r="AP515" s="1" t="s">
        <v>5029</v>
      </c>
      <c r="AQ515" s="1" t="s">
        <v>74</v>
      </c>
      <c r="AR515" s="1" t="s">
        <v>5030</v>
      </c>
      <c r="AS515" s="1" t="s">
        <v>5031</v>
      </c>
      <c r="AT515" s="1" t="s">
        <v>1301</v>
      </c>
      <c r="AU515" s="1">
        <v>2024.0</v>
      </c>
      <c r="AV515" s="1">
        <v>16.0</v>
      </c>
      <c r="AW515" s="1">
        <v>3.0</v>
      </c>
      <c r="AX515" s="1" t="s">
        <v>74</v>
      </c>
      <c r="AY515" s="1" t="s">
        <v>74</v>
      </c>
      <c r="AZ515" s="1" t="s">
        <v>74</v>
      </c>
      <c r="BA515" s="1" t="s">
        <v>74</v>
      </c>
      <c r="BB515" s="1" t="s">
        <v>74</v>
      </c>
      <c r="BC515" s="1" t="s">
        <v>74</v>
      </c>
      <c r="BD515" s="1">
        <v>1260.0</v>
      </c>
      <c r="BE515" s="1" t="s">
        <v>10631</v>
      </c>
      <c r="BF515" s="2" t="str">
        <f>HYPERLINK("http://dx.doi.org/10.3390/su16031260","http://dx.doi.org/10.3390/su16031260")</f>
        <v>http://dx.doi.org/10.3390/su16031260</v>
      </c>
      <c r="BG515" s="1" t="s">
        <v>74</v>
      </c>
      <c r="BH515" s="1" t="s">
        <v>74</v>
      </c>
      <c r="BI515" s="1">
        <v>23.0</v>
      </c>
      <c r="BJ515" s="1" t="s">
        <v>5033</v>
      </c>
      <c r="BK515" s="1" t="s">
        <v>783</v>
      </c>
      <c r="BL515" s="1" t="s">
        <v>3612</v>
      </c>
      <c r="BM515" s="1" t="s">
        <v>10632</v>
      </c>
      <c r="BN515" s="1" t="s">
        <v>74</v>
      </c>
      <c r="BO515" s="1" t="s">
        <v>174</v>
      </c>
      <c r="BP515" s="1" t="s">
        <v>74</v>
      </c>
      <c r="BQ515" s="1" t="s">
        <v>74</v>
      </c>
      <c r="BR515" s="1" t="s">
        <v>102</v>
      </c>
      <c r="BS515" s="1" t="s">
        <v>10633</v>
      </c>
      <c r="BT515" s="1" t="str">
        <f>HYPERLINK("https%3A%2F%2Fwww.webofscience.com%2Fwos%2Fwoscc%2Ffull-record%2FWOS:001159064900001","View Full Record in Web of Science")</f>
        <v>View Full Record in Web of Science</v>
      </c>
    </row>
    <row r="516" ht="12.75" customHeight="1">
      <c r="A516" s="1" t="s">
        <v>132</v>
      </c>
      <c r="B516" s="1" t="s">
        <v>10634</v>
      </c>
      <c r="C516" s="1" t="s">
        <v>74</v>
      </c>
      <c r="D516" s="1" t="s">
        <v>74</v>
      </c>
      <c r="E516" s="1" t="s">
        <v>74</v>
      </c>
      <c r="F516" s="1" t="s">
        <v>10635</v>
      </c>
      <c r="G516" s="1" t="s">
        <v>74</v>
      </c>
      <c r="H516" s="1" t="s">
        <v>74</v>
      </c>
      <c r="I516" s="1" t="s">
        <v>10636</v>
      </c>
      <c r="J516" s="1" t="s">
        <v>10637</v>
      </c>
      <c r="K516" s="1" t="s">
        <v>74</v>
      </c>
      <c r="L516" s="1" t="s">
        <v>74</v>
      </c>
      <c r="M516" s="1" t="s">
        <v>80</v>
      </c>
      <c r="N516" s="1" t="s">
        <v>10638</v>
      </c>
      <c r="O516" s="1" t="s">
        <v>74</v>
      </c>
      <c r="P516" s="1" t="s">
        <v>74</v>
      </c>
      <c r="Q516" s="1" t="s">
        <v>74</v>
      </c>
      <c r="R516" s="1" t="s">
        <v>74</v>
      </c>
      <c r="S516" s="1" t="s">
        <v>74</v>
      </c>
      <c r="T516" s="1" t="s">
        <v>10639</v>
      </c>
      <c r="U516" s="1" t="s">
        <v>10640</v>
      </c>
      <c r="V516" s="1" t="s">
        <v>10641</v>
      </c>
      <c r="W516" s="1" t="s">
        <v>10642</v>
      </c>
      <c r="X516" s="1" t="s">
        <v>10643</v>
      </c>
      <c r="Y516" s="1" t="s">
        <v>10644</v>
      </c>
      <c r="Z516" s="1" t="s">
        <v>10645</v>
      </c>
      <c r="AA516" s="1" t="s">
        <v>10646</v>
      </c>
      <c r="AB516" s="1" t="s">
        <v>10647</v>
      </c>
      <c r="AC516" s="1" t="s">
        <v>74</v>
      </c>
      <c r="AD516" s="1" t="s">
        <v>74</v>
      </c>
      <c r="AE516" s="1" t="s">
        <v>74</v>
      </c>
      <c r="AF516" s="1" t="s">
        <v>74</v>
      </c>
      <c r="AG516" s="1">
        <v>81.0</v>
      </c>
      <c r="AH516" s="1">
        <v>1.0</v>
      </c>
      <c r="AI516" s="1">
        <v>1.0</v>
      </c>
      <c r="AJ516" s="1">
        <v>7.0</v>
      </c>
      <c r="AK516" s="1">
        <v>7.0</v>
      </c>
      <c r="AL516" s="1" t="s">
        <v>192</v>
      </c>
      <c r="AM516" s="1" t="s">
        <v>864</v>
      </c>
      <c r="AN516" s="1" t="s">
        <v>865</v>
      </c>
      <c r="AO516" s="1" t="s">
        <v>10648</v>
      </c>
      <c r="AP516" s="1" t="s">
        <v>10649</v>
      </c>
      <c r="AQ516" s="1" t="s">
        <v>74</v>
      </c>
      <c r="AR516" s="1" t="s">
        <v>10650</v>
      </c>
      <c r="AS516" s="1" t="s">
        <v>10651</v>
      </c>
      <c r="AT516" s="1" t="s">
        <v>10652</v>
      </c>
      <c r="AU516" s="1">
        <v>2024.0</v>
      </c>
      <c r="AV516" s="1" t="s">
        <v>74</v>
      </c>
      <c r="AW516" s="1" t="s">
        <v>74</v>
      </c>
      <c r="AX516" s="1" t="s">
        <v>74</v>
      </c>
      <c r="AY516" s="1" t="s">
        <v>74</v>
      </c>
      <c r="AZ516" s="1" t="s">
        <v>74</v>
      </c>
      <c r="BA516" s="1" t="s">
        <v>74</v>
      </c>
      <c r="BB516" s="1" t="s">
        <v>74</v>
      </c>
      <c r="BC516" s="1" t="s">
        <v>74</v>
      </c>
      <c r="BD516" s="1" t="s">
        <v>74</v>
      </c>
      <c r="BE516" s="1" t="s">
        <v>10653</v>
      </c>
      <c r="BF516" s="2" t="str">
        <f>HYPERLINK("http://dx.doi.org/10.1007/s10805-024-09579-8","http://dx.doi.org/10.1007/s10805-024-09579-8")</f>
        <v>http://dx.doi.org/10.1007/s10805-024-09579-8</v>
      </c>
      <c r="BG516" s="1" t="s">
        <v>74</v>
      </c>
      <c r="BH516" s="1" t="s">
        <v>2753</v>
      </c>
      <c r="BI516" s="1">
        <v>18.0</v>
      </c>
      <c r="BJ516" s="1" t="s">
        <v>3240</v>
      </c>
      <c r="BK516" s="1" t="s">
        <v>172</v>
      </c>
      <c r="BL516" s="1" t="s">
        <v>100</v>
      </c>
      <c r="BM516" s="1" t="s">
        <v>10654</v>
      </c>
      <c r="BN516" s="1" t="s">
        <v>74</v>
      </c>
      <c r="BO516" s="1" t="s">
        <v>74</v>
      </c>
      <c r="BP516" s="1" t="s">
        <v>74</v>
      </c>
      <c r="BQ516" s="1" t="s">
        <v>74</v>
      </c>
      <c r="BR516" s="1" t="s">
        <v>102</v>
      </c>
      <c r="BS516" s="1" t="s">
        <v>10655</v>
      </c>
      <c r="BT516" s="1" t="str">
        <f>HYPERLINK("https%3A%2F%2Fwww.webofscience.com%2Fwos%2Fwoscc%2Ffull-record%2FWOS:001338076300001","View Full Record in Web of Science")</f>
        <v>View Full Record in Web of Science</v>
      </c>
    </row>
    <row r="517" ht="12.75" customHeight="1">
      <c r="A517" s="1" t="s">
        <v>132</v>
      </c>
      <c r="B517" s="1" t="s">
        <v>10656</v>
      </c>
      <c r="C517" s="1" t="s">
        <v>74</v>
      </c>
      <c r="D517" s="1" t="s">
        <v>74</v>
      </c>
      <c r="E517" s="1" t="s">
        <v>74</v>
      </c>
      <c r="F517" s="1" t="s">
        <v>10657</v>
      </c>
      <c r="G517" s="1" t="s">
        <v>74</v>
      </c>
      <c r="H517" s="1" t="s">
        <v>74</v>
      </c>
      <c r="I517" s="1" t="s">
        <v>10658</v>
      </c>
      <c r="J517" s="1" t="s">
        <v>10659</v>
      </c>
      <c r="K517" s="1" t="s">
        <v>74</v>
      </c>
      <c r="L517" s="1" t="s">
        <v>74</v>
      </c>
      <c r="M517" s="1" t="s">
        <v>80</v>
      </c>
      <c r="N517" s="1" t="s">
        <v>136</v>
      </c>
      <c r="O517" s="1" t="s">
        <v>74</v>
      </c>
      <c r="P517" s="1" t="s">
        <v>74</v>
      </c>
      <c r="Q517" s="1" t="s">
        <v>74</v>
      </c>
      <c r="R517" s="1" t="s">
        <v>74</v>
      </c>
      <c r="S517" s="1" t="s">
        <v>74</v>
      </c>
      <c r="T517" s="1" t="s">
        <v>10660</v>
      </c>
      <c r="U517" s="1" t="s">
        <v>10661</v>
      </c>
      <c r="V517" s="1" t="s">
        <v>10662</v>
      </c>
      <c r="W517" s="1" t="s">
        <v>10663</v>
      </c>
      <c r="X517" s="1" t="s">
        <v>10664</v>
      </c>
      <c r="Y517" s="1" t="s">
        <v>10665</v>
      </c>
      <c r="Z517" s="1" t="s">
        <v>74</v>
      </c>
      <c r="AA517" s="1" t="s">
        <v>10666</v>
      </c>
      <c r="AB517" s="1" t="s">
        <v>10667</v>
      </c>
      <c r="AC517" s="1" t="s">
        <v>74</v>
      </c>
      <c r="AD517" s="1" t="s">
        <v>74</v>
      </c>
      <c r="AE517" s="1" t="s">
        <v>74</v>
      </c>
      <c r="AF517" s="1" t="s">
        <v>74</v>
      </c>
      <c r="AG517" s="1">
        <v>146.0</v>
      </c>
      <c r="AH517" s="1">
        <v>39.0</v>
      </c>
      <c r="AI517" s="1">
        <v>41.0</v>
      </c>
      <c r="AJ517" s="1">
        <v>43.0</v>
      </c>
      <c r="AK517" s="1">
        <v>322.0</v>
      </c>
      <c r="AL517" s="1" t="s">
        <v>10668</v>
      </c>
      <c r="AM517" s="1" t="s">
        <v>10669</v>
      </c>
      <c r="AN517" s="1" t="s">
        <v>10670</v>
      </c>
      <c r="AO517" s="1" t="s">
        <v>10671</v>
      </c>
      <c r="AP517" s="1" t="s">
        <v>10672</v>
      </c>
      <c r="AQ517" s="1" t="s">
        <v>74</v>
      </c>
      <c r="AR517" s="1" t="s">
        <v>10673</v>
      </c>
      <c r="AS517" s="1" t="s">
        <v>10674</v>
      </c>
      <c r="AT517" s="1" t="s">
        <v>6623</v>
      </c>
      <c r="AU517" s="1">
        <v>2021.0</v>
      </c>
      <c r="AV517" s="1">
        <v>29.0</v>
      </c>
      <c r="AW517" s="1">
        <v>4.0</v>
      </c>
      <c r="AX517" s="1" t="s">
        <v>74</v>
      </c>
      <c r="AY517" s="1" t="s">
        <v>74</v>
      </c>
      <c r="AZ517" s="1" t="s">
        <v>74</v>
      </c>
      <c r="BA517" s="1" t="s">
        <v>74</v>
      </c>
      <c r="BB517" s="1">
        <v>221.0</v>
      </c>
      <c r="BC517" s="1">
        <v>246.0</v>
      </c>
      <c r="BD517" s="1" t="s">
        <v>74</v>
      </c>
      <c r="BE517" s="1" t="s">
        <v>10675</v>
      </c>
      <c r="BF517" s="2" t="str">
        <f>HYPERLINK("http://dx.doi.org/10.4018/JGIM.20210701.oa10","http://dx.doi.org/10.4018/JGIM.20210701.oa10")</f>
        <v>http://dx.doi.org/10.4018/JGIM.20210701.oa10</v>
      </c>
      <c r="BG517" s="1" t="s">
        <v>74</v>
      </c>
      <c r="BH517" s="1" t="s">
        <v>74</v>
      </c>
      <c r="BI517" s="1">
        <v>26.0</v>
      </c>
      <c r="BJ517" s="1" t="s">
        <v>358</v>
      </c>
      <c r="BK517" s="1" t="s">
        <v>203</v>
      </c>
      <c r="BL517" s="1" t="s">
        <v>358</v>
      </c>
      <c r="BM517" s="1" t="s">
        <v>10676</v>
      </c>
      <c r="BN517" s="1" t="s">
        <v>74</v>
      </c>
      <c r="BO517" s="1" t="s">
        <v>174</v>
      </c>
      <c r="BP517" s="1" t="s">
        <v>74</v>
      </c>
      <c r="BQ517" s="1" t="s">
        <v>74</v>
      </c>
      <c r="BR517" s="1" t="s">
        <v>102</v>
      </c>
      <c r="BS517" s="1" t="s">
        <v>10677</v>
      </c>
      <c r="BT517" s="1" t="str">
        <f>HYPERLINK("https%3A%2F%2Fwww.webofscience.com%2Fwos%2Fwoscc%2Ffull-record%2FWOS:000649479400010","View Full Record in Web of Science")</f>
        <v>View Full Record in Web of Science</v>
      </c>
    </row>
    <row r="518" ht="12.75" customHeight="1">
      <c r="A518" s="1" t="s">
        <v>132</v>
      </c>
      <c r="B518" s="1" t="s">
        <v>10678</v>
      </c>
      <c r="C518" s="1" t="s">
        <v>74</v>
      </c>
      <c r="D518" s="1" t="s">
        <v>74</v>
      </c>
      <c r="E518" s="1" t="s">
        <v>74</v>
      </c>
      <c r="F518" s="1" t="s">
        <v>10679</v>
      </c>
      <c r="G518" s="1" t="s">
        <v>74</v>
      </c>
      <c r="H518" s="1" t="s">
        <v>74</v>
      </c>
      <c r="I518" s="1" t="s">
        <v>10680</v>
      </c>
      <c r="J518" s="1" t="s">
        <v>8412</v>
      </c>
      <c r="K518" s="1" t="s">
        <v>74</v>
      </c>
      <c r="L518" s="1" t="s">
        <v>74</v>
      </c>
      <c r="M518" s="1" t="s">
        <v>80</v>
      </c>
      <c r="N518" s="1" t="s">
        <v>136</v>
      </c>
      <c r="O518" s="1" t="s">
        <v>74</v>
      </c>
      <c r="P518" s="1" t="s">
        <v>74</v>
      </c>
      <c r="Q518" s="1" t="s">
        <v>74</v>
      </c>
      <c r="R518" s="1" t="s">
        <v>74</v>
      </c>
      <c r="S518" s="1" t="s">
        <v>74</v>
      </c>
      <c r="T518" s="1" t="s">
        <v>10681</v>
      </c>
      <c r="U518" s="1" t="s">
        <v>10682</v>
      </c>
      <c r="V518" s="1" t="s">
        <v>10683</v>
      </c>
      <c r="W518" s="1" t="s">
        <v>10684</v>
      </c>
      <c r="X518" s="1" t="s">
        <v>10685</v>
      </c>
      <c r="Y518" s="1" t="s">
        <v>10686</v>
      </c>
      <c r="Z518" s="1" t="s">
        <v>10687</v>
      </c>
      <c r="AA518" s="1" t="s">
        <v>10688</v>
      </c>
      <c r="AB518" s="1" t="s">
        <v>10689</v>
      </c>
      <c r="AC518" s="1" t="s">
        <v>74</v>
      </c>
      <c r="AD518" s="1" t="s">
        <v>74</v>
      </c>
      <c r="AE518" s="1" t="s">
        <v>74</v>
      </c>
      <c r="AF518" s="1" t="s">
        <v>74</v>
      </c>
      <c r="AG518" s="1">
        <v>47.0</v>
      </c>
      <c r="AH518" s="1">
        <v>2.0</v>
      </c>
      <c r="AI518" s="1">
        <v>2.0</v>
      </c>
      <c r="AJ518" s="1">
        <v>12.0</v>
      </c>
      <c r="AK518" s="1">
        <v>13.0</v>
      </c>
      <c r="AL518" s="1" t="s">
        <v>8421</v>
      </c>
      <c r="AM518" s="1" t="s">
        <v>8422</v>
      </c>
      <c r="AN518" s="1" t="s">
        <v>8423</v>
      </c>
      <c r="AO518" s="1" t="s">
        <v>8424</v>
      </c>
      <c r="AP518" s="1" t="s">
        <v>74</v>
      </c>
      <c r="AQ518" s="1" t="s">
        <v>74</v>
      </c>
      <c r="AR518" s="1" t="s">
        <v>8425</v>
      </c>
      <c r="AS518" s="1" t="s">
        <v>8426</v>
      </c>
      <c r="AT518" s="1" t="s">
        <v>74</v>
      </c>
      <c r="AU518" s="1">
        <v>2024.0</v>
      </c>
      <c r="AV518" s="1">
        <v>37.0</v>
      </c>
      <c r="AW518" s="1">
        <v>2.0</v>
      </c>
      <c r="AX518" s="1" t="s">
        <v>74</v>
      </c>
      <c r="AY518" s="1" t="s">
        <v>74</v>
      </c>
      <c r="AZ518" s="1" t="s">
        <v>74</v>
      </c>
      <c r="BA518" s="1" t="s">
        <v>74</v>
      </c>
      <c r="BB518" s="1">
        <v>247.0</v>
      </c>
      <c r="BC518" s="1">
        <v>259.0</v>
      </c>
      <c r="BD518" s="1" t="s">
        <v>74</v>
      </c>
      <c r="BE518" s="1" t="s">
        <v>10690</v>
      </c>
      <c r="BF518" s="2" t="str">
        <f>HYPERLINK("http://dx.doi.org/10.15581/003.37.2.247-259","http://dx.doi.org/10.15581/003.37.2.247-259")</f>
        <v>http://dx.doi.org/10.15581/003.37.2.247-259</v>
      </c>
      <c r="BG518" s="1" t="s">
        <v>74</v>
      </c>
      <c r="BH518" s="1" t="s">
        <v>74</v>
      </c>
      <c r="BI518" s="1">
        <v>13.0</v>
      </c>
      <c r="BJ518" s="1" t="s">
        <v>2183</v>
      </c>
      <c r="BK518" s="1" t="s">
        <v>172</v>
      </c>
      <c r="BL518" s="1" t="s">
        <v>2183</v>
      </c>
      <c r="BM518" s="1" t="s">
        <v>8428</v>
      </c>
      <c r="BN518" s="1" t="s">
        <v>74</v>
      </c>
      <c r="BO518" s="1" t="s">
        <v>1161</v>
      </c>
      <c r="BP518" s="1" t="s">
        <v>74</v>
      </c>
      <c r="BQ518" s="1" t="s">
        <v>74</v>
      </c>
      <c r="BR518" s="1" t="s">
        <v>102</v>
      </c>
      <c r="BS518" s="1" t="s">
        <v>10691</v>
      </c>
      <c r="BT518" s="1" t="str">
        <f>HYPERLINK("https%3A%2F%2Fwww.webofscience.com%2Fwos%2Fwoscc%2Ffull-record%2FWOS:001223517200007","View Full Record in Web of Science")</f>
        <v>View Full Record in Web of Science</v>
      </c>
    </row>
    <row r="519" ht="12.75" customHeight="1">
      <c r="A519" s="1" t="s">
        <v>132</v>
      </c>
      <c r="B519" s="1" t="s">
        <v>10692</v>
      </c>
      <c r="C519" s="1" t="s">
        <v>74</v>
      </c>
      <c r="D519" s="1" t="s">
        <v>74</v>
      </c>
      <c r="E519" s="1" t="s">
        <v>74</v>
      </c>
      <c r="F519" s="1" t="s">
        <v>10693</v>
      </c>
      <c r="G519" s="1" t="s">
        <v>74</v>
      </c>
      <c r="H519" s="1" t="s">
        <v>74</v>
      </c>
      <c r="I519" s="1" t="s">
        <v>10694</v>
      </c>
      <c r="J519" s="1" t="s">
        <v>10695</v>
      </c>
      <c r="K519" s="1" t="s">
        <v>74</v>
      </c>
      <c r="L519" s="1" t="s">
        <v>74</v>
      </c>
      <c r="M519" s="1" t="s">
        <v>80</v>
      </c>
      <c r="N519" s="1" t="s">
        <v>338</v>
      </c>
      <c r="O519" s="1" t="s">
        <v>74</v>
      </c>
      <c r="P519" s="1" t="s">
        <v>74</v>
      </c>
      <c r="Q519" s="1" t="s">
        <v>74</v>
      </c>
      <c r="R519" s="1" t="s">
        <v>74</v>
      </c>
      <c r="S519" s="1" t="s">
        <v>74</v>
      </c>
      <c r="T519" s="1" t="s">
        <v>10696</v>
      </c>
      <c r="U519" s="1" t="s">
        <v>74</v>
      </c>
      <c r="V519" s="1" t="s">
        <v>10697</v>
      </c>
      <c r="W519" s="1" t="s">
        <v>10698</v>
      </c>
      <c r="X519" s="1" t="s">
        <v>10699</v>
      </c>
      <c r="Y519" s="1" t="s">
        <v>10700</v>
      </c>
      <c r="Z519" s="1" t="s">
        <v>10701</v>
      </c>
      <c r="AA519" s="1" t="s">
        <v>74</v>
      </c>
      <c r="AB519" s="1" t="s">
        <v>74</v>
      </c>
      <c r="AC519" s="1" t="s">
        <v>74</v>
      </c>
      <c r="AD519" s="1" t="s">
        <v>74</v>
      </c>
      <c r="AE519" s="1" t="s">
        <v>74</v>
      </c>
      <c r="AF519" s="1" t="s">
        <v>74</v>
      </c>
      <c r="AG519" s="1">
        <v>13.0</v>
      </c>
      <c r="AH519" s="1">
        <v>0.0</v>
      </c>
      <c r="AI519" s="1">
        <v>0.0</v>
      </c>
      <c r="AJ519" s="1">
        <v>1.0</v>
      </c>
      <c r="AK519" s="1">
        <v>1.0</v>
      </c>
      <c r="AL519" s="1" t="s">
        <v>192</v>
      </c>
      <c r="AM519" s="1" t="s">
        <v>193</v>
      </c>
      <c r="AN519" s="1" t="s">
        <v>194</v>
      </c>
      <c r="AO519" s="1" t="s">
        <v>10702</v>
      </c>
      <c r="AP519" s="1" t="s">
        <v>10703</v>
      </c>
      <c r="AQ519" s="1" t="s">
        <v>74</v>
      </c>
      <c r="AR519" s="1" t="s">
        <v>10704</v>
      </c>
      <c r="AS519" s="1" t="s">
        <v>10705</v>
      </c>
      <c r="AT519" s="1" t="s">
        <v>10706</v>
      </c>
      <c r="AU519" s="1">
        <v>2024.0</v>
      </c>
      <c r="AV519" s="1" t="s">
        <v>74</v>
      </c>
      <c r="AW519" s="1" t="s">
        <v>74</v>
      </c>
      <c r="AX519" s="1" t="s">
        <v>74</v>
      </c>
      <c r="AY519" s="1" t="s">
        <v>74</v>
      </c>
      <c r="AZ519" s="1" t="s">
        <v>74</v>
      </c>
      <c r="BA519" s="1" t="s">
        <v>74</v>
      </c>
      <c r="BB519" s="1" t="s">
        <v>74</v>
      </c>
      <c r="BC519" s="1" t="s">
        <v>74</v>
      </c>
      <c r="BD519" s="1" t="s">
        <v>74</v>
      </c>
      <c r="BE519" s="1" t="s">
        <v>10707</v>
      </c>
      <c r="BF519" s="2" t="str">
        <f>HYPERLINK("http://dx.doi.org/10.1007/s00405-024-09148-0","http://dx.doi.org/10.1007/s00405-024-09148-0")</f>
        <v>http://dx.doi.org/10.1007/s00405-024-09148-0</v>
      </c>
      <c r="BG519" s="1" t="s">
        <v>74</v>
      </c>
      <c r="BH519" s="1" t="s">
        <v>2788</v>
      </c>
      <c r="BI519" s="1">
        <v>5.0</v>
      </c>
      <c r="BJ519" s="1" t="s">
        <v>10708</v>
      </c>
      <c r="BK519" s="1" t="s">
        <v>149</v>
      </c>
      <c r="BL519" s="1" t="s">
        <v>10708</v>
      </c>
      <c r="BM519" s="1" t="s">
        <v>10709</v>
      </c>
      <c r="BN519" s="1">
        <v>3.966822E7</v>
      </c>
      <c r="BO519" s="1" t="s">
        <v>74</v>
      </c>
      <c r="BP519" s="1" t="s">
        <v>74</v>
      </c>
      <c r="BQ519" s="1" t="s">
        <v>74</v>
      </c>
      <c r="BR519" s="1" t="s">
        <v>102</v>
      </c>
      <c r="BS519" s="1" t="s">
        <v>10710</v>
      </c>
      <c r="BT519" s="1" t="str">
        <f>HYPERLINK("https%3A%2F%2Fwww.webofscience.com%2Fwos%2Fwoscc%2Ffull-record%2FWOS:001376264100001","View Full Record in Web of Science")</f>
        <v>View Full Record in Web of Science</v>
      </c>
    </row>
    <row r="520" ht="12.75" customHeight="1">
      <c r="A520" s="1" t="s">
        <v>132</v>
      </c>
      <c r="B520" s="1" t="s">
        <v>10711</v>
      </c>
      <c r="C520" s="1" t="s">
        <v>74</v>
      </c>
      <c r="D520" s="1" t="s">
        <v>74</v>
      </c>
      <c r="E520" s="1" t="s">
        <v>74</v>
      </c>
      <c r="F520" s="1" t="s">
        <v>10712</v>
      </c>
      <c r="G520" s="1" t="s">
        <v>74</v>
      </c>
      <c r="H520" s="1" t="s">
        <v>74</v>
      </c>
      <c r="I520" s="1" t="s">
        <v>10713</v>
      </c>
      <c r="J520" s="1" t="s">
        <v>10714</v>
      </c>
      <c r="K520" s="1" t="s">
        <v>74</v>
      </c>
      <c r="L520" s="1" t="s">
        <v>74</v>
      </c>
      <c r="M520" s="1" t="s">
        <v>80</v>
      </c>
      <c r="N520" s="1" t="s">
        <v>136</v>
      </c>
      <c r="O520" s="1" t="s">
        <v>74</v>
      </c>
      <c r="P520" s="1" t="s">
        <v>74</v>
      </c>
      <c r="Q520" s="1" t="s">
        <v>74</v>
      </c>
      <c r="R520" s="1" t="s">
        <v>74</v>
      </c>
      <c r="S520" s="1" t="s">
        <v>74</v>
      </c>
      <c r="T520" s="1" t="s">
        <v>10715</v>
      </c>
      <c r="U520" s="1" t="s">
        <v>74</v>
      </c>
      <c r="V520" s="1" t="s">
        <v>10716</v>
      </c>
      <c r="W520" s="1" t="s">
        <v>10717</v>
      </c>
      <c r="X520" s="1" t="s">
        <v>10718</v>
      </c>
      <c r="Y520" s="1" t="s">
        <v>10719</v>
      </c>
      <c r="Z520" s="1" t="s">
        <v>74</v>
      </c>
      <c r="AA520" s="1" t="s">
        <v>10720</v>
      </c>
      <c r="AB520" s="1" t="s">
        <v>10721</v>
      </c>
      <c r="AC520" s="1" t="s">
        <v>74</v>
      </c>
      <c r="AD520" s="1" t="s">
        <v>74</v>
      </c>
      <c r="AE520" s="1" t="s">
        <v>74</v>
      </c>
      <c r="AF520" s="1" t="s">
        <v>74</v>
      </c>
      <c r="AG520" s="1">
        <v>19.0</v>
      </c>
      <c r="AH520" s="1">
        <v>0.0</v>
      </c>
      <c r="AI520" s="1">
        <v>0.0</v>
      </c>
      <c r="AJ520" s="1">
        <v>2.0</v>
      </c>
      <c r="AK520" s="1">
        <v>2.0</v>
      </c>
      <c r="AL520" s="1" t="s">
        <v>10722</v>
      </c>
      <c r="AM520" s="1" t="s">
        <v>10723</v>
      </c>
      <c r="AN520" s="1" t="s">
        <v>10724</v>
      </c>
      <c r="AO520" s="1" t="s">
        <v>10725</v>
      </c>
      <c r="AP520" s="1" t="s">
        <v>74</v>
      </c>
      <c r="AQ520" s="1" t="s">
        <v>74</v>
      </c>
      <c r="AR520" s="1" t="s">
        <v>10726</v>
      </c>
      <c r="AS520" s="1" t="s">
        <v>10726</v>
      </c>
      <c r="AT520" s="1" t="s">
        <v>74</v>
      </c>
      <c r="AU520" s="1">
        <v>2024.0</v>
      </c>
      <c r="AV520" s="1">
        <v>14.0</v>
      </c>
      <c r="AW520" s="1" t="s">
        <v>74</v>
      </c>
      <c r="AX520" s="1" t="s">
        <v>74</v>
      </c>
      <c r="AY520" s="1" t="s">
        <v>74</v>
      </c>
      <c r="AZ520" s="1" t="s">
        <v>474</v>
      </c>
      <c r="BA520" s="1" t="s">
        <v>74</v>
      </c>
      <c r="BB520" s="1">
        <v>53.0</v>
      </c>
      <c r="BC520" s="1">
        <v>70.0</v>
      </c>
      <c r="BD520" s="1" t="s">
        <v>74</v>
      </c>
      <c r="BE520" s="1" t="s">
        <v>10727</v>
      </c>
      <c r="BF520" s="2" t="str">
        <f>HYPERLINK("http://dx.doi.org/10.2423/i22394303v14Sp53","http://dx.doi.org/10.2423/i22394303v14Sp53")</f>
        <v>http://dx.doi.org/10.2423/i22394303v14Sp53</v>
      </c>
      <c r="BG520" s="1" t="s">
        <v>74</v>
      </c>
      <c r="BH520" s="1" t="s">
        <v>74</v>
      </c>
      <c r="BI520" s="1">
        <v>18.0</v>
      </c>
      <c r="BJ520" s="1" t="s">
        <v>9054</v>
      </c>
      <c r="BK520" s="1" t="s">
        <v>172</v>
      </c>
      <c r="BL520" s="1" t="s">
        <v>9055</v>
      </c>
      <c r="BM520" s="1" t="s">
        <v>10728</v>
      </c>
      <c r="BN520" s="1" t="s">
        <v>74</v>
      </c>
      <c r="BO520" s="1" t="s">
        <v>74</v>
      </c>
      <c r="BP520" s="1" t="s">
        <v>74</v>
      </c>
      <c r="BQ520" s="1" t="s">
        <v>74</v>
      </c>
      <c r="BR520" s="1" t="s">
        <v>102</v>
      </c>
      <c r="BS520" s="1" t="s">
        <v>10729</v>
      </c>
      <c r="BT520" s="1" t="str">
        <f>HYPERLINK("https%3A%2F%2Fwww.webofscience.com%2Fwos%2Fwoscc%2Ffull-record%2FWOS:001382003100009","View Full Record in Web of Science")</f>
        <v>View Full Record in Web of Science</v>
      </c>
    </row>
    <row r="521" ht="12.75" customHeight="1">
      <c r="A521" s="1" t="s">
        <v>132</v>
      </c>
      <c r="B521" s="1" t="s">
        <v>10730</v>
      </c>
      <c r="C521" s="1" t="s">
        <v>74</v>
      </c>
      <c r="D521" s="1" t="s">
        <v>74</v>
      </c>
      <c r="E521" s="1" t="s">
        <v>74</v>
      </c>
      <c r="F521" s="1" t="s">
        <v>10731</v>
      </c>
      <c r="G521" s="1" t="s">
        <v>74</v>
      </c>
      <c r="H521" s="1" t="s">
        <v>74</v>
      </c>
      <c r="I521" s="1" t="s">
        <v>10732</v>
      </c>
      <c r="J521" s="1" t="s">
        <v>10733</v>
      </c>
      <c r="K521" s="1" t="s">
        <v>74</v>
      </c>
      <c r="L521" s="1" t="s">
        <v>74</v>
      </c>
      <c r="M521" s="1" t="s">
        <v>80</v>
      </c>
      <c r="N521" s="1" t="s">
        <v>136</v>
      </c>
      <c r="O521" s="1" t="s">
        <v>74</v>
      </c>
      <c r="P521" s="1" t="s">
        <v>74</v>
      </c>
      <c r="Q521" s="1" t="s">
        <v>74</v>
      </c>
      <c r="R521" s="1" t="s">
        <v>74</v>
      </c>
      <c r="S521" s="1" t="s">
        <v>74</v>
      </c>
      <c r="T521" s="1" t="s">
        <v>10734</v>
      </c>
      <c r="U521" s="1" t="s">
        <v>74</v>
      </c>
      <c r="V521" s="1" t="s">
        <v>10735</v>
      </c>
      <c r="W521" s="1" t="s">
        <v>10736</v>
      </c>
      <c r="X521" s="1" t="s">
        <v>10737</v>
      </c>
      <c r="Y521" s="1" t="s">
        <v>10738</v>
      </c>
      <c r="Z521" s="1" t="s">
        <v>10739</v>
      </c>
      <c r="AA521" s="1" t="s">
        <v>10740</v>
      </c>
      <c r="AB521" s="1" t="s">
        <v>10741</v>
      </c>
      <c r="AC521" s="1" t="s">
        <v>10742</v>
      </c>
      <c r="AD521" s="1" t="s">
        <v>10743</v>
      </c>
      <c r="AE521" s="1" t="s">
        <v>10744</v>
      </c>
      <c r="AF521" s="1" t="s">
        <v>74</v>
      </c>
      <c r="AG521" s="1">
        <v>34.0</v>
      </c>
      <c r="AH521" s="1">
        <v>1.0</v>
      </c>
      <c r="AI521" s="1">
        <v>1.0</v>
      </c>
      <c r="AJ521" s="1">
        <v>2.0</v>
      </c>
      <c r="AK521" s="1">
        <v>9.0</v>
      </c>
      <c r="AL521" s="1" t="s">
        <v>10745</v>
      </c>
      <c r="AM521" s="1" t="s">
        <v>10746</v>
      </c>
      <c r="AN521" s="1" t="s">
        <v>10747</v>
      </c>
      <c r="AO521" s="1" t="s">
        <v>10748</v>
      </c>
      <c r="AP521" s="1" t="s">
        <v>74</v>
      </c>
      <c r="AQ521" s="1" t="s">
        <v>74</v>
      </c>
      <c r="AR521" s="1" t="s">
        <v>10749</v>
      </c>
      <c r="AS521" s="1" t="s">
        <v>10750</v>
      </c>
      <c r="AT521" s="1" t="s">
        <v>74</v>
      </c>
      <c r="AU521" s="1">
        <v>2022.0</v>
      </c>
      <c r="AV521" s="1" t="s">
        <v>74</v>
      </c>
      <c r="AW521" s="1">
        <v>2.0</v>
      </c>
      <c r="AX521" s="1" t="s">
        <v>74</v>
      </c>
      <c r="AY521" s="1" t="s">
        <v>74</v>
      </c>
      <c r="AZ521" s="1" t="s">
        <v>74</v>
      </c>
      <c r="BA521" s="1" t="s">
        <v>74</v>
      </c>
      <c r="BB521" s="1">
        <v>509.0</v>
      </c>
      <c r="BC521" s="1">
        <v>524.0</v>
      </c>
      <c r="BD521" s="1" t="s">
        <v>74</v>
      </c>
      <c r="BE521" s="1" t="s">
        <v>74</v>
      </c>
      <c r="BF521" s="1" t="s">
        <v>74</v>
      </c>
      <c r="BG521" s="1" t="s">
        <v>74</v>
      </c>
      <c r="BH521" s="1" t="s">
        <v>74</v>
      </c>
      <c r="BI521" s="1">
        <v>16.0</v>
      </c>
      <c r="BJ521" s="1" t="s">
        <v>915</v>
      </c>
      <c r="BK521" s="1" t="s">
        <v>172</v>
      </c>
      <c r="BL521" s="1" t="s">
        <v>916</v>
      </c>
      <c r="BM521" s="1" t="s">
        <v>10751</v>
      </c>
      <c r="BN521" s="1" t="s">
        <v>74</v>
      </c>
      <c r="BO521" s="1" t="s">
        <v>74</v>
      </c>
      <c r="BP521" s="1" t="s">
        <v>74</v>
      </c>
      <c r="BQ521" s="1" t="s">
        <v>74</v>
      </c>
      <c r="BR521" s="1" t="s">
        <v>102</v>
      </c>
      <c r="BS521" s="1" t="s">
        <v>10752</v>
      </c>
      <c r="BT521" s="1" t="str">
        <f>HYPERLINK("https%3A%2F%2Fwww.webofscience.com%2Fwos%2Fwoscc%2Ffull-record%2FWOS:000983118900029","View Full Record in Web of Science")</f>
        <v>View Full Record in Web of Science</v>
      </c>
    </row>
    <row r="522" ht="12.75" customHeight="1">
      <c r="A522" s="1" t="s">
        <v>132</v>
      </c>
      <c r="B522" s="1" t="s">
        <v>10753</v>
      </c>
      <c r="C522" s="1" t="s">
        <v>74</v>
      </c>
      <c r="D522" s="1" t="s">
        <v>74</v>
      </c>
      <c r="E522" s="1" t="s">
        <v>74</v>
      </c>
      <c r="F522" s="1" t="s">
        <v>10754</v>
      </c>
      <c r="G522" s="1" t="s">
        <v>74</v>
      </c>
      <c r="H522" s="1" t="s">
        <v>74</v>
      </c>
      <c r="I522" s="1" t="s">
        <v>10755</v>
      </c>
      <c r="J522" s="1" t="s">
        <v>10756</v>
      </c>
      <c r="K522" s="1" t="s">
        <v>74</v>
      </c>
      <c r="L522" s="1" t="s">
        <v>74</v>
      </c>
      <c r="M522" s="1" t="s">
        <v>80</v>
      </c>
      <c r="N522" s="1" t="s">
        <v>136</v>
      </c>
      <c r="O522" s="1" t="s">
        <v>74</v>
      </c>
      <c r="P522" s="1" t="s">
        <v>74</v>
      </c>
      <c r="Q522" s="1" t="s">
        <v>74</v>
      </c>
      <c r="R522" s="1" t="s">
        <v>74</v>
      </c>
      <c r="S522" s="1" t="s">
        <v>74</v>
      </c>
      <c r="T522" s="1" t="s">
        <v>10757</v>
      </c>
      <c r="U522" s="1" t="s">
        <v>74</v>
      </c>
      <c r="V522" s="1" t="s">
        <v>10758</v>
      </c>
      <c r="W522" s="1" t="s">
        <v>10759</v>
      </c>
      <c r="X522" s="1" t="s">
        <v>10760</v>
      </c>
      <c r="Y522" s="1" t="s">
        <v>10761</v>
      </c>
      <c r="Z522" s="1" t="s">
        <v>10762</v>
      </c>
      <c r="AA522" s="1" t="s">
        <v>10763</v>
      </c>
      <c r="AB522" s="1" t="s">
        <v>10764</v>
      </c>
      <c r="AC522" s="1" t="s">
        <v>74</v>
      </c>
      <c r="AD522" s="1" t="s">
        <v>74</v>
      </c>
      <c r="AE522" s="1" t="s">
        <v>74</v>
      </c>
      <c r="AF522" s="1" t="s">
        <v>74</v>
      </c>
      <c r="AG522" s="1">
        <v>33.0</v>
      </c>
      <c r="AH522" s="1">
        <v>8.0</v>
      </c>
      <c r="AI522" s="1">
        <v>8.0</v>
      </c>
      <c r="AJ522" s="1">
        <v>12.0</v>
      </c>
      <c r="AK522" s="1">
        <v>57.0</v>
      </c>
      <c r="AL522" s="1" t="s">
        <v>1970</v>
      </c>
      <c r="AM522" s="1" t="s">
        <v>1658</v>
      </c>
      <c r="AN522" s="1" t="s">
        <v>1971</v>
      </c>
      <c r="AO522" s="1" t="s">
        <v>10765</v>
      </c>
      <c r="AP522" s="1" t="s">
        <v>10766</v>
      </c>
      <c r="AQ522" s="1" t="s">
        <v>74</v>
      </c>
      <c r="AR522" s="1" t="s">
        <v>10767</v>
      </c>
      <c r="AS522" s="1" t="s">
        <v>10768</v>
      </c>
      <c r="AT522" s="1" t="s">
        <v>1051</v>
      </c>
      <c r="AU522" s="1">
        <v>2022.0</v>
      </c>
      <c r="AV522" s="1">
        <v>12.0</v>
      </c>
      <c r="AW522" s="1">
        <v>6.0</v>
      </c>
      <c r="AX522" s="1" t="s">
        <v>74</v>
      </c>
      <c r="AY522" s="1" t="s">
        <v>74</v>
      </c>
      <c r="AZ522" s="1" t="s">
        <v>74</v>
      </c>
      <c r="BA522" s="1" t="s">
        <v>74</v>
      </c>
      <c r="BB522" s="1">
        <v>852.0</v>
      </c>
      <c r="BC522" s="1">
        <v>866.0</v>
      </c>
      <c r="BD522" s="1" t="s">
        <v>74</v>
      </c>
      <c r="BE522" s="1" t="s">
        <v>10769</v>
      </c>
      <c r="BF522" s="2" t="str">
        <f>HYPERLINK("http://dx.doi.org/10.3390/clinpract12060090","http://dx.doi.org/10.3390/clinpract12060090")</f>
        <v>http://dx.doi.org/10.3390/clinpract12060090</v>
      </c>
      <c r="BG522" s="1" t="s">
        <v>74</v>
      </c>
      <c r="BH522" s="1" t="s">
        <v>74</v>
      </c>
      <c r="BI522" s="1">
        <v>15.0</v>
      </c>
      <c r="BJ522" s="1" t="s">
        <v>1158</v>
      </c>
      <c r="BK522" s="1" t="s">
        <v>172</v>
      </c>
      <c r="BL522" s="1" t="s">
        <v>1159</v>
      </c>
      <c r="BM522" s="1" t="s">
        <v>10770</v>
      </c>
      <c r="BN522" s="1">
        <v>3.6412669E7</v>
      </c>
      <c r="BO522" s="1" t="s">
        <v>1161</v>
      </c>
      <c r="BP522" s="1" t="s">
        <v>74</v>
      </c>
      <c r="BQ522" s="1" t="s">
        <v>74</v>
      </c>
      <c r="BR522" s="1" t="s">
        <v>102</v>
      </c>
      <c r="BS522" s="1" t="s">
        <v>10771</v>
      </c>
      <c r="BT522" s="1" t="str">
        <f>HYPERLINK("https%3A%2F%2Fwww.webofscience.com%2Fwos%2Fwoscc%2Ffull-record%2FWOS:000902307500001","View Full Record in Web of Science")</f>
        <v>View Full Record in Web of Science</v>
      </c>
    </row>
    <row r="523" ht="12.75" customHeight="1">
      <c r="A523" s="1" t="s">
        <v>72</v>
      </c>
      <c r="B523" s="1" t="s">
        <v>10772</v>
      </c>
      <c r="C523" s="1" t="s">
        <v>74</v>
      </c>
      <c r="D523" s="1" t="s">
        <v>74</v>
      </c>
      <c r="E523" s="1" t="s">
        <v>236</v>
      </c>
      <c r="F523" s="1" t="s">
        <v>10773</v>
      </c>
      <c r="G523" s="1" t="s">
        <v>74</v>
      </c>
      <c r="H523" s="1" t="s">
        <v>74</v>
      </c>
      <c r="I523" s="1" t="s">
        <v>10774</v>
      </c>
      <c r="J523" s="1" t="s">
        <v>10775</v>
      </c>
      <c r="K523" s="1" t="s">
        <v>74</v>
      </c>
      <c r="L523" s="1" t="s">
        <v>74</v>
      </c>
      <c r="M523" s="1" t="s">
        <v>80</v>
      </c>
      <c r="N523" s="1" t="s">
        <v>81</v>
      </c>
      <c r="O523" s="1" t="s">
        <v>10776</v>
      </c>
      <c r="P523" s="1" t="s">
        <v>10777</v>
      </c>
      <c r="Q523" s="1" t="s">
        <v>10778</v>
      </c>
      <c r="R523" s="1" t="s">
        <v>10779</v>
      </c>
      <c r="S523" s="1" t="s">
        <v>74</v>
      </c>
      <c r="T523" s="1" t="s">
        <v>10780</v>
      </c>
      <c r="U523" s="1" t="s">
        <v>74</v>
      </c>
      <c r="V523" s="1" t="s">
        <v>10781</v>
      </c>
      <c r="W523" s="1" t="s">
        <v>10782</v>
      </c>
      <c r="X523" s="1" t="s">
        <v>10783</v>
      </c>
      <c r="Y523" s="1" t="s">
        <v>10784</v>
      </c>
      <c r="Z523" s="1" t="s">
        <v>10785</v>
      </c>
      <c r="AA523" s="1" t="s">
        <v>10786</v>
      </c>
      <c r="AB523" s="1" t="s">
        <v>10787</v>
      </c>
      <c r="AC523" s="1" t="s">
        <v>74</v>
      </c>
      <c r="AD523" s="1" t="s">
        <v>74</v>
      </c>
      <c r="AE523" s="1" t="s">
        <v>74</v>
      </c>
      <c r="AF523" s="1" t="s">
        <v>74</v>
      </c>
      <c r="AG523" s="1">
        <v>21.0</v>
      </c>
      <c r="AH523" s="1">
        <v>8.0</v>
      </c>
      <c r="AI523" s="1">
        <v>8.0</v>
      </c>
      <c r="AJ523" s="1">
        <v>12.0</v>
      </c>
      <c r="AK523" s="1">
        <v>81.0</v>
      </c>
      <c r="AL523" s="1" t="s">
        <v>236</v>
      </c>
      <c r="AM523" s="1" t="s">
        <v>193</v>
      </c>
      <c r="AN523" s="1" t="s">
        <v>252</v>
      </c>
      <c r="AO523" s="1" t="s">
        <v>74</v>
      </c>
      <c r="AP523" s="1" t="s">
        <v>74</v>
      </c>
      <c r="AQ523" s="1" t="s">
        <v>10788</v>
      </c>
      <c r="AR523" s="1" t="s">
        <v>74</v>
      </c>
      <c r="AS523" s="1" t="s">
        <v>74</v>
      </c>
      <c r="AT523" s="1" t="s">
        <v>74</v>
      </c>
      <c r="AU523" s="1">
        <v>2018.0</v>
      </c>
      <c r="AV523" s="1" t="s">
        <v>74</v>
      </c>
      <c r="AW523" s="1" t="s">
        <v>74</v>
      </c>
      <c r="AX523" s="1" t="s">
        <v>74</v>
      </c>
      <c r="AY523" s="1" t="s">
        <v>74</v>
      </c>
      <c r="AZ523" s="1" t="s">
        <v>74</v>
      </c>
      <c r="BA523" s="1" t="s">
        <v>74</v>
      </c>
      <c r="BB523" s="1">
        <v>113.0</v>
      </c>
      <c r="BC523" s="1">
        <v>116.0</v>
      </c>
      <c r="BD523" s="1" t="s">
        <v>74</v>
      </c>
      <c r="BE523" s="1" t="s">
        <v>74</v>
      </c>
      <c r="BF523" s="1" t="s">
        <v>74</v>
      </c>
      <c r="BG523" s="1" t="s">
        <v>74</v>
      </c>
      <c r="BH523" s="1" t="s">
        <v>74</v>
      </c>
      <c r="BI523" s="1">
        <v>4.0</v>
      </c>
      <c r="BJ523" s="1" t="s">
        <v>10490</v>
      </c>
      <c r="BK523" s="1" t="s">
        <v>128</v>
      </c>
      <c r="BL523" s="1" t="s">
        <v>10491</v>
      </c>
      <c r="BM523" s="1" t="s">
        <v>10789</v>
      </c>
      <c r="BN523" s="1" t="s">
        <v>74</v>
      </c>
      <c r="BO523" s="1" t="s">
        <v>74</v>
      </c>
      <c r="BP523" s="1" t="s">
        <v>74</v>
      </c>
      <c r="BQ523" s="1" t="s">
        <v>74</v>
      </c>
      <c r="BR523" s="1" t="s">
        <v>102</v>
      </c>
      <c r="BS523" s="1" t="s">
        <v>10790</v>
      </c>
      <c r="BT523" s="1" t="str">
        <f>HYPERLINK("https%3A%2F%2Fwww.webofscience.com%2Fwos%2Fwoscc%2Ffull-record%2FWOS:000493975700021","View Full Record in Web of Science")</f>
        <v>View Full Record in Web of Science</v>
      </c>
    </row>
    <row r="524" ht="12.75" customHeight="1">
      <c r="A524" s="1" t="s">
        <v>132</v>
      </c>
      <c r="B524" s="1" t="s">
        <v>10791</v>
      </c>
      <c r="C524" s="1" t="s">
        <v>74</v>
      </c>
      <c r="D524" s="1" t="s">
        <v>74</v>
      </c>
      <c r="E524" s="1" t="s">
        <v>74</v>
      </c>
      <c r="F524" s="1" t="s">
        <v>10792</v>
      </c>
      <c r="G524" s="1" t="s">
        <v>74</v>
      </c>
      <c r="H524" s="1" t="s">
        <v>74</v>
      </c>
      <c r="I524" s="1" t="s">
        <v>10793</v>
      </c>
      <c r="J524" s="1" t="s">
        <v>5789</v>
      </c>
      <c r="K524" s="1" t="s">
        <v>74</v>
      </c>
      <c r="L524" s="1" t="s">
        <v>74</v>
      </c>
      <c r="M524" s="1" t="s">
        <v>638</v>
      </c>
      <c r="N524" s="1" t="s">
        <v>136</v>
      </c>
      <c r="O524" s="1" t="s">
        <v>74</v>
      </c>
      <c r="P524" s="1" t="s">
        <v>74</v>
      </c>
      <c r="Q524" s="1" t="s">
        <v>74</v>
      </c>
      <c r="R524" s="1" t="s">
        <v>74</v>
      </c>
      <c r="S524" s="1" t="s">
        <v>74</v>
      </c>
      <c r="T524" s="1" t="s">
        <v>10794</v>
      </c>
      <c r="U524" s="1" t="s">
        <v>74</v>
      </c>
      <c r="V524" s="1" t="s">
        <v>10795</v>
      </c>
      <c r="W524" s="1" t="s">
        <v>10796</v>
      </c>
      <c r="X524" s="1" t="s">
        <v>10797</v>
      </c>
      <c r="Y524" s="1" t="s">
        <v>10798</v>
      </c>
      <c r="Z524" s="1" t="s">
        <v>10799</v>
      </c>
      <c r="AA524" s="1" t="s">
        <v>10800</v>
      </c>
      <c r="AB524" s="1" t="s">
        <v>74</v>
      </c>
      <c r="AC524" s="1" t="s">
        <v>74</v>
      </c>
      <c r="AD524" s="1" t="s">
        <v>74</v>
      </c>
      <c r="AE524" s="1" t="s">
        <v>74</v>
      </c>
      <c r="AF524" s="1" t="s">
        <v>74</v>
      </c>
      <c r="AG524" s="1">
        <v>24.0</v>
      </c>
      <c r="AH524" s="1">
        <v>0.0</v>
      </c>
      <c r="AI524" s="1">
        <v>0.0</v>
      </c>
      <c r="AJ524" s="1">
        <v>1.0</v>
      </c>
      <c r="AK524" s="1">
        <v>13.0</v>
      </c>
      <c r="AL524" s="1" t="s">
        <v>5794</v>
      </c>
      <c r="AM524" s="1" t="s">
        <v>5795</v>
      </c>
      <c r="AN524" s="1" t="s">
        <v>5796</v>
      </c>
      <c r="AO524" s="1" t="s">
        <v>5797</v>
      </c>
      <c r="AP524" s="1" t="s">
        <v>5798</v>
      </c>
      <c r="AQ524" s="1" t="s">
        <v>74</v>
      </c>
      <c r="AR524" s="1" t="s">
        <v>5799</v>
      </c>
      <c r="AS524" s="1" t="s">
        <v>5800</v>
      </c>
      <c r="AT524" s="1" t="s">
        <v>74</v>
      </c>
      <c r="AU524" s="1">
        <v>2021.0</v>
      </c>
      <c r="AV524" s="1">
        <v>10.0</v>
      </c>
      <c r="AW524" s="1">
        <v>2.0</v>
      </c>
      <c r="AX524" s="1" t="s">
        <v>74</v>
      </c>
      <c r="AY524" s="1" t="s">
        <v>74</v>
      </c>
      <c r="AZ524" s="1" t="s">
        <v>74</v>
      </c>
      <c r="BA524" s="1" t="s">
        <v>74</v>
      </c>
      <c r="BB524" s="1">
        <v>211.0</v>
      </c>
      <c r="BC524" s="1">
        <v>228.0</v>
      </c>
      <c r="BD524" s="1" t="s">
        <v>74</v>
      </c>
      <c r="BE524" s="1" t="s">
        <v>10801</v>
      </c>
      <c r="BF524" s="2" t="str">
        <f>HYPERLINK("http://dx.doi.org/10.5354/0719-2584.2021.58745","http://dx.doi.org/10.5354/0719-2584.2021.58745")</f>
        <v>http://dx.doi.org/10.5354/0719-2584.2021.58745</v>
      </c>
      <c r="BG524" s="1" t="s">
        <v>74</v>
      </c>
      <c r="BH524" s="1" t="s">
        <v>74</v>
      </c>
      <c r="BI524" s="1">
        <v>18.0</v>
      </c>
      <c r="BJ524" s="1" t="s">
        <v>915</v>
      </c>
      <c r="BK524" s="1" t="s">
        <v>172</v>
      </c>
      <c r="BL524" s="1" t="s">
        <v>916</v>
      </c>
      <c r="BM524" s="1" t="s">
        <v>10802</v>
      </c>
      <c r="BN524" s="1" t="s">
        <v>74</v>
      </c>
      <c r="BO524" s="1" t="s">
        <v>174</v>
      </c>
      <c r="BP524" s="1" t="s">
        <v>74</v>
      </c>
      <c r="BQ524" s="1" t="s">
        <v>74</v>
      </c>
      <c r="BR524" s="1" t="s">
        <v>102</v>
      </c>
      <c r="BS524" s="1" t="s">
        <v>10803</v>
      </c>
      <c r="BT524" s="1" t="str">
        <f>HYPERLINK("https%3A%2F%2Fwww.webofscience.com%2Fwos%2Fwoscc%2Ffull-record%2FWOS:000744099100001","View Full Record in Web of Science")</f>
        <v>View Full Record in Web of Science</v>
      </c>
    </row>
    <row r="525" ht="12.75" customHeight="1">
      <c r="A525" s="1" t="s">
        <v>72</v>
      </c>
      <c r="B525" s="1" t="s">
        <v>10804</v>
      </c>
      <c r="C525" s="1" t="s">
        <v>74</v>
      </c>
      <c r="D525" s="1" t="s">
        <v>10805</v>
      </c>
      <c r="E525" s="1" t="s">
        <v>74</v>
      </c>
      <c r="F525" s="1" t="s">
        <v>10806</v>
      </c>
      <c r="G525" s="1" t="s">
        <v>74</v>
      </c>
      <c r="H525" s="1" t="s">
        <v>74</v>
      </c>
      <c r="I525" s="1" t="s">
        <v>10807</v>
      </c>
      <c r="J525" s="1" t="s">
        <v>10808</v>
      </c>
      <c r="K525" s="1" t="s">
        <v>10809</v>
      </c>
      <c r="L525" s="1" t="s">
        <v>74</v>
      </c>
      <c r="M525" s="1" t="s">
        <v>80</v>
      </c>
      <c r="N525" s="1" t="s">
        <v>81</v>
      </c>
      <c r="O525" s="1" t="s">
        <v>10810</v>
      </c>
      <c r="P525" s="1" t="s">
        <v>10811</v>
      </c>
      <c r="Q525" s="1" t="s">
        <v>6378</v>
      </c>
      <c r="R525" s="1" t="s">
        <v>74</v>
      </c>
      <c r="S525" s="1" t="s">
        <v>74</v>
      </c>
      <c r="T525" s="1" t="s">
        <v>10812</v>
      </c>
      <c r="U525" s="1" t="s">
        <v>10813</v>
      </c>
      <c r="V525" s="1" t="s">
        <v>10814</v>
      </c>
      <c r="W525" s="1" t="s">
        <v>10815</v>
      </c>
      <c r="X525" s="1" t="s">
        <v>10816</v>
      </c>
      <c r="Y525" s="1" t="s">
        <v>10817</v>
      </c>
      <c r="Z525" s="1" t="s">
        <v>10818</v>
      </c>
      <c r="AA525" s="1" t="s">
        <v>10819</v>
      </c>
      <c r="AB525" s="1" t="s">
        <v>10820</v>
      </c>
      <c r="AC525" s="1" t="s">
        <v>74</v>
      </c>
      <c r="AD525" s="1" t="s">
        <v>74</v>
      </c>
      <c r="AE525" s="1" t="s">
        <v>74</v>
      </c>
      <c r="AF525" s="1" t="s">
        <v>74</v>
      </c>
      <c r="AG525" s="1">
        <v>46.0</v>
      </c>
      <c r="AH525" s="1">
        <v>1.0</v>
      </c>
      <c r="AI525" s="1">
        <v>1.0</v>
      </c>
      <c r="AJ525" s="1">
        <v>14.0</v>
      </c>
      <c r="AK525" s="1">
        <v>58.0</v>
      </c>
      <c r="AL525" s="1" t="s">
        <v>223</v>
      </c>
      <c r="AM525" s="1" t="s">
        <v>224</v>
      </c>
      <c r="AN525" s="1" t="s">
        <v>225</v>
      </c>
      <c r="AO525" s="1" t="s">
        <v>10821</v>
      </c>
      <c r="AP525" s="1" t="s">
        <v>10822</v>
      </c>
      <c r="AQ525" s="1" t="s">
        <v>10823</v>
      </c>
      <c r="AR525" s="1" t="s">
        <v>10824</v>
      </c>
      <c r="AS525" s="1" t="s">
        <v>74</v>
      </c>
      <c r="AT525" s="1" t="s">
        <v>74</v>
      </c>
      <c r="AU525" s="1">
        <v>2023.0</v>
      </c>
      <c r="AV525" s="1" t="s">
        <v>74</v>
      </c>
      <c r="AW525" s="1" t="s">
        <v>74</v>
      </c>
      <c r="AX525" s="1" t="s">
        <v>74</v>
      </c>
      <c r="AY525" s="1" t="s">
        <v>74</v>
      </c>
      <c r="AZ525" s="1" t="s">
        <v>74</v>
      </c>
      <c r="BA525" s="1" t="s">
        <v>74</v>
      </c>
      <c r="BB525" s="1">
        <v>241.0</v>
      </c>
      <c r="BC525" s="1">
        <v>255.0</v>
      </c>
      <c r="BD525" s="1" t="s">
        <v>74</v>
      </c>
      <c r="BE525" s="1" t="s">
        <v>10825</v>
      </c>
      <c r="BF525" s="2" t="str">
        <f>HYPERLINK("http://dx.doi.org/10.1007/978-3-031-20160-8_14","http://dx.doi.org/10.1007/978-3-031-20160-8_14")</f>
        <v>http://dx.doi.org/10.1007/978-3-031-20160-8_14</v>
      </c>
      <c r="BG525" s="1" t="s">
        <v>74</v>
      </c>
      <c r="BH525" s="1" t="s">
        <v>74</v>
      </c>
      <c r="BI525" s="1">
        <v>15.0</v>
      </c>
      <c r="BJ525" s="1" t="s">
        <v>10826</v>
      </c>
      <c r="BK525" s="1" t="s">
        <v>405</v>
      </c>
      <c r="BL525" s="1" t="s">
        <v>10827</v>
      </c>
      <c r="BM525" s="1" t="s">
        <v>10828</v>
      </c>
      <c r="BN525" s="1" t="s">
        <v>74</v>
      </c>
      <c r="BO525" s="1" t="s">
        <v>74</v>
      </c>
      <c r="BP525" s="1" t="s">
        <v>74</v>
      </c>
      <c r="BQ525" s="1" t="s">
        <v>74</v>
      </c>
      <c r="BR525" s="1" t="s">
        <v>102</v>
      </c>
      <c r="BS525" s="1" t="s">
        <v>10829</v>
      </c>
      <c r="BT525" s="1" t="str">
        <f>HYPERLINK("https%3A%2F%2Fwww.webofscience.com%2Fwos%2Fwoscc%2Ffull-record%2FWOS:000964356000014","View Full Record in Web of Science")</f>
        <v>View Full Record in Web of Science</v>
      </c>
    </row>
    <row r="526" ht="12.75" customHeight="1">
      <c r="A526" s="1" t="s">
        <v>132</v>
      </c>
      <c r="B526" s="1" t="s">
        <v>10830</v>
      </c>
      <c r="C526" s="1" t="s">
        <v>74</v>
      </c>
      <c r="D526" s="1" t="s">
        <v>74</v>
      </c>
      <c r="E526" s="1" t="s">
        <v>74</v>
      </c>
      <c r="F526" s="1" t="s">
        <v>10831</v>
      </c>
      <c r="G526" s="1" t="s">
        <v>74</v>
      </c>
      <c r="H526" s="1" t="s">
        <v>74</v>
      </c>
      <c r="I526" s="1" t="s">
        <v>10832</v>
      </c>
      <c r="J526" s="1" t="s">
        <v>10833</v>
      </c>
      <c r="K526" s="1" t="s">
        <v>74</v>
      </c>
      <c r="L526" s="1" t="s">
        <v>74</v>
      </c>
      <c r="M526" s="1" t="s">
        <v>80</v>
      </c>
      <c r="N526" s="1" t="s">
        <v>136</v>
      </c>
      <c r="O526" s="1" t="s">
        <v>74</v>
      </c>
      <c r="P526" s="1" t="s">
        <v>74</v>
      </c>
      <c r="Q526" s="1" t="s">
        <v>74</v>
      </c>
      <c r="R526" s="1" t="s">
        <v>74</v>
      </c>
      <c r="S526" s="1" t="s">
        <v>74</v>
      </c>
      <c r="T526" s="1" t="s">
        <v>10834</v>
      </c>
      <c r="U526" s="1" t="s">
        <v>74</v>
      </c>
      <c r="V526" s="1" t="s">
        <v>10835</v>
      </c>
      <c r="W526" s="1" t="s">
        <v>10836</v>
      </c>
      <c r="X526" s="1" t="s">
        <v>10837</v>
      </c>
      <c r="Y526" s="1" t="s">
        <v>10838</v>
      </c>
      <c r="Z526" s="1" t="s">
        <v>10839</v>
      </c>
      <c r="AA526" s="1" t="s">
        <v>10840</v>
      </c>
      <c r="AB526" s="1" t="s">
        <v>10841</v>
      </c>
      <c r="AC526" s="1" t="s">
        <v>10842</v>
      </c>
      <c r="AD526" s="1" t="s">
        <v>10843</v>
      </c>
      <c r="AE526" s="1" t="s">
        <v>74</v>
      </c>
      <c r="AF526" s="1" t="s">
        <v>74</v>
      </c>
      <c r="AG526" s="1">
        <v>15.0</v>
      </c>
      <c r="AH526" s="1">
        <v>9.0</v>
      </c>
      <c r="AI526" s="1">
        <v>9.0</v>
      </c>
      <c r="AJ526" s="1">
        <v>0.0</v>
      </c>
      <c r="AK526" s="1">
        <v>4.0</v>
      </c>
      <c r="AL526" s="1" t="s">
        <v>1020</v>
      </c>
      <c r="AM526" s="1" t="s">
        <v>1021</v>
      </c>
      <c r="AN526" s="1" t="s">
        <v>1022</v>
      </c>
      <c r="AO526" s="1" t="s">
        <v>10844</v>
      </c>
      <c r="AP526" s="1" t="s">
        <v>10845</v>
      </c>
      <c r="AQ526" s="1" t="s">
        <v>74</v>
      </c>
      <c r="AR526" s="1" t="s">
        <v>10833</v>
      </c>
      <c r="AS526" s="1" t="s">
        <v>10846</v>
      </c>
      <c r="AT526" s="1" t="s">
        <v>1364</v>
      </c>
      <c r="AU526" s="1">
        <v>2021.0</v>
      </c>
      <c r="AV526" s="1">
        <v>52.0</v>
      </c>
      <c r="AW526" s="1">
        <v>5.0</v>
      </c>
      <c r="AX526" s="1" t="s">
        <v>74</v>
      </c>
      <c r="AY526" s="1" t="s">
        <v>74</v>
      </c>
      <c r="AZ526" s="1" t="s">
        <v>74</v>
      </c>
      <c r="BA526" s="1" t="s">
        <v>74</v>
      </c>
      <c r="BB526" s="1">
        <v>1682.0</v>
      </c>
      <c r="BC526" s="1">
        <v>1690.0</v>
      </c>
      <c r="BD526" s="1" t="s">
        <v>74</v>
      </c>
      <c r="BE526" s="1" t="s">
        <v>10847</v>
      </c>
      <c r="BF526" s="2" t="str">
        <f>HYPERLINK("http://dx.doi.org/10.1161/STROKEAHA.120.031960","http://dx.doi.org/10.1161/STROKEAHA.120.031960")</f>
        <v>http://dx.doi.org/10.1161/STROKEAHA.120.031960</v>
      </c>
      <c r="BG526" s="1" t="s">
        <v>74</v>
      </c>
      <c r="BH526" s="1" t="s">
        <v>74</v>
      </c>
      <c r="BI526" s="1">
        <v>9.0</v>
      </c>
      <c r="BJ526" s="1" t="s">
        <v>10848</v>
      </c>
      <c r="BK526" s="1" t="s">
        <v>149</v>
      </c>
      <c r="BL526" s="1" t="s">
        <v>10849</v>
      </c>
      <c r="BM526" s="1" t="s">
        <v>10850</v>
      </c>
      <c r="BN526" s="1">
        <v>3.3657851E7</v>
      </c>
      <c r="BO526" s="1" t="s">
        <v>1997</v>
      </c>
      <c r="BP526" s="1" t="s">
        <v>74</v>
      </c>
      <c r="BQ526" s="1" t="s">
        <v>74</v>
      </c>
      <c r="BR526" s="1" t="s">
        <v>102</v>
      </c>
      <c r="BS526" s="1" t="s">
        <v>10851</v>
      </c>
      <c r="BT526" s="1" t="str">
        <f>HYPERLINK("https%3A%2F%2Fwww.webofscience.com%2Fwos%2Fwoscc%2Ffull-record%2FWOS:000644656300028","View Full Record in Web of Science")</f>
        <v>View Full Record in Web of Science</v>
      </c>
    </row>
    <row r="527" ht="12.75" customHeight="1">
      <c r="A527" s="1" t="s">
        <v>132</v>
      </c>
      <c r="B527" s="1" t="s">
        <v>10852</v>
      </c>
      <c r="C527" s="1" t="s">
        <v>74</v>
      </c>
      <c r="D527" s="1" t="s">
        <v>74</v>
      </c>
      <c r="E527" s="1" t="s">
        <v>74</v>
      </c>
      <c r="F527" s="1" t="s">
        <v>10853</v>
      </c>
      <c r="G527" s="1" t="s">
        <v>74</v>
      </c>
      <c r="H527" s="1" t="s">
        <v>74</v>
      </c>
      <c r="I527" s="1" t="s">
        <v>10854</v>
      </c>
      <c r="J527" s="1" t="s">
        <v>10855</v>
      </c>
      <c r="K527" s="1" t="s">
        <v>74</v>
      </c>
      <c r="L527" s="1" t="s">
        <v>74</v>
      </c>
      <c r="M527" s="1" t="s">
        <v>80</v>
      </c>
      <c r="N527" s="1" t="s">
        <v>136</v>
      </c>
      <c r="O527" s="1" t="s">
        <v>74</v>
      </c>
      <c r="P527" s="1" t="s">
        <v>74</v>
      </c>
      <c r="Q527" s="1" t="s">
        <v>74</v>
      </c>
      <c r="R527" s="1" t="s">
        <v>74</v>
      </c>
      <c r="S527" s="1" t="s">
        <v>74</v>
      </c>
      <c r="T527" s="1" t="s">
        <v>10856</v>
      </c>
      <c r="U527" s="1" t="s">
        <v>10857</v>
      </c>
      <c r="V527" s="1" t="s">
        <v>10858</v>
      </c>
      <c r="W527" s="1" t="s">
        <v>10859</v>
      </c>
      <c r="X527" s="1" t="s">
        <v>10860</v>
      </c>
      <c r="Y527" s="1" t="s">
        <v>10861</v>
      </c>
      <c r="Z527" s="1" t="s">
        <v>10862</v>
      </c>
      <c r="AA527" s="1" t="s">
        <v>10863</v>
      </c>
      <c r="AB527" s="1" t="s">
        <v>10864</v>
      </c>
      <c r="AC527" s="1" t="s">
        <v>74</v>
      </c>
      <c r="AD527" s="1" t="s">
        <v>74</v>
      </c>
      <c r="AE527" s="1" t="s">
        <v>74</v>
      </c>
      <c r="AF527" s="1" t="s">
        <v>74</v>
      </c>
      <c r="AG527" s="1">
        <v>108.0</v>
      </c>
      <c r="AH527" s="1">
        <v>14.0</v>
      </c>
      <c r="AI527" s="1">
        <v>14.0</v>
      </c>
      <c r="AJ527" s="1">
        <v>19.0</v>
      </c>
      <c r="AK527" s="1">
        <v>89.0</v>
      </c>
      <c r="AL527" s="1" t="s">
        <v>466</v>
      </c>
      <c r="AM527" s="1" t="s">
        <v>467</v>
      </c>
      <c r="AN527" s="1" t="s">
        <v>468</v>
      </c>
      <c r="AO527" s="1" t="s">
        <v>74</v>
      </c>
      <c r="AP527" s="1" t="s">
        <v>10865</v>
      </c>
      <c r="AQ527" s="1" t="s">
        <v>74</v>
      </c>
      <c r="AR527" s="1" t="s">
        <v>10866</v>
      </c>
      <c r="AS527" s="1" t="s">
        <v>10867</v>
      </c>
      <c r="AT527" s="1" t="s">
        <v>9795</v>
      </c>
      <c r="AU527" s="1">
        <v>2021.0</v>
      </c>
      <c r="AV527" s="1">
        <v>93.0</v>
      </c>
      <c r="AW527" s="1">
        <v>1.0</v>
      </c>
      <c r="AX527" s="1" t="s">
        <v>74</v>
      </c>
      <c r="AY527" s="1" t="s">
        <v>74</v>
      </c>
      <c r="AZ527" s="1" t="s">
        <v>74</v>
      </c>
      <c r="BA527" s="1" t="s">
        <v>74</v>
      </c>
      <c r="BB527" s="1">
        <v>172.0</v>
      </c>
      <c r="BC527" s="1">
        <v>196.0</v>
      </c>
      <c r="BD527" s="1" t="s">
        <v>74</v>
      </c>
      <c r="BE527" s="1" t="s">
        <v>10868</v>
      </c>
      <c r="BF527" s="2" t="str">
        <f>HYPERLINK("http://dx.doi.org/10.1080/27685241.2021.2008777","http://dx.doi.org/10.1080/27685241.2021.2008777")</f>
        <v>http://dx.doi.org/10.1080/27685241.2021.2008777</v>
      </c>
      <c r="BG527" s="1" t="s">
        <v>74</v>
      </c>
      <c r="BH527" s="1" t="s">
        <v>74</v>
      </c>
      <c r="BI527" s="1">
        <v>25.0</v>
      </c>
      <c r="BJ527" s="1" t="s">
        <v>10869</v>
      </c>
      <c r="BK527" s="1" t="s">
        <v>783</v>
      </c>
      <c r="BL527" s="1" t="s">
        <v>10870</v>
      </c>
      <c r="BM527" s="1" t="s">
        <v>10871</v>
      </c>
      <c r="BN527" s="1" t="s">
        <v>74</v>
      </c>
      <c r="BO527" s="1" t="s">
        <v>8057</v>
      </c>
      <c r="BP527" s="1" t="s">
        <v>74</v>
      </c>
      <c r="BQ527" s="1" t="s">
        <v>74</v>
      </c>
      <c r="BR527" s="1" t="s">
        <v>102</v>
      </c>
      <c r="BS527" s="1" t="s">
        <v>10872</v>
      </c>
      <c r="BT527" s="1" t="str">
        <f>HYPERLINK("https%3A%2F%2Fwww.webofscience.com%2Fwos%2Fwoscc%2Ffull-record%2FWOS:000765767000001","View Full Record in Web of Science")</f>
        <v>View Full Record in Web of Science</v>
      </c>
    </row>
    <row r="528" ht="12.75" customHeight="1">
      <c r="A528" s="1" t="s">
        <v>132</v>
      </c>
      <c r="B528" s="1" t="s">
        <v>10873</v>
      </c>
      <c r="C528" s="1" t="s">
        <v>74</v>
      </c>
      <c r="D528" s="1" t="s">
        <v>74</v>
      </c>
      <c r="E528" s="1" t="s">
        <v>74</v>
      </c>
      <c r="F528" s="1" t="s">
        <v>10874</v>
      </c>
      <c r="G528" s="1" t="s">
        <v>74</v>
      </c>
      <c r="H528" s="1" t="s">
        <v>74</v>
      </c>
      <c r="I528" s="1" t="s">
        <v>10875</v>
      </c>
      <c r="J528" s="1" t="s">
        <v>7543</v>
      </c>
      <c r="K528" s="1" t="s">
        <v>74</v>
      </c>
      <c r="L528" s="1" t="s">
        <v>74</v>
      </c>
      <c r="M528" s="1" t="s">
        <v>80</v>
      </c>
      <c r="N528" s="1" t="s">
        <v>136</v>
      </c>
      <c r="O528" s="1" t="s">
        <v>74</v>
      </c>
      <c r="P528" s="1" t="s">
        <v>74</v>
      </c>
      <c r="Q528" s="1" t="s">
        <v>74</v>
      </c>
      <c r="R528" s="1" t="s">
        <v>74</v>
      </c>
      <c r="S528" s="1" t="s">
        <v>74</v>
      </c>
      <c r="T528" s="1" t="s">
        <v>10876</v>
      </c>
      <c r="U528" s="1" t="s">
        <v>10877</v>
      </c>
      <c r="V528" s="1" t="s">
        <v>10878</v>
      </c>
      <c r="W528" s="1" t="s">
        <v>10879</v>
      </c>
      <c r="X528" s="1" t="s">
        <v>4826</v>
      </c>
      <c r="Y528" s="1" t="s">
        <v>10880</v>
      </c>
      <c r="Z528" s="1" t="s">
        <v>10881</v>
      </c>
      <c r="AA528" s="1" t="s">
        <v>10882</v>
      </c>
      <c r="AB528" s="1" t="s">
        <v>10883</v>
      </c>
      <c r="AC528" s="1" t="s">
        <v>74</v>
      </c>
      <c r="AD528" s="1" t="s">
        <v>74</v>
      </c>
      <c r="AE528" s="1" t="s">
        <v>74</v>
      </c>
      <c r="AF528" s="1" t="s">
        <v>74</v>
      </c>
      <c r="AG528" s="1">
        <v>48.0</v>
      </c>
      <c r="AH528" s="1">
        <v>6.0</v>
      </c>
      <c r="AI528" s="1">
        <v>6.0</v>
      </c>
      <c r="AJ528" s="1">
        <v>17.0</v>
      </c>
      <c r="AK528" s="1">
        <v>23.0</v>
      </c>
      <c r="AL528" s="1" t="s">
        <v>1970</v>
      </c>
      <c r="AM528" s="1" t="s">
        <v>1658</v>
      </c>
      <c r="AN528" s="1" t="s">
        <v>1971</v>
      </c>
      <c r="AO528" s="1" t="s">
        <v>74</v>
      </c>
      <c r="AP528" s="1" t="s">
        <v>7552</v>
      </c>
      <c r="AQ528" s="1" t="s">
        <v>74</v>
      </c>
      <c r="AR528" s="1" t="s">
        <v>7553</v>
      </c>
      <c r="AS528" s="1" t="s">
        <v>7554</v>
      </c>
      <c r="AT528" s="1" t="s">
        <v>1364</v>
      </c>
      <c r="AU528" s="1">
        <v>2024.0</v>
      </c>
      <c r="AV528" s="1">
        <v>13.0</v>
      </c>
      <c r="AW528" s="1">
        <v>9.0</v>
      </c>
      <c r="AX528" s="1" t="s">
        <v>74</v>
      </c>
      <c r="AY528" s="1" t="s">
        <v>74</v>
      </c>
      <c r="AZ528" s="1" t="s">
        <v>74</v>
      </c>
      <c r="BA528" s="1" t="s">
        <v>74</v>
      </c>
      <c r="BB528" s="1" t="s">
        <v>74</v>
      </c>
      <c r="BC528" s="1" t="s">
        <v>74</v>
      </c>
      <c r="BD528" s="1">
        <v>1693.0</v>
      </c>
      <c r="BE528" s="1" t="s">
        <v>10884</v>
      </c>
      <c r="BF528" s="2" t="str">
        <f>HYPERLINK("http://dx.doi.org/10.3390/electronics13091693","http://dx.doi.org/10.3390/electronics13091693")</f>
        <v>http://dx.doi.org/10.3390/electronics13091693</v>
      </c>
      <c r="BG528" s="1" t="s">
        <v>74</v>
      </c>
      <c r="BH528" s="1" t="s">
        <v>74</v>
      </c>
      <c r="BI528" s="1">
        <v>20.0</v>
      </c>
      <c r="BJ528" s="1" t="s">
        <v>7556</v>
      </c>
      <c r="BK528" s="1" t="s">
        <v>149</v>
      </c>
      <c r="BL528" s="1" t="s">
        <v>7557</v>
      </c>
      <c r="BM528" s="1" t="s">
        <v>10885</v>
      </c>
      <c r="BN528" s="1" t="s">
        <v>74</v>
      </c>
      <c r="BO528" s="1" t="s">
        <v>174</v>
      </c>
      <c r="BP528" s="1" t="s">
        <v>74</v>
      </c>
      <c r="BQ528" s="1" t="s">
        <v>74</v>
      </c>
      <c r="BR528" s="1" t="s">
        <v>102</v>
      </c>
      <c r="BS528" s="1" t="s">
        <v>10886</v>
      </c>
      <c r="BT528" s="1" t="str">
        <f>HYPERLINK("https%3A%2F%2Fwww.webofscience.com%2Fwos%2Fwoscc%2Ffull-record%2FWOS:001219925400001","View Full Record in Web of Science")</f>
        <v>View Full Record in Web of Science</v>
      </c>
    </row>
    <row r="529" ht="12.75" customHeight="1">
      <c r="A529" s="1" t="s">
        <v>132</v>
      </c>
      <c r="B529" s="1" t="s">
        <v>10887</v>
      </c>
      <c r="C529" s="1" t="s">
        <v>74</v>
      </c>
      <c r="D529" s="1" t="s">
        <v>74</v>
      </c>
      <c r="E529" s="1" t="s">
        <v>74</v>
      </c>
      <c r="F529" s="1" t="s">
        <v>10888</v>
      </c>
      <c r="G529" s="1" t="s">
        <v>74</v>
      </c>
      <c r="H529" s="1" t="s">
        <v>74</v>
      </c>
      <c r="I529" s="1" t="s">
        <v>10889</v>
      </c>
      <c r="J529" s="1" t="s">
        <v>10890</v>
      </c>
      <c r="K529" s="1" t="s">
        <v>74</v>
      </c>
      <c r="L529" s="1" t="s">
        <v>74</v>
      </c>
      <c r="M529" s="1" t="s">
        <v>80</v>
      </c>
      <c r="N529" s="1" t="s">
        <v>136</v>
      </c>
      <c r="O529" s="1" t="s">
        <v>74</v>
      </c>
      <c r="P529" s="1" t="s">
        <v>74</v>
      </c>
      <c r="Q529" s="1" t="s">
        <v>74</v>
      </c>
      <c r="R529" s="1" t="s">
        <v>74</v>
      </c>
      <c r="S529" s="1" t="s">
        <v>74</v>
      </c>
      <c r="T529" s="1" t="s">
        <v>10891</v>
      </c>
      <c r="U529" s="1" t="s">
        <v>74</v>
      </c>
      <c r="V529" s="1" t="s">
        <v>10892</v>
      </c>
      <c r="W529" s="1" t="s">
        <v>10893</v>
      </c>
      <c r="X529" s="1" t="s">
        <v>10894</v>
      </c>
      <c r="Y529" s="1" t="s">
        <v>10895</v>
      </c>
      <c r="Z529" s="1" t="s">
        <v>10896</v>
      </c>
      <c r="AA529" s="1" t="s">
        <v>10897</v>
      </c>
      <c r="AB529" s="1" t="s">
        <v>10898</v>
      </c>
      <c r="AC529" s="1" t="s">
        <v>10899</v>
      </c>
      <c r="AD529" s="1" t="s">
        <v>10900</v>
      </c>
      <c r="AE529" s="1" t="s">
        <v>10901</v>
      </c>
      <c r="AF529" s="1" t="s">
        <v>74</v>
      </c>
      <c r="AG529" s="1">
        <v>38.0</v>
      </c>
      <c r="AH529" s="1">
        <v>75.0</v>
      </c>
      <c r="AI529" s="1">
        <v>78.0</v>
      </c>
      <c r="AJ529" s="1">
        <v>21.0</v>
      </c>
      <c r="AK529" s="1">
        <v>160.0</v>
      </c>
      <c r="AL529" s="1" t="s">
        <v>2745</v>
      </c>
      <c r="AM529" s="1" t="s">
        <v>1090</v>
      </c>
      <c r="AN529" s="1" t="s">
        <v>2903</v>
      </c>
      <c r="AO529" s="1" t="s">
        <v>10902</v>
      </c>
      <c r="AP529" s="1" t="s">
        <v>10903</v>
      </c>
      <c r="AQ529" s="1" t="s">
        <v>74</v>
      </c>
      <c r="AR529" s="1" t="s">
        <v>10904</v>
      </c>
      <c r="AS529" s="1" t="s">
        <v>10905</v>
      </c>
      <c r="AT529" s="1" t="s">
        <v>870</v>
      </c>
      <c r="AU529" s="1">
        <v>2022.0</v>
      </c>
      <c r="AV529" s="1">
        <v>59.0</v>
      </c>
      <c r="AW529" s="1">
        <v>1.0</v>
      </c>
      <c r="AX529" s="1" t="s">
        <v>74</v>
      </c>
      <c r="AY529" s="1" t="s">
        <v>74</v>
      </c>
      <c r="AZ529" s="1" t="s">
        <v>74</v>
      </c>
      <c r="BA529" s="1" t="s">
        <v>74</v>
      </c>
      <c r="BB529" s="1" t="s">
        <v>74</v>
      </c>
      <c r="BC529" s="1" t="s">
        <v>74</v>
      </c>
      <c r="BD529" s="1">
        <v>102759.0</v>
      </c>
      <c r="BE529" s="1" t="s">
        <v>10906</v>
      </c>
      <c r="BF529" s="2" t="str">
        <f>HYPERLINK("http://dx.doi.org/10.1016/j.ipm.2021.102759","http://dx.doi.org/10.1016/j.ipm.2021.102759")</f>
        <v>http://dx.doi.org/10.1016/j.ipm.2021.102759</v>
      </c>
      <c r="BG529" s="1" t="s">
        <v>74</v>
      </c>
      <c r="BH529" s="1" t="s">
        <v>781</v>
      </c>
      <c r="BI529" s="1">
        <v>14.0</v>
      </c>
      <c r="BJ529" s="1" t="s">
        <v>1733</v>
      </c>
      <c r="BK529" s="1" t="s">
        <v>783</v>
      </c>
      <c r="BL529" s="1" t="s">
        <v>1734</v>
      </c>
      <c r="BM529" s="1" t="s">
        <v>10907</v>
      </c>
      <c r="BN529" s="1" t="s">
        <v>74</v>
      </c>
      <c r="BO529" s="1" t="s">
        <v>74</v>
      </c>
      <c r="BP529" s="1" t="s">
        <v>74</v>
      </c>
      <c r="BQ529" s="1" t="s">
        <v>74</v>
      </c>
      <c r="BR529" s="1" t="s">
        <v>102</v>
      </c>
      <c r="BS529" s="1" t="s">
        <v>10908</v>
      </c>
      <c r="BT529" s="1" t="str">
        <f>HYPERLINK("https%3A%2F%2Fwww.webofscience.com%2Fwos%2Fwoscc%2Ffull-record%2FWOS:000717092800009","View Full Record in Web of Science")</f>
        <v>View Full Record in Web of Science</v>
      </c>
    </row>
    <row r="530" ht="12.75" customHeight="1">
      <c r="A530" s="1" t="s">
        <v>132</v>
      </c>
      <c r="B530" s="1" t="s">
        <v>10909</v>
      </c>
      <c r="C530" s="1" t="s">
        <v>74</v>
      </c>
      <c r="D530" s="1" t="s">
        <v>74</v>
      </c>
      <c r="E530" s="1" t="s">
        <v>74</v>
      </c>
      <c r="F530" s="1" t="s">
        <v>10910</v>
      </c>
      <c r="G530" s="1" t="s">
        <v>74</v>
      </c>
      <c r="H530" s="1" t="s">
        <v>74</v>
      </c>
      <c r="I530" s="1" t="s">
        <v>10911</v>
      </c>
      <c r="J530" s="1" t="s">
        <v>10912</v>
      </c>
      <c r="K530" s="1" t="s">
        <v>74</v>
      </c>
      <c r="L530" s="1" t="s">
        <v>74</v>
      </c>
      <c r="M530" s="1" t="s">
        <v>80</v>
      </c>
      <c r="N530" s="1" t="s">
        <v>136</v>
      </c>
      <c r="O530" s="1" t="s">
        <v>74</v>
      </c>
      <c r="P530" s="1" t="s">
        <v>74</v>
      </c>
      <c r="Q530" s="1" t="s">
        <v>74</v>
      </c>
      <c r="R530" s="1" t="s">
        <v>74</v>
      </c>
      <c r="S530" s="1" t="s">
        <v>74</v>
      </c>
      <c r="T530" s="1" t="s">
        <v>10913</v>
      </c>
      <c r="U530" s="1" t="s">
        <v>966</v>
      </c>
      <c r="V530" s="1" t="s">
        <v>10914</v>
      </c>
      <c r="W530" s="1" t="s">
        <v>10915</v>
      </c>
      <c r="X530" s="1" t="s">
        <v>10916</v>
      </c>
      <c r="Y530" s="1" t="s">
        <v>10917</v>
      </c>
      <c r="Z530" s="1" t="s">
        <v>10918</v>
      </c>
      <c r="AA530" s="1" t="s">
        <v>10919</v>
      </c>
      <c r="AB530" s="1" t="s">
        <v>10920</v>
      </c>
      <c r="AC530" s="1" t="s">
        <v>74</v>
      </c>
      <c r="AD530" s="1" t="s">
        <v>74</v>
      </c>
      <c r="AE530" s="1" t="s">
        <v>74</v>
      </c>
      <c r="AF530" s="1" t="s">
        <v>74</v>
      </c>
      <c r="AG530" s="1">
        <v>39.0</v>
      </c>
      <c r="AH530" s="1">
        <v>25.0</v>
      </c>
      <c r="AI530" s="1">
        <v>25.0</v>
      </c>
      <c r="AJ530" s="1">
        <v>17.0</v>
      </c>
      <c r="AK530" s="1">
        <v>152.0</v>
      </c>
      <c r="AL530" s="1" t="s">
        <v>10921</v>
      </c>
      <c r="AM530" s="1" t="s">
        <v>1248</v>
      </c>
      <c r="AN530" s="1" t="s">
        <v>10922</v>
      </c>
      <c r="AO530" s="1" t="s">
        <v>10923</v>
      </c>
      <c r="AP530" s="1" t="s">
        <v>10924</v>
      </c>
      <c r="AQ530" s="1" t="s">
        <v>74</v>
      </c>
      <c r="AR530" s="1" t="s">
        <v>10925</v>
      </c>
      <c r="AS530" s="1" t="s">
        <v>10926</v>
      </c>
      <c r="AT530" s="1" t="s">
        <v>328</v>
      </c>
      <c r="AU530" s="1">
        <v>2020.0</v>
      </c>
      <c r="AV530" s="1">
        <v>13.0</v>
      </c>
      <c r="AW530" s="1">
        <v>1.0</v>
      </c>
      <c r="AX530" s="1" t="s">
        <v>74</v>
      </c>
      <c r="AY530" s="1" t="s">
        <v>74</v>
      </c>
      <c r="AZ530" s="1" t="s">
        <v>74</v>
      </c>
      <c r="BA530" s="1" t="s">
        <v>74</v>
      </c>
      <c r="BB530" s="1">
        <v>213.0</v>
      </c>
      <c r="BC530" s="1">
        <v>239.0</v>
      </c>
      <c r="BD530" s="1" t="s">
        <v>74</v>
      </c>
      <c r="BE530" s="1" t="s">
        <v>10927</v>
      </c>
      <c r="BF530" s="2" t="str">
        <f>HYPERLINK("http://dx.doi.org/10.22452/ajba.vol13no1.8","http://dx.doi.org/10.22452/ajba.vol13no1.8")</f>
        <v>http://dx.doi.org/10.22452/ajba.vol13no1.8</v>
      </c>
      <c r="BG530" s="1" t="s">
        <v>74</v>
      </c>
      <c r="BH530" s="1" t="s">
        <v>74</v>
      </c>
      <c r="BI530" s="1">
        <v>27.0</v>
      </c>
      <c r="BJ530" s="1" t="s">
        <v>3350</v>
      </c>
      <c r="BK530" s="1" t="s">
        <v>172</v>
      </c>
      <c r="BL530" s="1" t="s">
        <v>204</v>
      </c>
      <c r="BM530" s="1" t="s">
        <v>10928</v>
      </c>
      <c r="BN530" s="1" t="s">
        <v>74</v>
      </c>
      <c r="BO530" s="1" t="s">
        <v>74</v>
      </c>
      <c r="BP530" s="1" t="s">
        <v>74</v>
      </c>
      <c r="BQ530" s="1" t="s">
        <v>74</v>
      </c>
      <c r="BR530" s="1" t="s">
        <v>102</v>
      </c>
      <c r="BS530" s="1" t="s">
        <v>10929</v>
      </c>
      <c r="BT530" s="1" t="str">
        <f>HYPERLINK("https%3A%2F%2Fwww.webofscience.com%2Fwos%2Fwoscc%2Ffull-record%2FWOS:000544543500009","View Full Record in Web of Science")</f>
        <v>View Full Record in Web of Science</v>
      </c>
    </row>
    <row r="531" ht="12.75" customHeight="1">
      <c r="A531" s="1" t="s">
        <v>72</v>
      </c>
      <c r="B531" s="1" t="s">
        <v>10930</v>
      </c>
      <c r="C531" s="1" t="s">
        <v>74</v>
      </c>
      <c r="D531" s="1" t="s">
        <v>74</v>
      </c>
      <c r="E531" s="1" t="s">
        <v>236</v>
      </c>
      <c r="F531" s="1" t="s">
        <v>10931</v>
      </c>
      <c r="G531" s="1" t="s">
        <v>74</v>
      </c>
      <c r="H531" s="1" t="s">
        <v>74</v>
      </c>
      <c r="I531" s="1" t="s">
        <v>10932</v>
      </c>
      <c r="J531" s="1" t="s">
        <v>10933</v>
      </c>
      <c r="K531" s="1" t="s">
        <v>74</v>
      </c>
      <c r="L531" s="1" t="s">
        <v>74</v>
      </c>
      <c r="M531" s="1" t="s">
        <v>80</v>
      </c>
      <c r="N531" s="1" t="s">
        <v>81</v>
      </c>
      <c r="O531" s="1" t="s">
        <v>10934</v>
      </c>
      <c r="P531" s="1" t="s">
        <v>10935</v>
      </c>
      <c r="Q531" s="1" t="s">
        <v>10936</v>
      </c>
      <c r="R531" s="1" t="s">
        <v>10937</v>
      </c>
      <c r="S531" s="1" t="s">
        <v>74</v>
      </c>
      <c r="T531" s="1" t="s">
        <v>10938</v>
      </c>
      <c r="U531" s="1" t="s">
        <v>10939</v>
      </c>
      <c r="V531" s="1" t="s">
        <v>10940</v>
      </c>
      <c r="W531" s="1" t="s">
        <v>10941</v>
      </c>
      <c r="X531" s="1" t="s">
        <v>10942</v>
      </c>
      <c r="Y531" s="1" t="s">
        <v>10943</v>
      </c>
      <c r="Z531" s="1" t="s">
        <v>10944</v>
      </c>
      <c r="AA531" s="1" t="s">
        <v>10945</v>
      </c>
      <c r="AB531" s="1" t="s">
        <v>10946</v>
      </c>
      <c r="AC531" s="1" t="s">
        <v>10947</v>
      </c>
      <c r="AD531" s="1" t="s">
        <v>10948</v>
      </c>
      <c r="AE531" s="1" t="s">
        <v>10949</v>
      </c>
      <c r="AF531" s="1" t="s">
        <v>74</v>
      </c>
      <c r="AG531" s="1">
        <v>37.0</v>
      </c>
      <c r="AH531" s="1">
        <v>1.0</v>
      </c>
      <c r="AI531" s="1">
        <v>1.0</v>
      </c>
      <c r="AJ531" s="1">
        <v>2.0</v>
      </c>
      <c r="AK531" s="1">
        <v>4.0</v>
      </c>
      <c r="AL531" s="1" t="s">
        <v>236</v>
      </c>
      <c r="AM531" s="1" t="s">
        <v>193</v>
      </c>
      <c r="AN531" s="1" t="s">
        <v>252</v>
      </c>
      <c r="AO531" s="1" t="s">
        <v>74</v>
      </c>
      <c r="AP531" s="1" t="s">
        <v>74</v>
      </c>
      <c r="AQ531" s="1" t="s">
        <v>10950</v>
      </c>
      <c r="AR531" s="1" t="s">
        <v>74</v>
      </c>
      <c r="AS531" s="1" t="s">
        <v>74</v>
      </c>
      <c r="AT531" s="1" t="s">
        <v>74</v>
      </c>
      <c r="AU531" s="1">
        <v>2022.0</v>
      </c>
      <c r="AV531" s="1" t="s">
        <v>74</v>
      </c>
      <c r="AW531" s="1" t="s">
        <v>74</v>
      </c>
      <c r="AX531" s="1" t="s">
        <v>74</v>
      </c>
      <c r="AY531" s="1" t="s">
        <v>74</v>
      </c>
      <c r="AZ531" s="1" t="s">
        <v>74</v>
      </c>
      <c r="BA531" s="1" t="s">
        <v>74</v>
      </c>
      <c r="BB531" s="1">
        <v>117.0</v>
      </c>
      <c r="BC531" s="1">
        <v>122.0</v>
      </c>
      <c r="BD531" s="1" t="s">
        <v>74</v>
      </c>
      <c r="BE531" s="1" t="s">
        <v>10951</v>
      </c>
      <c r="BF531" s="2" t="str">
        <f>HYPERLINK("http://dx.doi.org/10.1109/ICEEE55327.2022.9772559","http://dx.doi.org/10.1109/ICEEE55327.2022.9772559")</f>
        <v>http://dx.doi.org/10.1109/ICEEE55327.2022.9772559</v>
      </c>
      <c r="BG531" s="1" t="s">
        <v>74</v>
      </c>
      <c r="BH531" s="1" t="s">
        <v>74</v>
      </c>
      <c r="BI531" s="1">
        <v>6.0</v>
      </c>
      <c r="BJ531" s="1" t="s">
        <v>1324</v>
      </c>
      <c r="BK531" s="1" t="s">
        <v>128</v>
      </c>
      <c r="BL531" s="1" t="s">
        <v>1325</v>
      </c>
      <c r="BM531" s="1" t="s">
        <v>10952</v>
      </c>
      <c r="BN531" s="1" t="s">
        <v>74</v>
      </c>
      <c r="BO531" s="1" t="s">
        <v>74</v>
      </c>
      <c r="BP531" s="1" t="s">
        <v>74</v>
      </c>
      <c r="BQ531" s="1" t="s">
        <v>74</v>
      </c>
      <c r="BR531" s="1" t="s">
        <v>102</v>
      </c>
      <c r="BS531" s="1" t="s">
        <v>10953</v>
      </c>
      <c r="BT531" s="1" t="str">
        <f>HYPERLINK("https%3A%2F%2Fwww.webofscience.com%2Fwos%2Fwoscc%2Ffull-record%2FWOS:000852441800025","View Full Record in Web of Science")</f>
        <v>View Full Record in Web of Science</v>
      </c>
    </row>
    <row r="532" ht="12.75" customHeight="1">
      <c r="A532" s="1" t="s">
        <v>72</v>
      </c>
      <c r="B532" s="1" t="s">
        <v>10954</v>
      </c>
      <c r="C532" s="1" t="s">
        <v>74</v>
      </c>
      <c r="D532" s="1" t="s">
        <v>74</v>
      </c>
      <c r="E532" s="1" t="s">
        <v>236</v>
      </c>
      <c r="F532" s="1" t="s">
        <v>10955</v>
      </c>
      <c r="G532" s="1" t="s">
        <v>74</v>
      </c>
      <c r="H532" s="1" t="s">
        <v>74</v>
      </c>
      <c r="I532" s="1" t="s">
        <v>10956</v>
      </c>
      <c r="J532" s="1" t="s">
        <v>10957</v>
      </c>
      <c r="K532" s="1" t="s">
        <v>74</v>
      </c>
      <c r="L532" s="1" t="s">
        <v>74</v>
      </c>
      <c r="M532" s="1" t="s">
        <v>80</v>
      </c>
      <c r="N532" s="1" t="s">
        <v>81</v>
      </c>
      <c r="O532" s="1" t="s">
        <v>10958</v>
      </c>
      <c r="P532" s="1" t="s">
        <v>10959</v>
      </c>
      <c r="Q532" s="1" t="s">
        <v>10960</v>
      </c>
      <c r="R532" s="1" t="s">
        <v>236</v>
      </c>
      <c r="S532" s="1" t="s">
        <v>10961</v>
      </c>
      <c r="T532" s="1" t="s">
        <v>10962</v>
      </c>
      <c r="U532" s="1" t="s">
        <v>74</v>
      </c>
      <c r="V532" s="1" t="s">
        <v>10963</v>
      </c>
      <c r="W532" s="1" t="s">
        <v>10964</v>
      </c>
      <c r="X532" s="1" t="s">
        <v>10965</v>
      </c>
      <c r="Y532" s="1" t="s">
        <v>10966</v>
      </c>
      <c r="Z532" s="1" t="s">
        <v>10967</v>
      </c>
      <c r="AA532" s="1" t="s">
        <v>10968</v>
      </c>
      <c r="AB532" s="1" t="s">
        <v>10969</v>
      </c>
      <c r="AC532" s="1" t="s">
        <v>10970</v>
      </c>
      <c r="AD532" s="1" t="s">
        <v>10971</v>
      </c>
      <c r="AE532" s="1" t="s">
        <v>10972</v>
      </c>
      <c r="AF532" s="1" t="s">
        <v>74</v>
      </c>
      <c r="AG532" s="1">
        <v>28.0</v>
      </c>
      <c r="AH532" s="1">
        <v>6.0</v>
      </c>
      <c r="AI532" s="1">
        <v>6.0</v>
      </c>
      <c r="AJ532" s="1">
        <v>0.0</v>
      </c>
      <c r="AK532" s="1">
        <v>9.0</v>
      </c>
      <c r="AL532" s="1" t="s">
        <v>236</v>
      </c>
      <c r="AM532" s="1" t="s">
        <v>193</v>
      </c>
      <c r="AN532" s="1" t="s">
        <v>252</v>
      </c>
      <c r="AO532" s="1" t="s">
        <v>74</v>
      </c>
      <c r="AP532" s="1" t="s">
        <v>74</v>
      </c>
      <c r="AQ532" s="1" t="s">
        <v>10973</v>
      </c>
      <c r="AR532" s="1" t="s">
        <v>74</v>
      </c>
      <c r="AS532" s="1" t="s">
        <v>74</v>
      </c>
      <c r="AT532" s="1" t="s">
        <v>74</v>
      </c>
      <c r="AU532" s="1">
        <v>2018.0</v>
      </c>
      <c r="AV532" s="1" t="s">
        <v>74</v>
      </c>
      <c r="AW532" s="1" t="s">
        <v>74</v>
      </c>
      <c r="AX532" s="1" t="s">
        <v>74</v>
      </c>
      <c r="AY532" s="1" t="s">
        <v>74</v>
      </c>
      <c r="AZ532" s="1" t="s">
        <v>74</v>
      </c>
      <c r="BA532" s="1" t="s">
        <v>74</v>
      </c>
      <c r="BB532" s="1">
        <v>56.0</v>
      </c>
      <c r="BC532" s="1">
        <v>61.0</v>
      </c>
      <c r="BD532" s="1" t="s">
        <v>74</v>
      </c>
      <c r="BE532" s="1" t="s">
        <v>74</v>
      </c>
      <c r="BF532" s="1" t="s">
        <v>74</v>
      </c>
      <c r="BG532" s="1" t="s">
        <v>74</v>
      </c>
      <c r="BH532" s="1" t="s">
        <v>74</v>
      </c>
      <c r="BI532" s="1">
        <v>6.0</v>
      </c>
      <c r="BJ532" s="1" t="s">
        <v>9419</v>
      </c>
      <c r="BK532" s="1" t="s">
        <v>128</v>
      </c>
      <c r="BL532" s="1" t="s">
        <v>1325</v>
      </c>
      <c r="BM532" s="1" t="s">
        <v>10974</v>
      </c>
      <c r="BN532" s="1" t="s">
        <v>74</v>
      </c>
      <c r="BO532" s="1" t="s">
        <v>74</v>
      </c>
      <c r="BP532" s="1" t="s">
        <v>74</v>
      </c>
      <c r="BQ532" s="1" t="s">
        <v>74</v>
      </c>
      <c r="BR532" s="1" t="s">
        <v>102</v>
      </c>
      <c r="BS532" s="1" t="s">
        <v>10975</v>
      </c>
      <c r="BT532" s="1" t="str">
        <f>HYPERLINK("https%3A%2F%2Fwww.webofscience.com%2Fwos%2Fwoscc%2Ffull-record%2FWOS:000454758300011","View Full Record in Web of Science")</f>
        <v>View Full Record in Web of Science</v>
      </c>
    </row>
    <row r="533" ht="12.75" customHeight="1">
      <c r="A533" s="1" t="s">
        <v>132</v>
      </c>
      <c r="B533" s="1" t="s">
        <v>10976</v>
      </c>
      <c r="C533" s="1" t="s">
        <v>74</v>
      </c>
      <c r="D533" s="1" t="s">
        <v>74</v>
      </c>
      <c r="E533" s="1" t="s">
        <v>74</v>
      </c>
      <c r="F533" s="1" t="s">
        <v>10976</v>
      </c>
      <c r="G533" s="1" t="s">
        <v>74</v>
      </c>
      <c r="H533" s="1" t="s">
        <v>74</v>
      </c>
      <c r="I533" s="1" t="s">
        <v>10977</v>
      </c>
      <c r="J533" s="1" t="s">
        <v>10978</v>
      </c>
      <c r="K533" s="1" t="s">
        <v>74</v>
      </c>
      <c r="L533" s="1" t="s">
        <v>74</v>
      </c>
      <c r="M533" s="1" t="s">
        <v>10979</v>
      </c>
      <c r="N533" s="1" t="s">
        <v>136</v>
      </c>
      <c r="O533" s="1" t="s">
        <v>74</v>
      </c>
      <c r="P533" s="1" t="s">
        <v>74</v>
      </c>
      <c r="Q533" s="1" t="s">
        <v>74</v>
      </c>
      <c r="R533" s="1" t="s">
        <v>74</v>
      </c>
      <c r="S533" s="1" t="s">
        <v>74</v>
      </c>
      <c r="T533" s="1" t="s">
        <v>10980</v>
      </c>
      <c r="U533" s="1" t="s">
        <v>74</v>
      </c>
      <c r="V533" s="1" t="s">
        <v>10981</v>
      </c>
      <c r="W533" s="1" t="s">
        <v>74</v>
      </c>
      <c r="X533" s="1" t="s">
        <v>74</v>
      </c>
      <c r="Y533" s="1" t="s">
        <v>74</v>
      </c>
      <c r="Z533" s="1" t="s">
        <v>74</v>
      </c>
      <c r="AA533" s="1" t="s">
        <v>74</v>
      </c>
      <c r="AB533" s="1" t="s">
        <v>74</v>
      </c>
      <c r="AC533" s="1" t="s">
        <v>74</v>
      </c>
      <c r="AD533" s="1" t="s">
        <v>74</v>
      </c>
      <c r="AE533" s="1" t="s">
        <v>74</v>
      </c>
      <c r="AF533" s="1" t="s">
        <v>74</v>
      </c>
      <c r="AG533" s="1">
        <v>90.0</v>
      </c>
      <c r="AH533" s="1">
        <v>0.0</v>
      </c>
      <c r="AI533" s="1">
        <v>0.0</v>
      </c>
      <c r="AJ533" s="1">
        <v>1.0</v>
      </c>
      <c r="AK533" s="1">
        <v>13.0</v>
      </c>
      <c r="AL533" s="1" t="s">
        <v>10982</v>
      </c>
      <c r="AM533" s="1" t="s">
        <v>10983</v>
      </c>
      <c r="AN533" s="1" t="s">
        <v>10984</v>
      </c>
      <c r="AO533" s="1" t="s">
        <v>10985</v>
      </c>
      <c r="AP533" s="1" t="s">
        <v>74</v>
      </c>
      <c r="AQ533" s="1" t="s">
        <v>74</v>
      </c>
      <c r="AR533" s="1" t="s">
        <v>10986</v>
      </c>
      <c r="AS533" s="1" t="s">
        <v>10987</v>
      </c>
      <c r="AT533" s="1" t="s">
        <v>74</v>
      </c>
      <c r="AU533" s="1">
        <v>2015.0</v>
      </c>
      <c r="AV533" s="1">
        <v>15.0</v>
      </c>
      <c r="AW533" s="1">
        <v>4.0</v>
      </c>
      <c r="AX533" s="1" t="s">
        <v>74</v>
      </c>
      <c r="AY533" s="1" t="s">
        <v>74</v>
      </c>
      <c r="AZ533" s="1" t="s">
        <v>74</v>
      </c>
      <c r="BA533" s="1" t="s">
        <v>74</v>
      </c>
      <c r="BB533" s="1">
        <v>60.0</v>
      </c>
      <c r="BC533" s="1" t="s">
        <v>1280</v>
      </c>
      <c r="BD533" s="1" t="s">
        <v>74</v>
      </c>
      <c r="BE533" s="1" t="s">
        <v>74</v>
      </c>
      <c r="BF533" s="1" t="s">
        <v>74</v>
      </c>
      <c r="BG533" s="1" t="s">
        <v>74</v>
      </c>
      <c r="BH533" s="1" t="s">
        <v>74</v>
      </c>
      <c r="BI533" s="1">
        <v>18.0</v>
      </c>
      <c r="BJ533" s="1" t="s">
        <v>358</v>
      </c>
      <c r="BK533" s="1" t="s">
        <v>203</v>
      </c>
      <c r="BL533" s="1" t="s">
        <v>358</v>
      </c>
      <c r="BM533" s="1" t="s">
        <v>10988</v>
      </c>
      <c r="BN533" s="1" t="s">
        <v>74</v>
      </c>
      <c r="BO533" s="1" t="s">
        <v>74</v>
      </c>
      <c r="BP533" s="1" t="s">
        <v>74</v>
      </c>
      <c r="BQ533" s="1" t="s">
        <v>74</v>
      </c>
      <c r="BR533" s="1" t="s">
        <v>102</v>
      </c>
      <c r="BS533" s="1" t="s">
        <v>10989</v>
      </c>
      <c r="BT533" s="1" t="str">
        <f>HYPERLINK("https%3A%2F%2Fwww.webofscience.com%2Fwos%2Fwoscc%2Ffull-record%2FWOS:000373867900008","View Full Record in Web of Science")</f>
        <v>View Full Record in Web of Science</v>
      </c>
    </row>
    <row r="534" ht="12.75" customHeight="1">
      <c r="A534" s="1" t="s">
        <v>132</v>
      </c>
      <c r="B534" s="1" t="s">
        <v>10990</v>
      </c>
      <c r="C534" s="1" t="s">
        <v>74</v>
      </c>
      <c r="D534" s="1" t="s">
        <v>74</v>
      </c>
      <c r="E534" s="1" t="s">
        <v>74</v>
      </c>
      <c r="F534" s="1" t="s">
        <v>10991</v>
      </c>
      <c r="G534" s="1" t="s">
        <v>74</v>
      </c>
      <c r="H534" s="1" t="s">
        <v>74</v>
      </c>
      <c r="I534" s="1" t="s">
        <v>10992</v>
      </c>
      <c r="J534" s="1" t="s">
        <v>10993</v>
      </c>
      <c r="K534" s="1" t="s">
        <v>74</v>
      </c>
      <c r="L534" s="1" t="s">
        <v>74</v>
      </c>
      <c r="M534" s="1" t="s">
        <v>80</v>
      </c>
      <c r="N534" s="1" t="s">
        <v>136</v>
      </c>
      <c r="O534" s="1" t="s">
        <v>74</v>
      </c>
      <c r="P534" s="1" t="s">
        <v>74</v>
      </c>
      <c r="Q534" s="1" t="s">
        <v>74</v>
      </c>
      <c r="R534" s="1" t="s">
        <v>74</v>
      </c>
      <c r="S534" s="1" t="s">
        <v>74</v>
      </c>
      <c r="T534" s="1" t="s">
        <v>10994</v>
      </c>
      <c r="U534" s="1" t="s">
        <v>74</v>
      </c>
      <c r="V534" s="1" t="s">
        <v>10995</v>
      </c>
      <c r="W534" s="1" t="s">
        <v>10996</v>
      </c>
      <c r="X534" s="1" t="s">
        <v>10997</v>
      </c>
      <c r="Y534" s="1" t="s">
        <v>10998</v>
      </c>
      <c r="Z534" s="1" t="s">
        <v>10999</v>
      </c>
      <c r="AA534" s="1" t="s">
        <v>11000</v>
      </c>
      <c r="AB534" s="1" t="s">
        <v>11001</v>
      </c>
      <c r="AC534" s="1" t="s">
        <v>11002</v>
      </c>
      <c r="AD534" s="1" t="s">
        <v>11003</v>
      </c>
      <c r="AE534" s="1" t="s">
        <v>11004</v>
      </c>
      <c r="AF534" s="1" t="s">
        <v>74</v>
      </c>
      <c r="AG534" s="1">
        <v>20.0</v>
      </c>
      <c r="AH534" s="1">
        <v>0.0</v>
      </c>
      <c r="AI534" s="1">
        <v>0.0</v>
      </c>
      <c r="AJ534" s="1">
        <v>2.0</v>
      </c>
      <c r="AK534" s="1">
        <v>2.0</v>
      </c>
      <c r="AL534" s="1" t="s">
        <v>11005</v>
      </c>
      <c r="AM534" s="1" t="s">
        <v>11006</v>
      </c>
      <c r="AN534" s="1" t="s">
        <v>11007</v>
      </c>
      <c r="AO534" s="1" t="s">
        <v>11008</v>
      </c>
      <c r="AP534" s="1" t="s">
        <v>11009</v>
      </c>
      <c r="AQ534" s="1" t="s">
        <v>74</v>
      </c>
      <c r="AR534" s="1" t="s">
        <v>11010</v>
      </c>
      <c r="AS534" s="1" t="s">
        <v>11011</v>
      </c>
      <c r="AT534" s="1" t="s">
        <v>302</v>
      </c>
      <c r="AU534" s="1">
        <v>2024.0</v>
      </c>
      <c r="AV534" s="1">
        <v>11.0</v>
      </c>
      <c r="AW534" s="1">
        <v>2.0</v>
      </c>
      <c r="AX534" s="1" t="s">
        <v>74</v>
      </c>
      <c r="AY534" s="1" t="s">
        <v>74</v>
      </c>
      <c r="AZ534" s="1" t="s">
        <v>74</v>
      </c>
      <c r="BA534" s="1" t="s">
        <v>74</v>
      </c>
      <c r="BB534" s="1">
        <v>142.0</v>
      </c>
      <c r="BC534" s="1">
        <v>148.0</v>
      </c>
      <c r="BD534" s="1" t="s">
        <v>74</v>
      </c>
      <c r="BE534" s="1" t="s">
        <v>11012</v>
      </c>
      <c r="BF534" s="2" t="str">
        <f>HYPERLINK("http://dx.doi.org/10.6087/kcse.338","http://dx.doi.org/10.6087/kcse.338")</f>
        <v>http://dx.doi.org/10.6087/kcse.338</v>
      </c>
      <c r="BG534" s="1" t="s">
        <v>74</v>
      </c>
      <c r="BH534" s="1" t="s">
        <v>74</v>
      </c>
      <c r="BI534" s="1">
        <v>7.0</v>
      </c>
      <c r="BJ534" s="1" t="s">
        <v>2183</v>
      </c>
      <c r="BK534" s="1" t="s">
        <v>172</v>
      </c>
      <c r="BL534" s="1" t="s">
        <v>2183</v>
      </c>
      <c r="BM534" s="1" t="s">
        <v>11013</v>
      </c>
      <c r="BN534" s="1" t="s">
        <v>74</v>
      </c>
      <c r="BO534" s="1" t="s">
        <v>174</v>
      </c>
      <c r="BP534" s="1" t="s">
        <v>74</v>
      </c>
      <c r="BQ534" s="1" t="s">
        <v>74</v>
      </c>
      <c r="BR534" s="1" t="s">
        <v>102</v>
      </c>
      <c r="BS534" s="1" t="s">
        <v>11014</v>
      </c>
      <c r="BT534" s="1" t="str">
        <f>HYPERLINK("https%3A%2F%2Fwww.webofscience.com%2Fwos%2Fwoscc%2Ffull-record%2FWOS:001304471600007","View Full Record in Web of Science")</f>
        <v>View Full Record in Web of Science</v>
      </c>
    </row>
    <row r="535" ht="12.75" customHeight="1">
      <c r="A535" s="1" t="s">
        <v>132</v>
      </c>
      <c r="B535" s="1" t="s">
        <v>11015</v>
      </c>
      <c r="C535" s="1" t="s">
        <v>74</v>
      </c>
      <c r="D535" s="1" t="s">
        <v>74</v>
      </c>
      <c r="E535" s="1" t="s">
        <v>74</v>
      </c>
      <c r="F535" s="1" t="s">
        <v>11016</v>
      </c>
      <c r="G535" s="1" t="s">
        <v>74</v>
      </c>
      <c r="H535" s="1" t="s">
        <v>74</v>
      </c>
      <c r="I535" s="1" t="s">
        <v>11017</v>
      </c>
      <c r="J535" s="1" t="s">
        <v>1602</v>
      </c>
      <c r="K535" s="1" t="s">
        <v>74</v>
      </c>
      <c r="L535" s="1" t="s">
        <v>74</v>
      </c>
      <c r="M535" s="1" t="s">
        <v>80</v>
      </c>
      <c r="N535" s="1" t="s">
        <v>136</v>
      </c>
      <c r="O535" s="1" t="s">
        <v>74</v>
      </c>
      <c r="P535" s="1" t="s">
        <v>74</v>
      </c>
      <c r="Q535" s="1" t="s">
        <v>74</v>
      </c>
      <c r="R535" s="1" t="s">
        <v>74</v>
      </c>
      <c r="S535" s="1" t="s">
        <v>74</v>
      </c>
      <c r="T535" s="1" t="s">
        <v>11018</v>
      </c>
      <c r="U535" s="1" t="s">
        <v>11019</v>
      </c>
      <c r="V535" s="1" t="s">
        <v>11020</v>
      </c>
      <c r="W535" s="1" t="s">
        <v>11021</v>
      </c>
      <c r="X535" s="1" t="s">
        <v>11022</v>
      </c>
      <c r="Y535" s="1" t="s">
        <v>11023</v>
      </c>
      <c r="Z535" s="1" t="s">
        <v>11024</v>
      </c>
      <c r="AA535" s="1" t="s">
        <v>74</v>
      </c>
      <c r="AB535" s="1" t="s">
        <v>11025</v>
      </c>
      <c r="AC535" s="1" t="s">
        <v>11026</v>
      </c>
      <c r="AD535" s="1" t="s">
        <v>11027</v>
      </c>
      <c r="AE535" s="1" t="s">
        <v>11028</v>
      </c>
      <c r="AF535" s="1" t="s">
        <v>74</v>
      </c>
      <c r="AG535" s="1">
        <v>111.0</v>
      </c>
      <c r="AH535" s="1">
        <v>13.0</v>
      </c>
      <c r="AI535" s="1">
        <v>14.0</v>
      </c>
      <c r="AJ535" s="1">
        <v>13.0</v>
      </c>
      <c r="AK535" s="1">
        <v>87.0</v>
      </c>
      <c r="AL535" s="1" t="s">
        <v>1612</v>
      </c>
      <c r="AM535" s="1" t="s">
        <v>1613</v>
      </c>
      <c r="AN535" s="1" t="s">
        <v>1614</v>
      </c>
      <c r="AO535" s="1" t="s">
        <v>1615</v>
      </c>
      <c r="AP535" s="1" t="s">
        <v>74</v>
      </c>
      <c r="AQ535" s="1" t="s">
        <v>74</v>
      </c>
      <c r="AR535" s="1" t="s">
        <v>1602</v>
      </c>
      <c r="AS535" s="1" t="s">
        <v>1616</v>
      </c>
      <c r="AT535" s="1" t="s">
        <v>74</v>
      </c>
      <c r="AU535" s="1">
        <v>2020.0</v>
      </c>
      <c r="AV535" s="1">
        <v>8.0</v>
      </c>
      <c r="AW535" s="1" t="s">
        <v>74</v>
      </c>
      <c r="AX535" s="1" t="s">
        <v>74</v>
      </c>
      <c r="AY535" s="1" t="s">
        <v>74</v>
      </c>
      <c r="AZ535" s="1" t="s">
        <v>74</v>
      </c>
      <c r="BA535" s="1" t="s">
        <v>74</v>
      </c>
      <c r="BB535" s="1">
        <v>131614.0</v>
      </c>
      <c r="BC535" s="1">
        <v>131625.0</v>
      </c>
      <c r="BD535" s="1" t="s">
        <v>74</v>
      </c>
      <c r="BE535" s="1" t="s">
        <v>11029</v>
      </c>
      <c r="BF535" s="2" t="str">
        <f>HYPERLINK("http://dx.doi.org/10.1109/ACCESS.2020.3009840","http://dx.doi.org/10.1109/ACCESS.2020.3009840")</f>
        <v>http://dx.doi.org/10.1109/ACCESS.2020.3009840</v>
      </c>
      <c r="BG535" s="1" t="s">
        <v>74</v>
      </c>
      <c r="BH535" s="1" t="s">
        <v>74</v>
      </c>
      <c r="BI535" s="1">
        <v>12.0</v>
      </c>
      <c r="BJ535" s="1" t="s">
        <v>1618</v>
      </c>
      <c r="BK535" s="1" t="s">
        <v>149</v>
      </c>
      <c r="BL535" s="1" t="s">
        <v>1619</v>
      </c>
      <c r="BM535" s="1" t="s">
        <v>11030</v>
      </c>
      <c r="BN535" s="1" t="s">
        <v>74</v>
      </c>
      <c r="BO535" s="1" t="s">
        <v>174</v>
      </c>
      <c r="BP535" s="1" t="s">
        <v>74</v>
      </c>
      <c r="BQ535" s="1" t="s">
        <v>74</v>
      </c>
      <c r="BR535" s="1" t="s">
        <v>102</v>
      </c>
      <c r="BS535" s="1" t="s">
        <v>11031</v>
      </c>
      <c r="BT535" s="1" t="str">
        <f>HYPERLINK("https%3A%2F%2Fwww.webofscience.com%2Fwos%2Fwoscc%2Ffull-record%2FWOS:000552985000001","View Full Record in Web of Science")</f>
        <v>View Full Record in Web of Science</v>
      </c>
    </row>
    <row r="536" ht="12.75" customHeight="1">
      <c r="A536" s="1" t="s">
        <v>132</v>
      </c>
      <c r="B536" s="1" t="s">
        <v>11032</v>
      </c>
      <c r="C536" s="1" t="s">
        <v>74</v>
      </c>
      <c r="D536" s="1" t="s">
        <v>74</v>
      </c>
      <c r="E536" s="1" t="s">
        <v>74</v>
      </c>
      <c r="F536" s="1" t="s">
        <v>11033</v>
      </c>
      <c r="G536" s="1" t="s">
        <v>74</v>
      </c>
      <c r="H536" s="1" t="s">
        <v>74</v>
      </c>
      <c r="I536" s="1" t="s">
        <v>11034</v>
      </c>
      <c r="J536" s="1" t="s">
        <v>11035</v>
      </c>
      <c r="K536" s="1" t="s">
        <v>74</v>
      </c>
      <c r="L536" s="1" t="s">
        <v>74</v>
      </c>
      <c r="M536" s="1" t="s">
        <v>80</v>
      </c>
      <c r="N536" s="1" t="s">
        <v>136</v>
      </c>
      <c r="O536" s="1" t="s">
        <v>74</v>
      </c>
      <c r="P536" s="1" t="s">
        <v>74</v>
      </c>
      <c r="Q536" s="1" t="s">
        <v>74</v>
      </c>
      <c r="R536" s="1" t="s">
        <v>74</v>
      </c>
      <c r="S536" s="1" t="s">
        <v>74</v>
      </c>
      <c r="T536" s="1" t="s">
        <v>11036</v>
      </c>
      <c r="U536" s="1" t="s">
        <v>4998</v>
      </c>
      <c r="V536" s="1" t="s">
        <v>11037</v>
      </c>
      <c r="W536" s="1" t="s">
        <v>11038</v>
      </c>
      <c r="X536" s="1" t="s">
        <v>11039</v>
      </c>
      <c r="Y536" s="1" t="s">
        <v>11040</v>
      </c>
      <c r="Z536" s="1" t="s">
        <v>11041</v>
      </c>
      <c r="AA536" s="1" t="s">
        <v>11042</v>
      </c>
      <c r="AB536" s="1" t="s">
        <v>11043</v>
      </c>
      <c r="AC536" s="1" t="s">
        <v>74</v>
      </c>
      <c r="AD536" s="1" t="s">
        <v>74</v>
      </c>
      <c r="AE536" s="1" t="s">
        <v>74</v>
      </c>
      <c r="AF536" s="1" t="s">
        <v>74</v>
      </c>
      <c r="AG536" s="1">
        <v>42.0</v>
      </c>
      <c r="AH536" s="1">
        <v>6.0</v>
      </c>
      <c r="AI536" s="1">
        <v>5.0</v>
      </c>
      <c r="AJ536" s="1">
        <v>3.0</v>
      </c>
      <c r="AK536" s="1">
        <v>4.0</v>
      </c>
      <c r="AL536" s="1" t="s">
        <v>1020</v>
      </c>
      <c r="AM536" s="1" t="s">
        <v>1021</v>
      </c>
      <c r="AN536" s="1" t="s">
        <v>1022</v>
      </c>
      <c r="AO536" s="1" t="s">
        <v>11044</v>
      </c>
      <c r="AP536" s="1" t="s">
        <v>11045</v>
      </c>
      <c r="AQ536" s="1" t="s">
        <v>74</v>
      </c>
      <c r="AR536" s="1" t="s">
        <v>11046</v>
      </c>
      <c r="AS536" s="1" t="s">
        <v>11047</v>
      </c>
      <c r="AT536" s="1" t="s">
        <v>1364</v>
      </c>
      <c r="AU536" s="1">
        <v>2024.0</v>
      </c>
      <c r="AV536" s="1">
        <v>59.0</v>
      </c>
      <c r="AW536" s="1">
        <v>5.0</v>
      </c>
      <c r="AX536" s="1" t="s">
        <v>74</v>
      </c>
      <c r="AY536" s="1" t="s">
        <v>74</v>
      </c>
      <c r="AZ536" s="1" t="s">
        <v>74</v>
      </c>
      <c r="BA536" s="1" t="s">
        <v>74</v>
      </c>
      <c r="BB536" s="1">
        <v>404.0</v>
      </c>
      <c r="BC536" s="1">
        <v>412.0</v>
      </c>
      <c r="BD536" s="1" t="s">
        <v>74</v>
      </c>
      <c r="BE536" s="1" t="s">
        <v>11048</v>
      </c>
      <c r="BF536" s="2" t="str">
        <f>HYPERLINK("http://dx.doi.org/10.1097/RLI.0000000000001034","http://dx.doi.org/10.1097/RLI.0000000000001034")</f>
        <v>http://dx.doi.org/10.1097/RLI.0000000000001034</v>
      </c>
      <c r="BG536" s="1" t="s">
        <v>74</v>
      </c>
      <c r="BH536" s="1" t="s">
        <v>74</v>
      </c>
      <c r="BI536" s="1">
        <v>9.0</v>
      </c>
      <c r="BJ536" s="1" t="s">
        <v>656</v>
      </c>
      <c r="BK536" s="1" t="s">
        <v>149</v>
      </c>
      <c r="BL536" s="1" t="s">
        <v>656</v>
      </c>
      <c r="BM536" s="1" t="s">
        <v>11049</v>
      </c>
      <c r="BN536" s="1">
        <v>3.7843828E7</v>
      </c>
      <c r="BO536" s="1" t="s">
        <v>74</v>
      </c>
      <c r="BP536" s="1" t="s">
        <v>74</v>
      </c>
      <c r="BQ536" s="1" t="s">
        <v>74</v>
      </c>
      <c r="BR536" s="1" t="s">
        <v>102</v>
      </c>
      <c r="BS536" s="1" t="s">
        <v>11050</v>
      </c>
      <c r="BT536" s="1" t="str">
        <f>HYPERLINK("https%3A%2F%2Fwww.webofscience.com%2Fwos%2Fwoscc%2Ffull-record%2FWOS:001198922700002","View Full Record in Web of Science")</f>
        <v>View Full Record in Web of Science</v>
      </c>
    </row>
    <row r="537" ht="12.75" customHeight="1">
      <c r="A537" s="1" t="s">
        <v>72</v>
      </c>
      <c r="B537" s="1" t="s">
        <v>11051</v>
      </c>
      <c r="C537" s="1" t="s">
        <v>74</v>
      </c>
      <c r="D537" s="1" t="s">
        <v>105</v>
      </c>
      <c r="E537" s="1" t="s">
        <v>74</v>
      </c>
      <c r="F537" s="1" t="s">
        <v>11052</v>
      </c>
      <c r="G537" s="1" t="s">
        <v>74</v>
      </c>
      <c r="H537" s="1" t="s">
        <v>74</v>
      </c>
      <c r="I537" s="1" t="s">
        <v>11053</v>
      </c>
      <c r="J537" s="1" t="s">
        <v>108</v>
      </c>
      <c r="K537" s="1" t="s">
        <v>74</v>
      </c>
      <c r="L537" s="1" t="s">
        <v>74</v>
      </c>
      <c r="M537" s="1" t="s">
        <v>80</v>
      </c>
      <c r="N537" s="1" t="s">
        <v>81</v>
      </c>
      <c r="O537" s="1" t="s">
        <v>109</v>
      </c>
      <c r="P537" s="1" t="s">
        <v>110</v>
      </c>
      <c r="Q537" s="1" t="s">
        <v>111</v>
      </c>
      <c r="R537" s="1" t="s">
        <v>112</v>
      </c>
      <c r="S537" s="1" t="s">
        <v>113</v>
      </c>
      <c r="T537" s="1" t="s">
        <v>11054</v>
      </c>
      <c r="U537" s="1" t="s">
        <v>74</v>
      </c>
      <c r="V537" s="1" t="s">
        <v>11055</v>
      </c>
      <c r="W537" s="1" t="s">
        <v>11056</v>
      </c>
      <c r="X537" s="1" t="s">
        <v>11057</v>
      </c>
      <c r="Y537" s="1" t="s">
        <v>11058</v>
      </c>
      <c r="Z537" s="1" t="s">
        <v>11059</v>
      </c>
      <c r="AA537" s="1" t="s">
        <v>74</v>
      </c>
      <c r="AB537" s="1" t="s">
        <v>74</v>
      </c>
      <c r="AC537" s="1" t="s">
        <v>74</v>
      </c>
      <c r="AD537" s="1" t="s">
        <v>74</v>
      </c>
      <c r="AE537" s="1" t="s">
        <v>74</v>
      </c>
      <c r="AF537" s="1" t="s">
        <v>74</v>
      </c>
      <c r="AG537" s="1">
        <v>24.0</v>
      </c>
      <c r="AH537" s="1">
        <v>0.0</v>
      </c>
      <c r="AI537" s="1">
        <v>0.0</v>
      </c>
      <c r="AJ537" s="1">
        <v>1.0</v>
      </c>
      <c r="AK537" s="1">
        <v>4.0</v>
      </c>
      <c r="AL537" s="1" t="s">
        <v>122</v>
      </c>
      <c r="AM537" s="1" t="s">
        <v>123</v>
      </c>
      <c r="AN537" s="1" t="s">
        <v>124</v>
      </c>
      <c r="AO537" s="1" t="s">
        <v>74</v>
      </c>
      <c r="AP537" s="1" t="s">
        <v>74</v>
      </c>
      <c r="AQ537" s="1" t="s">
        <v>125</v>
      </c>
      <c r="AR537" s="1" t="s">
        <v>74</v>
      </c>
      <c r="AS537" s="1" t="s">
        <v>74</v>
      </c>
      <c r="AT537" s="1" t="s">
        <v>74</v>
      </c>
      <c r="AU537" s="1">
        <v>2021.0</v>
      </c>
      <c r="AV537" s="1" t="s">
        <v>74</v>
      </c>
      <c r="AW537" s="1" t="s">
        <v>74</v>
      </c>
      <c r="AX537" s="1" t="s">
        <v>74</v>
      </c>
      <c r="AY537" s="1" t="s">
        <v>74</v>
      </c>
      <c r="AZ537" s="1" t="s">
        <v>74</v>
      </c>
      <c r="BA537" s="1" t="s">
        <v>74</v>
      </c>
      <c r="BB537" s="1">
        <v>192.0</v>
      </c>
      <c r="BC537" s="1">
        <v>199.0</v>
      </c>
      <c r="BD537" s="1" t="s">
        <v>74</v>
      </c>
      <c r="BE537" s="1" t="s">
        <v>11060</v>
      </c>
      <c r="BF537" s="2" t="str">
        <f>HYPERLINK("http://dx.doi.org/10.34190/EAIR.21.009","http://dx.doi.org/10.34190/EAIR.21.009")</f>
        <v>http://dx.doi.org/10.34190/EAIR.21.009</v>
      </c>
      <c r="BG537" s="1" t="s">
        <v>74</v>
      </c>
      <c r="BH537" s="1" t="s">
        <v>74</v>
      </c>
      <c r="BI537" s="1">
        <v>8.0</v>
      </c>
      <c r="BJ537" s="1" t="s">
        <v>127</v>
      </c>
      <c r="BK537" s="1" t="s">
        <v>128</v>
      </c>
      <c r="BL537" s="1" t="s">
        <v>129</v>
      </c>
      <c r="BM537" s="1" t="s">
        <v>130</v>
      </c>
      <c r="BN537" s="1" t="s">
        <v>74</v>
      </c>
      <c r="BO537" s="1" t="s">
        <v>74</v>
      </c>
      <c r="BP537" s="1" t="s">
        <v>74</v>
      </c>
      <c r="BQ537" s="1" t="s">
        <v>74</v>
      </c>
      <c r="BR537" s="1" t="s">
        <v>102</v>
      </c>
      <c r="BS537" s="1" t="s">
        <v>11061</v>
      </c>
      <c r="BT537" s="1" t="str">
        <f>HYPERLINK("https%3A%2F%2Fwww.webofscience.com%2Fwos%2Fwoscc%2Ffull-record%2FWOS:000838033200025","View Full Record in Web of Science")</f>
        <v>View Full Record in Web of Science</v>
      </c>
    </row>
    <row r="538" ht="12.75" customHeight="1">
      <c r="A538" s="1" t="s">
        <v>132</v>
      </c>
      <c r="B538" s="1" t="s">
        <v>11062</v>
      </c>
      <c r="C538" s="1" t="s">
        <v>74</v>
      </c>
      <c r="D538" s="1" t="s">
        <v>74</v>
      </c>
      <c r="E538" s="1" t="s">
        <v>74</v>
      </c>
      <c r="F538" s="1" t="s">
        <v>11063</v>
      </c>
      <c r="G538" s="1" t="s">
        <v>74</v>
      </c>
      <c r="H538" s="1" t="s">
        <v>74</v>
      </c>
      <c r="I538" s="1" t="s">
        <v>11064</v>
      </c>
      <c r="J538" s="1" t="s">
        <v>11065</v>
      </c>
      <c r="K538" s="1" t="s">
        <v>74</v>
      </c>
      <c r="L538" s="1" t="s">
        <v>74</v>
      </c>
      <c r="M538" s="1" t="s">
        <v>80</v>
      </c>
      <c r="N538" s="1" t="s">
        <v>1010</v>
      </c>
      <c r="O538" s="1" t="s">
        <v>74</v>
      </c>
      <c r="P538" s="1" t="s">
        <v>74</v>
      </c>
      <c r="Q538" s="1" t="s">
        <v>74</v>
      </c>
      <c r="R538" s="1" t="s">
        <v>74</v>
      </c>
      <c r="S538" s="1" t="s">
        <v>74</v>
      </c>
      <c r="T538" s="1" t="s">
        <v>11066</v>
      </c>
      <c r="U538" s="1" t="s">
        <v>11067</v>
      </c>
      <c r="V538" s="1" t="s">
        <v>11068</v>
      </c>
      <c r="W538" s="1" t="s">
        <v>11069</v>
      </c>
      <c r="X538" s="1" t="s">
        <v>11070</v>
      </c>
      <c r="Y538" s="1" t="s">
        <v>11071</v>
      </c>
      <c r="Z538" s="1" t="s">
        <v>11072</v>
      </c>
      <c r="AA538" s="1" t="s">
        <v>11073</v>
      </c>
      <c r="AB538" s="1" t="s">
        <v>11074</v>
      </c>
      <c r="AC538" s="1" t="s">
        <v>11075</v>
      </c>
      <c r="AD538" s="1" t="s">
        <v>11075</v>
      </c>
      <c r="AE538" s="1" t="s">
        <v>11075</v>
      </c>
      <c r="AF538" s="1" t="s">
        <v>74</v>
      </c>
      <c r="AG538" s="1">
        <v>151.0</v>
      </c>
      <c r="AH538" s="1">
        <v>1.0</v>
      </c>
      <c r="AI538" s="1">
        <v>1.0</v>
      </c>
      <c r="AJ538" s="1">
        <v>9.0</v>
      </c>
      <c r="AK538" s="1">
        <v>24.0</v>
      </c>
      <c r="AL538" s="1" t="s">
        <v>11076</v>
      </c>
      <c r="AM538" s="1" t="s">
        <v>11077</v>
      </c>
      <c r="AN538" s="1" t="s">
        <v>11078</v>
      </c>
      <c r="AO538" s="1" t="s">
        <v>11079</v>
      </c>
      <c r="AP538" s="1" t="s">
        <v>11080</v>
      </c>
      <c r="AQ538" s="1" t="s">
        <v>74</v>
      </c>
      <c r="AR538" s="1" t="s">
        <v>11081</v>
      </c>
      <c r="AS538" s="1" t="s">
        <v>11082</v>
      </c>
      <c r="AT538" s="1" t="s">
        <v>74</v>
      </c>
      <c r="AU538" s="1">
        <v>2023.0</v>
      </c>
      <c r="AV538" s="1">
        <v>29.0</v>
      </c>
      <c r="AW538" s="1">
        <v>21.0</v>
      </c>
      <c r="AX538" s="1" t="s">
        <v>74</v>
      </c>
      <c r="AY538" s="1" t="s">
        <v>74</v>
      </c>
      <c r="AZ538" s="1" t="s">
        <v>74</v>
      </c>
      <c r="BA538" s="1" t="s">
        <v>74</v>
      </c>
      <c r="BB538" s="1">
        <v>1645.0</v>
      </c>
      <c r="BC538" s="1">
        <v>1658.0</v>
      </c>
      <c r="BD538" s="1" t="s">
        <v>74</v>
      </c>
      <c r="BE538" s="1" t="s">
        <v>11083</v>
      </c>
      <c r="BF538" s="2" t="str">
        <f>HYPERLINK("http://dx.doi.org/10.2174/1381612829666230807161421","http://dx.doi.org/10.2174/1381612829666230807161421")</f>
        <v>http://dx.doi.org/10.2174/1381612829666230807161421</v>
      </c>
      <c r="BG538" s="1" t="s">
        <v>74</v>
      </c>
      <c r="BH538" s="1" t="s">
        <v>74</v>
      </c>
      <c r="BI538" s="1">
        <v>14.0</v>
      </c>
      <c r="BJ538" s="1" t="s">
        <v>7236</v>
      </c>
      <c r="BK538" s="1" t="s">
        <v>149</v>
      </c>
      <c r="BL538" s="1" t="s">
        <v>7236</v>
      </c>
      <c r="BM538" s="1" t="s">
        <v>11084</v>
      </c>
      <c r="BN538" s="1">
        <v>3.7550904E7</v>
      </c>
      <c r="BO538" s="1" t="s">
        <v>74</v>
      </c>
      <c r="BP538" s="1" t="s">
        <v>74</v>
      </c>
      <c r="BQ538" s="1" t="s">
        <v>74</v>
      </c>
      <c r="BR538" s="1" t="s">
        <v>102</v>
      </c>
      <c r="BS538" s="1" t="s">
        <v>11085</v>
      </c>
      <c r="BT538" s="1" t="str">
        <f>HYPERLINK("https%3A%2F%2Fwww.webofscience.com%2Fwos%2Fwoscc%2Ffull-record%2FWOS:001062898900003","View Full Record in Web of Science")</f>
        <v>View Full Record in Web of Science</v>
      </c>
    </row>
    <row r="539" ht="12.75" customHeight="1">
      <c r="A539" s="1" t="s">
        <v>132</v>
      </c>
      <c r="B539" s="1" t="s">
        <v>11086</v>
      </c>
      <c r="C539" s="1" t="s">
        <v>74</v>
      </c>
      <c r="D539" s="1" t="s">
        <v>74</v>
      </c>
      <c r="E539" s="1" t="s">
        <v>74</v>
      </c>
      <c r="F539" s="1" t="s">
        <v>11087</v>
      </c>
      <c r="G539" s="1" t="s">
        <v>74</v>
      </c>
      <c r="H539" s="1" t="s">
        <v>74</v>
      </c>
      <c r="I539" s="1" t="s">
        <v>11088</v>
      </c>
      <c r="J539" s="1" t="s">
        <v>3728</v>
      </c>
      <c r="K539" s="1" t="s">
        <v>74</v>
      </c>
      <c r="L539" s="1" t="s">
        <v>74</v>
      </c>
      <c r="M539" s="1" t="s">
        <v>80</v>
      </c>
      <c r="N539" s="1" t="s">
        <v>136</v>
      </c>
      <c r="O539" s="1" t="s">
        <v>74</v>
      </c>
      <c r="P539" s="1" t="s">
        <v>74</v>
      </c>
      <c r="Q539" s="1" t="s">
        <v>74</v>
      </c>
      <c r="R539" s="1" t="s">
        <v>74</v>
      </c>
      <c r="S539" s="1" t="s">
        <v>74</v>
      </c>
      <c r="T539" s="1" t="s">
        <v>11089</v>
      </c>
      <c r="U539" s="1" t="s">
        <v>11090</v>
      </c>
      <c r="V539" s="1" t="s">
        <v>11091</v>
      </c>
      <c r="W539" s="1" t="s">
        <v>11092</v>
      </c>
      <c r="X539" s="1" t="s">
        <v>11093</v>
      </c>
      <c r="Y539" s="1" t="s">
        <v>11094</v>
      </c>
      <c r="Z539" s="1" t="s">
        <v>11095</v>
      </c>
      <c r="AA539" s="1" t="s">
        <v>74</v>
      </c>
      <c r="AB539" s="1" t="s">
        <v>74</v>
      </c>
      <c r="AC539" s="1" t="s">
        <v>74</v>
      </c>
      <c r="AD539" s="1" t="s">
        <v>74</v>
      </c>
      <c r="AE539" s="1" t="s">
        <v>74</v>
      </c>
      <c r="AF539" s="1" t="s">
        <v>74</v>
      </c>
      <c r="AG539" s="1">
        <v>25.0</v>
      </c>
      <c r="AH539" s="1">
        <v>4.0</v>
      </c>
      <c r="AI539" s="1">
        <v>4.0</v>
      </c>
      <c r="AJ539" s="1">
        <v>69.0</v>
      </c>
      <c r="AK539" s="1">
        <v>103.0</v>
      </c>
      <c r="AL539" s="1" t="s">
        <v>2745</v>
      </c>
      <c r="AM539" s="1" t="s">
        <v>2746</v>
      </c>
      <c r="AN539" s="1" t="s">
        <v>2747</v>
      </c>
      <c r="AO539" s="1" t="s">
        <v>3741</v>
      </c>
      <c r="AP539" s="1" t="s">
        <v>3742</v>
      </c>
      <c r="AQ539" s="1" t="s">
        <v>74</v>
      </c>
      <c r="AR539" s="1" t="s">
        <v>3743</v>
      </c>
      <c r="AS539" s="1" t="s">
        <v>3744</v>
      </c>
      <c r="AT539" s="1" t="s">
        <v>11096</v>
      </c>
      <c r="AU539" s="1">
        <v>2024.0</v>
      </c>
      <c r="AV539" s="1">
        <v>447.0</v>
      </c>
      <c r="AW539" s="1" t="s">
        <v>74</v>
      </c>
      <c r="AX539" s="1" t="s">
        <v>74</v>
      </c>
      <c r="AY539" s="1" t="s">
        <v>74</v>
      </c>
      <c r="AZ539" s="1" t="s">
        <v>74</v>
      </c>
      <c r="BA539" s="1" t="s">
        <v>74</v>
      </c>
      <c r="BB539" s="1" t="s">
        <v>74</v>
      </c>
      <c r="BC539" s="1" t="s">
        <v>74</v>
      </c>
      <c r="BD539" s="1">
        <v>141413.0</v>
      </c>
      <c r="BE539" s="1" t="s">
        <v>11097</v>
      </c>
      <c r="BF539" s="2" t="str">
        <f>HYPERLINK("http://dx.doi.org/10.1016/j.jclepro.2024.141413","http://dx.doi.org/10.1016/j.jclepro.2024.141413")</f>
        <v>http://dx.doi.org/10.1016/j.jclepro.2024.141413</v>
      </c>
      <c r="BG539" s="1" t="s">
        <v>74</v>
      </c>
      <c r="BH539" s="1" t="s">
        <v>2958</v>
      </c>
      <c r="BI539" s="1">
        <v>12.0</v>
      </c>
      <c r="BJ539" s="1" t="s">
        <v>3747</v>
      </c>
      <c r="BK539" s="1" t="s">
        <v>149</v>
      </c>
      <c r="BL539" s="1" t="s">
        <v>3748</v>
      </c>
      <c r="BM539" s="1" t="s">
        <v>11098</v>
      </c>
      <c r="BN539" s="1" t="s">
        <v>74</v>
      </c>
      <c r="BO539" s="1" t="s">
        <v>74</v>
      </c>
      <c r="BP539" s="1" t="s">
        <v>74</v>
      </c>
      <c r="BQ539" s="1" t="s">
        <v>74</v>
      </c>
      <c r="BR539" s="1" t="s">
        <v>102</v>
      </c>
      <c r="BS539" s="1" t="s">
        <v>11099</v>
      </c>
      <c r="BT539" s="1" t="str">
        <f>HYPERLINK("https%3A%2F%2Fwww.webofscience.com%2Fwos%2Fwoscc%2Ffull-record%2FWOS:001217660000001","View Full Record in Web of Science")</f>
        <v>View Full Record in Web of Science</v>
      </c>
    </row>
    <row r="540" ht="12.75" customHeight="1">
      <c r="A540" s="1" t="s">
        <v>132</v>
      </c>
      <c r="B540" s="1" t="s">
        <v>11100</v>
      </c>
      <c r="C540" s="1" t="s">
        <v>74</v>
      </c>
      <c r="D540" s="1" t="s">
        <v>74</v>
      </c>
      <c r="E540" s="1" t="s">
        <v>74</v>
      </c>
      <c r="F540" s="1" t="s">
        <v>11101</v>
      </c>
      <c r="G540" s="1" t="s">
        <v>74</v>
      </c>
      <c r="H540" s="1" t="s">
        <v>74</v>
      </c>
      <c r="I540" s="1" t="s">
        <v>11102</v>
      </c>
      <c r="J540" s="1" t="s">
        <v>11103</v>
      </c>
      <c r="K540" s="1" t="s">
        <v>74</v>
      </c>
      <c r="L540" s="1" t="s">
        <v>74</v>
      </c>
      <c r="M540" s="1" t="s">
        <v>80</v>
      </c>
      <c r="N540" s="1" t="s">
        <v>136</v>
      </c>
      <c r="O540" s="1" t="s">
        <v>74</v>
      </c>
      <c r="P540" s="1" t="s">
        <v>74</v>
      </c>
      <c r="Q540" s="1" t="s">
        <v>74</v>
      </c>
      <c r="R540" s="1" t="s">
        <v>74</v>
      </c>
      <c r="S540" s="1" t="s">
        <v>74</v>
      </c>
      <c r="T540" s="1" t="s">
        <v>11104</v>
      </c>
      <c r="U540" s="1" t="s">
        <v>11105</v>
      </c>
      <c r="V540" s="1" t="s">
        <v>11106</v>
      </c>
      <c r="W540" s="1" t="s">
        <v>11107</v>
      </c>
      <c r="X540" s="1" t="s">
        <v>11108</v>
      </c>
      <c r="Y540" s="1" t="s">
        <v>11109</v>
      </c>
      <c r="Z540" s="1" t="s">
        <v>11110</v>
      </c>
      <c r="AA540" s="1" t="s">
        <v>11111</v>
      </c>
      <c r="AB540" s="1" t="s">
        <v>74</v>
      </c>
      <c r="AC540" s="1" t="s">
        <v>11112</v>
      </c>
      <c r="AD540" s="1" t="s">
        <v>11113</v>
      </c>
      <c r="AE540" s="1" t="s">
        <v>11114</v>
      </c>
      <c r="AF540" s="1" t="s">
        <v>74</v>
      </c>
      <c r="AG540" s="1">
        <v>103.0</v>
      </c>
      <c r="AH540" s="1">
        <v>1.0</v>
      </c>
      <c r="AI540" s="1">
        <v>1.0</v>
      </c>
      <c r="AJ540" s="1">
        <v>0.0</v>
      </c>
      <c r="AK540" s="1">
        <v>0.0</v>
      </c>
      <c r="AL540" s="1" t="s">
        <v>321</v>
      </c>
      <c r="AM540" s="1" t="s">
        <v>322</v>
      </c>
      <c r="AN540" s="1" t="s">
        <v>323</v>
      </c>
      <c r="AO540" s="1" t="s">
        <v>74</v>
      </c>
      <c r="AP540" s="1" t="s">
        <v>11115</v>
      </c>
      <c r="AQ540" s="1" t="s">
        <v>74</v>
      </c>
      <c r="AR540" s="1" t="s">
        <v>11116</v>
      </c>
      <c r="AS540" s="1" t="s">
        <v>11117</v>
      </c>
      <c r="AT540" s="1" t="s">
        <v>1051</v>
      </c>
      <c r="AU540" s="1">
        <v>2024.0</v>
      </c>
      <c r="AV540" s="1">
        <v>48.0</v>
      </c>
      <c r="AW540" s="1" t="s">
        <v>74</v>
      </c>
      <c r="AX540" s="1" t="s">
        <v>74</v>
      </c>
      <c r="AY540" s="1" t="s">
        <v>74</v>
      </c>
      <c r="AZ540" s="1" t="s">
        <v>74</v>
      </c>
      <c r="BA540" s="1" t="s">
        <v>74</v>
      </c>
      <c r="BB540" s="1" t="s">
        <v>74</v>
      </c>
      <c r="BC540" s="1" t="s">
        <v>74</v>
      </c>
      <c r="BD540" s="1">
        <v>100479.0</v>
      </c>
      <c r="BE540" s="1" t="s">
        <v>11118</v>
      </c>
      <c r="BF540" s="2" t="str">
        <f>HYPERLINK("http://dx.doi.org/10.1016/j.ahjo.2024.100479","http://dx.doi.org/10.1016/j.ahjo.2024.100479")</f>
        <v>http://dx.doi.org/10.1016/j.ahjo.2024.100479</v>
      </c>
      <c r="BG540" s="1" t="s">
        <v>74</v>
      </c>
      <c r="BH540" s="1" t="s">
        <v>74</v>
      </c>
      <c r="BI540" s="1">
        <v>12.0</v>
      </c>
      <c r="BJ540" s="1" t="s">
        <v>2729</v>
      </c>
      <c r="BK540" s="1" t="s">
        <v>172</v>
      </c>
      <c r="BL540" s="1" t="s">
        <v>2730</v>
      </c>
      <c r="BM540" s="1" t="s">
        <v>11119</v>
      </c>
      <c r="BN540" s="1">
        <v>3.958299E7</v>
      </c>
      <c r="BO540" s="1" t="s">
        <v>174</v>
      </c>
      <c r="BP540" s="1" t="s">
        <v>74</v>
      </c>
      <c r="BQ540" s="1" t="s">
        <v>74</v>
      </c>
      <c r="BR540" s="1" t="s">
        <v>102</v>
      </c>
      <c r="BS540" s="1" t="s">
        <v>11120</v>
      </c>
      <c r="BT540" s="1" t="str">
        <f>HYPERLINK("https%3A%2F%2Fwww.webofscience.com%2Fwos%2Fwoscc%2Ffull-record%2FWOS:001355219700001","View Full Record in Web of Science")</f>
        <v>View Full Record in Web of Science</v>
      </c>
    </row>
    <row r="541" ht="12.75" customHeight="1">
      <c r="A541" s="1" t="s">
        <v>132</v>
      </c>
      <c r="B541" s="1" t="s">
        <v>11121</v>
      </c>
      <c r="C541" s="1" t="s">
        <v>74</v>
      </c>
      <c r="D541" s="1" t="s">
        <v>74</v>
      </c>
      <c r="E541" s="1" t="s">
        <v>74</v>
      </c>
      <c r="F541" s="1" t="s">
        <v>11122</v>
      </c>
      <c r="G541" s="1" t="s">
        <v>74</v>
      </c>
      <c r="H541" s="1" t="s">
        <v>74</v>
      </c>
      <c r="I541" s="1" t="s">
        <v>11123</v>
      </c>
      <c r="J541" s="1" t="s">
        <v>11124</v>
      </c>
      <c r="K541" s="1" t="s">
        <v>74</v>
      </c>
      <c r="L541" s="1" t="s">
        <v>74</v>
      </c>
      <c r="M541" s="1" t="s">
        <v>80</v>
      </c>
      <c r="N541" s="1" t="s">
        <v>1010</v>
      </c>
      <c r="O541" s="1" t="s">
        <v>74</v>
      </c>
      <c r="P541" s="1" t="s">
        <v>74</v>
      </c>
      <c r="Q541" s="1" t="s">
        <v>74</v>
      </c>
      <c r="R541" s="1" t="s">
        <v>74</v>
      </c>
      <c r="S541" s="1" t="s">
        <v>74</v>
      </c>
      <c r="T541" s="1" t="s">
        <v>11125</v>
      </c>
      <c r="U541" s="1" t="s">
        <v>11126</v>
      </c>
      <c r="V541" s="1" t="s">
        <v>11127</v>
      </c>
      <c r="W541" s="1" t="s">
        <v>11128</v>
      </c>
      <c r="X541" s="1" t="s">
        <v>3602</v>
      </c>
      <c r="Y541" s="1" t="s">
        <v>11129</v>
      </c>
      <c r="Z541" s="1" t="s">
        <v>3604</v>
      </c>
      <c r="AA541" s="1" t="s">
        <v>11130</v>
      </c>
      <c r="AB541" s="1" t="s">
        <v>74</v>
      </c>
      <c r="AC541" s="1" t="s">
        <v>74</v>
      </c>
      <c r="AD541" s="1" t="s">
        <v>74</v>
      </c>
      <c r="AE541" s="1" t="s">
        <v>74</v>
      </c>
      <c r="AF541" s="1" t="s">
        <v>74</v>
      </c>
      <c r="AG541" s="1">
        <v>67.0</v>
      </c>
      <c r="AH541" s="1">
        <v>1.0</v>
      </c>
      <c r="AI541" s="1">
        <v>1.0</v>
      </c>
      <c r="AJ541" s="1">
        <v>6.0</v>
      </c>
      <c r="AK541" s="1">
        <v>6.0</v>
      </c>
      <c r="AL541" s="1" t="s">
        <v>192</v>
      </c>
      <c r="AM541" s="1" t="s">
        <v>864</v>
      </c>
      <c r="AN541" s="1" t="s">
        <v>865</v>
      </c>
      <c r="AO541" s="1" t="s">
        <v>11131</v>
      </c>
      <c r="AP541" s="1" t="s">
        <v>11132</v>
      </c>
      <c r="AQ541" s="1" t="s">
        <v>74</v>
      </c>
      <c r="AR541" s="1" t="s">
        <v>11124</v>
      </c>
      <c r="AS541" s="1" t="s">
        <v>11133</v>
      </c>
      <c r="AT541" s="1" t="s">
        <v>11134</v>
      </c>
      <c r="AU541" s="1">
        <v>2024.0</v>
      </c>
      <c r="AV541" s="1">
        <v>89.0</v>
      </c>
      <c r="AW541" s="1">
        <v>4.0</v>
      </c>
      <c r="AX541" s="1" t="s">
        <v>74</v>
      </c>
      <c r="AY541" s="1" t="s">
        <v>74</v>
      </c>
      <c r="AZ541" s="1" t="s">
        <v>74</v>
      </c>
      <c r="BA541" s="1" t="s">
        <v>74</v>
      </c>
      <c r="BB541" s="1" t="s">
        <v>74</v>
      </c>
      <c r="BC541" s="1" t="s">
        <v>74</v>
      </c>
      <c r="BD541" s="1">
        <v>142.0</v>
      </c>
      <c r="BE541" s="1" t="s">
        <v>11135</v>
      </c>
      <c r="BF541" s="2" t="str">
        <f>HYPERLINK("http://dx.doi.org/10.1007/s10708-024-11141-3","http://dx.doi.org/10.1007/s10708-024-11141-3")</f>
        <v>http://dx.doi.org/10.1007/s10708-024-11141-3</v>
      </c>
      <c r="BG541" s="1" t="s">
        <v>74</v>
      </c>
      <c r="BH541" s="1" t="s">
        <v>74</v>
      </c>
      <c r="BI541" s="1">
        <v>15.0</v>
      </c>
      <c r="BJ541" s="1" t="s">
        <v>11136</v>
      </c>
      <c r="BK541" s="1" t="s">
        <v>172</v>
      </c>
      <c r="BL541" s="1" t="s">
        <v>11136</v>
      </c>
      <c r="BM541" s="1" t="s">
        <v>11137</v>
      </c>
      <c r="BN541" s="1" t="s">
        <v>74</v>
      </c>
      <c r="BO541" s="1" t="s">
        <v>74</v>
      </c>
      <c r="BP541" s="1" t="s">
        <v>74</v>
      </c>
      <c r="BQ541" s="1" t="s">
        <v>74</v>
      </c>
      <c r="BR541" s="1" t="s">
        <v>102</v>
      </c>
      <c r="BS541" s="1" t="s">
        <v>11138</v>
      </c>
      <c r="BT541" s="1" t="str">
        <f>HYPERLINK("https%3A%2F%2Fwww.webofscience.com%2Fwos%2Fwoscc%2Ffull-record%2FWOS:001260536000001","View Full Record in Web of Science")</f>
        <v>View Full Record in Web of Science</v>
      </c>
    </row>
    <row r="542" ht="12.75" customHeight="1">
      <c r="A542" s="1" t="s">
        <v>132</v>
      </c>
      <c r="B542" s="1" t="s">
        <v>11139</v>
      </c>
      <c r="C542" s="1" t="s">
        <v>74</v>
      </c>
      <c r="D542" s="1" t="s">
        <v>74</v>
      </c>
      <c r="E542" s="1" t="s">
        <v>74</v>
      </c>
      <c r="F542" s="1" t="s">
        <v>11140</v>
      </c>
      <c r="G542" s="1" t="s">
        <v>74</v>
      </c>
      <c r="H542" s="1" t="s">
        <v>74</v>
      </c>
      <c r="I542" s="1" t="s">
        <v>11141</v>
      </c>
      <c r="J542" s="1" t="s">
        <v>11142</v>
      </c>
      <c r="K542" s="1" t="s">
        <v>74</v>
      </c>
      <c r="L542" s="1" t="s">
        <v>74</v>
      </c>
      <c r="M542" s="1" t="s">
        <v>80</v>
      </c>
      <c r="N542" s="1" t="s">
        <v>136</v>
      </c>
      <c r="O542" s="1" t="s">
        <v>74</v>
      </c>
      <c r="P542" s="1" t="s">
        <v>74</v>
      </c>
      <c r="Q542" s="1" t="s">
        <v>74</v>
      </c>
      <c r="R542" s="1" t="s">
        <v>74</v>
      </c>
      <c r="S542" s="1" t="s">
        <v>74</v>
      </c>
      <c r="T542" s="1" t="s">
        <v>11143</v>
      </c>
      <c r="U542" s="1" t="s">
        <v>11144</v>
      </c>
      <c r="V542" s="1" t="s">
        <v>11145</v>
      </c>
      <c r="W542" s="1" t="s">
        <v>11146</v>
      </c>
      <c r="X542" s="1" t="s">
        <v>11147</v>
      </c>
      <c r="Y542" s="1" t="s">
        <v>11148</v>
      </c>
      <c r="Z542" s="1" t="s">
        <v>11149</v>
      </c>
      <c r="AA542" s="1" t="s">
        <v>11150</v>
      </c>
      <c r="AB542" s="1" t="s">
        <v>11151</v>
      </c>
      <c r="AC542" s="1" t="s">
        <v>74</v>
      </c>
      <c r="AD542" s="1" t="s">
        <v>74</v>
      </c>
      <c r="AE542" s="1" t="s">
        <v>74</v>
      </c>
      <c r="AF542" s="1" t="s">
        <v>74</v>
      </c>
      <c r="AG542" s="1">
        <v>62.0</v>
      </c>
      <c r="AH542" s="1">
        <v>3.0</v>
      </c>
      <c r="AI542" s="1">
        <v>4.0</v>
      </c>
      <c r="AJ542" s="1">
        <v>0.0</v>
      </c>
      <c r="AK542" s="1">
        <v>8.0</v>
      </c>
      <c r="AL542" s="1" t="s">
        <v>1274</v>
      </c>
      <c r="AM542" s="1" t="s">
        <v>1021</v>
      </c>
      <c r="AN542" s="1" t="s">
        <v>1275</v>
      </c>
      <c r="AO542" s="1" t="s">
        <v>11152</v>
      </c>
      <c r="AP542" s="1" t="s">
        <v>11153</v>
      </c>
      <c r="AQ542" s="1" t="s">
        <v>74</v>
      </c>
      <c r="AR542" s="1" t="s">
        <v>11154</v>
      </c>
      <c r="AS542" s="1" t="s">
        <v>11155</v>
      </c>
      <c r="AT542" s="1" t="s">
        <v>870</v>
      </c>
      <c r="AU542" s="1">
        <v>2023.0</v>
      </c>
      <c r="AV542" s="1">
        <v>30.0</v>
      </c>
      <c r="AW542" s="1">
        <v>1.0</v>
      </c>
      <c r="AX542" s="1" t="s">
        <v>74</v>
      </c>
      <c r="AY542" s="1" t="s">
        <v>74</v>
      </c>
      <c r="AZ542" s="1" t="s">
        <v>74</v>
      </c>
      <c r="BA542" s="1" t="s">
        <v>74</v>
      </c>
      <c r="BB542" s="1">
        <v>17.0</v>
      </c>
      <c r="BC542" s="1">
        <v>24.0</v>
      </c>
      <c r="BD542" s="1" t="s">
        <v>74</v>
      </c>
      <c r="BE542" s="1" t="s">
        <v>11156</v>
      </c>
      <c r="BF542" s="2" t="str">
        <f>HYPERLINK("http://dx.doi.org/10.1053/j.akdh.2022.11.001","http://dx.doi.org/10.1053/j.akdh.2022.11.001")</f>
        <v>http://dx.doi.org/10.1053/j.akdh.2022.11.001</v>
      </c>
      <c r="BG542" s="1" t="s">
        <v>74</v>
      </c>
      <c r="BH542" s="1" t="s">
        <v>11157</v>
      </c>
      <c r="BI542" s="1">
        <v>8.0</v>
      </c>
      <c r="BJ542" s="1" t="s">
        <v>1665</v>
      </c>
      <c r="BK542" s="1" t="s">
        <v>149</v>
      </c>
      <c r="BL542" s="1" t="s">
        <v>1665</v>
      </c>
      <c r="BM542" s="1" t="s">
        <v>11158</v>
      </c>
      <c r="BN542" s="1">
        <v>3.6723276E7</v>
      </c>
      <c r="BO542" s="1" t="s">
        <v>632</v>
      </c>
      <c r="BP542" s="1" t="s">
        <v>74</v>
      </c>
      <c r="BQ542" s="1" t="s">
        <v>74</v>
      </c>
      <c r="BR542" s="1" t="s">
        <v>102</v>
      </c>
      <c r="BS542" s="1" t="s">
        <v>11159</v>
      </c>
      <c r="BT542" s="1" t="str">
        <f>HYPERLINK("https%3A%2F%2Fwww.webofscience.com%2Fwos%2Fwoscc%2Ffull-record%2FWOS:001029802200001","View Full Record in Web of Science")</f>
        <v>View Full Record in Web of Science</v>
      </c>
    </row>
    <row r="543" ht="12.75" customHeight="1">
      <c r="A543" s="1" t="s">
        <v>132</v>
      </c>
      <c r="B543" s="1" t="s">
        <v>11160</v>
      </c>
      <c r="C543" s="1" t="s">
        <v>74</v>
      </c>
      <c r="D543" s="1" t="s">
        <v>74</v>
      </c>
      <c r="E543" s="1" t="s">
        <v>74</v>
      </c>
      <c r="F543" s="1" t="s">
        <v>11161</v>
      </c>
      <c r="G543" s="1" t="s">
        <v>74</v>
      </c>
      <c r="H543" s="1" t="s">
        <v>74</v>
      </c>
      <c r="I543" s="1" t="s">
        <v>11162</v>
      </c>
      <c r="J543" s="1" t="s">
        <v>11163</v>
      </c>
      <c r="K543" s="1" t="s">
        <v>74</v>
      </c>
      <c r="L543" s="1" t="s">
        <v>74</v>
      </c>
      <c r="M543" s="1" t="s">
        <v>80</v>
      </c>
      <c r="N543" s="1" t="s">
        <v>8494</v>
      </c>
      <c r="O543" s="1" t="s">
        <v>11164</v>
      </c>
      <c r="P543" s="1" t="s">
        <v>11165</v>
      </c>
      <c r="Q543" s="1" t="s">
        <v>11166</v>
      </c>
      <c r="R543" s="1" t="s">
        <v>74</v>
      </c>
      <c r="S543" s="1" t="s">
        <v>74</v>
      </c>
      <c r="T543" s="1" t="s">
        <v>11167</v>
      </c>
      <c r="U543" s="1" t="s">
        <v>11168</v>
      </c>
      <c r="V543" s="1" t="s">
        <v>11169</v>
      </c>
      <c r="W543" s="1" t="s">
        <v>11170</v>
      </c>
      <c r="X543" s="1" t="s">
        <v>9600</v>
      </c>
      <c r="Y543" s="1" t="s">
        <v>11171</v>
      </c>
      <c r="Z543" s="1" t="s">
        <v>11172</v>
      </c>
      <c r="AA543" s="1" t="s">
        <v>11173</v>
      </c>
      <c r="AB543" s="1" t="s">
        <v>11174</v>
      </c>
      <c r="AC543" s="1" t="s">
        <v>11175</v>
      </c>
      <c r="AD543" s="1" t="s">
        <v>11176</v>
      </c>
      <c r="AE543" s="1" t="s">
        <v>11177</v>
      </c>
      <c r="AF543" s="1" t="s">
        <v>74</v>
      </c>
      <c r="AG543" s="1">
        <v>47.0</v>
      </c>
      <c r="AH543" s="1">
        <v>0.0</v>
      </c>
      <c r="AI543" s="1">
        <v>0.0</v>
      </c>
      <c r="AJ543" s="1">
        <v>1.0</v>
      </c>
      <c r="AK543" s="1">
        <v>6.0</v>
      </c>
      <c r="AL543" s="1" t="s">
        <v>3551</v>
      </c>
      <c r="AM543" s="1" t="s">
        <v>193</v>
      </c>
      <c r="AN543" s="1" t="s">
        <v>3552</v>
      </c>
      <c r="AO543" s="1" t="s">
        <v>11178</v>
      </c>
      <c r="AP543" s="1" t="s">
        <v>11179</v>
      </c>
      <c r="AQ543" s="1" t="s">
        <v>74</v>
      </c>
      <c r="AR543" s="1" t="s">
        <v>11180</v>
      </c>
      <c r="AS543" s="1" t="s">
        <v>11181</v>
      </c>
      <c r="AT543" s="1" t="s">
        <v>1051</v>
      </c>
      <c r="AU543" s="1">
        <v>2023.0</v>
      </c>
      <c r="AV543" s="1">
        <v>316.0</v>
      </c>
      <c r="AW543" s="1" t="s">
        <v>74</v>
      </c>
      <c r="AX543" s="1" t="s">
        <v>74</v>
      </c>
      <c r="AY543" s="1" t="s">
        <v>74</v>
      </c>
      <c r="AZ543" s="1" t="s">
        <v>74</v>
      </c>
      <c r="BA543" s="1" t="s">
        <v>74</v>
      </c>
      <c r="BB543" s="1">
        <v>627.0</v>
      </c>
      <c r="BC543" s="1">
        <v>635.0</v>
      </c>
      <c r="BD543" s="1" t="s">
        <v>74</v>
      </c>
      <c r="BE543" s="1" t="s">
        <v>11182</v>
      </c>
      <c r="BF543" s="2" t="str">
        <f>HYPERLINK("http://dx.doi.org/10.5004/dwt.2023.30243","http://dx.doi.org/10.5004/dwt.2023.30243")</f>
        <v>http://dx.doi.org/10.5004/dwt.2023.30243</v>
      </c>
      <c r="BG543" s="1" t="s">
        <v>74</v>
      </c>
      <c r="BH543" s="1" t="s">
        <v>74</v>
      </c>
      <c r="BI543" s="1">
        <v>9.0</v>
      </c>
      <c r="BJ543" s="1" t="s">
        <v>11183</v>
      </c>
      <c r="BK543" s="1" t="s">
        <v>11184</v>
      </c>
      <c r="BL543" s="1" t="s">
        <v>11185</v>
      </c>
      <c r="BM543" s="1" t="s">
        <v>11186</v>
      </c>
      <c r="BN543" s="1" t="s">
        <v>74</v>
      </c>
      <c r="BO543" s="1" t="s">
        <v>74</v>
      </c>
      <c r="BP543" s="1" t="s">
        <v>74</v>
      </c>
      <c r="BQ543" s="1" t="s">
        <v>74</v>
      </c>
      <c r="BR543" s="1" t="s">
        <v>102</v>
      </c>
      <c r="BS543" s="1" t="s">
        <v>11187</v>
      </c>
      <c r="BT543" s="1" t="str">
        <f>HYPERLINK("https%3A%2F%2Fwww.webofscience.com%2Fwos%2Fwoscc%2Ffull-record%2FWOS:001184305400057","View Full Record in Web of Science")</f>
        <v>View Full Record in Web of Science</v>
      </c>
    </row>
    <row r="544" ht="12.75" customHeight="1">
      <c r="A544" s="1" t="s">
        <v>132</v>
      </c>
      <c r="B544" s="1" t="s">
        <v>11188</v>
      </c>
      <c r="C544" s="1" t="s">
        <v>74</v>
      </c>
      <c r="D544" s="1" t="s">
        <v>74</v>
      </c>
      <c r="E544" s="1" t="s">
        <v>74</v>
      </c>
      <c r="F544" s="1" t="s">
        <v>11189</v>
      </c>
      <c r="G544" s="1" t="s">
        <v>74</v>
      </c>
      <c r="H544" s="1" t="s">
        <v>74</v>
      </c>
      <c r="I544" s="1" t="s">
        <v>11190</v>
      </c>
      <c r="J544" s="1" t="s">
        <v>8023</v>
      </c>
      <c r="K544" s="1" t="s">
        <v>74</v>
      </c>
      <c r="L544" s="1" t="s">
        <v>74</v>
      </c>
      <c r="M544" s="1" t="s">
        <v>80</v>
      </c>
      <c r="N544" s="1" t="s">
        <v>1010</v>
      </c>
      <c r="O544" s="1" t="s">
        <v>74</v>
      </c>
      <c r="P544" s="1" t="s">
        <v>74</v>
      </c>
      <c r="Q544" s="1" t="s">
        <v>74</v>
      </c>
      <c r="R544" s="1" t="s">
        <v>74</v>
      </c>
      <c r="S544" s="1" t="s">
        <v>74</v>
      </c>
      <c r="T544" s="1" t="s">
        <v>11191</v>
      </c>
      <c r="U544" s="1" t="s">
        <v>11192</v>
      </c>
      <c r="V544" s="1" t="s">
        <v>11193</v>
      </c>
      <c r="W544" s="1" t="s">
        <v>11194</v>
      </c>
      <c r="X544" s="1" t="s">
        <v>11195</v>
      </c>
      <c r="Y544" s="1" t="s">
        <v>11196</v>
      </c>
      <c r="Z544" s="1" t="s">
        <v>11197</v>
      </c>
      <c r="AA544" s="1" t="s">
        <v>11198</v>
      </c>
      <c r="AB544" s="1" t="s">
        <v>11199</v>
      </c>
      <c r="AC544" s="1" t="s">
        <v>11200</v>
      </c>
      <c r="AD544" s="1" t="s">
        <v>11200</v>
      </c>
      <c r="AE544" s="1" t="s">
        <v>11201</v>
      </c>
      <c r="AF544" s="1" t="s">
        <v>74</v>
      </c>
      <c r="AG544" s="1">
        <v>148.0</v>
      </c>
      <c r="AH544" s="1">
        <v>5.0</v>
      </c>
      <c r="AI544" s="1">
        <v>5.0</v>
      </c>
      <c r="AJ544" s="1">
        <v>6.0</v>
      </c>
      <c r="AK544" s="1">
        <v>33.0</v>
      </c>
      <c r="AL544" s="1" t="s">
        <v>1970</v>
      </c>
      <c r="AM544" s="1" t="s">
        <v>1658</v>
      </c>
      <c r="AN544" s="1" t="s">
        <v>1971</v>
      </c>
      <c r="AO544" s="1" t="s">
        <v>74</v>
      </c>
      <c r="AP544" s="1" t="s">
        <v>8031</v>
      </c>
      <c r="AQ544" s="1" t="s">
        <v>74</v>
      </c>
      <c r="AR544" s="1" t="s">
        <v>8032</v>
      </c>
      <c r="AS544" s="1" t="s">
        <v>8033</v>
      </c>
      <c r="AT544" s="1" t="s">
        <v>1301</v>
      </c>
      <c r="AU544" s="1">
        <v>2023.0</v>
      </c>
      <c r="AV544" s="1">
        <v>23.0</v>
      </c>
      <c r="AW544" s="1">
        <v>4.0</v>
      </c>
      <c r="AX544" s="1" t="s">
        <v>74</v>
      </c>
      <c r="AY544" s="1" t="s">
        <v>74</v>
      </c>
      <c r="AZ544" s="1" t="s">
        <v>74</v>
      </c>
      <c r="BA544" s="1" t="s">
        <v>74</v>
      </c>
      <c r="BB544" s="1" t="s">
        <v>74</v>
      </c>
      <c r="BC544" s="1" t="s">
        <v>74</v>
      </c>
      <c r="BD544" s="1">
        <v>2302.0</v>
      </c>
      <c r="BE544" s="1" t="s">
        <v>11202</v>
      </c>
      <c r="BF544" s="2" t="str">
        <f>HYPERLINK("http://dx.doi.org/10.3390/s23042302","http://dx.doi.org/10.3390/s23042302")</f>
        <v>http://dx.doi.org/10.3390/s23042302</v>
      </c>
      <c r="BG544" s="1" t="s">
        <v>74</v>
      </c>
      <c r="BH544" s="1" t="s">
        <v>74</v>
      </c>
      <c r="BI544" s="1">
        <v>21.0</v>
      </c>
      <c r="BJ544" s="1" t="s">
        <v>8035</v>
      </c>
      <c r="BK544" s="1" t="s">
        <v>149</v>
      </c>
      <c r="BL544" s="1" t="s">
        <v>8036</v>
      </c>
      <c r="BM544" s="1" t="s">
        <v>11203</v>
      </c>
      <c r="BN544" s="1">
        <v>3.6850899E7</v>
      </c>
      <c r="BO544" s="1" t="s">
        <v>284</v>
      </c>
      <c r="BP544" s="1" t="s">
        <v>74</v>
      </c>
      <c r="BQ544" s="1" t="s">
        <v>74</v>
      </c>
      <c r="BR544" s="1" t="s">
        <v>102</v>
      </c>
      <c r="BS544" s="1" t="s">
        <v>11204</v>
      </c>
      <c r="BT544" s="1" t="str">
        <f>HYPERLINK("https%3A%2F%2Fwww.webofscience.com%2Fwos%2Fwoscc%2Ffull-record%2FWOS:000942097900001","View Full Record in Web of Science")</f>
        <v>View Full Record in Web of Science</v>
      </c>
    </row>
    <row r="545" ht="12.75" customHeight="1">
      <c r="A545" s="1" t="s">
        <v>132</v>
      </c>
      <c r="B545" s="1" t="s">
        <v>11205</v>
      </c>
      <c r="C545" s="1" t="s">
        <v>74</v>
      </c>
      <c r="D545" s="1" t="s">
        <v>74</v>
      </c>
      <c r="E545" s="1" t="s">
        <v>74</v>
      </c>
      <c r="F545" s="1" t="s">
        <v>11206</v>
      </c>
      <c r="G545" s="1" t="s">
        <v>74</v>
      </c>
      <c r="H545" s="1" t="s">
        <v>74</v>
      </c>
      <c r="I545" s="1" t="s">
        <v>11207</v>
      </c>
      <c r="J545" s="1" t="s">
        <v>11208</v>
      </c>
      <c r="K545" s="1" t="s">
        <v>74</v>
      </c>
      <c r="L545" s="1" t="s">
        <v>74</v>
      </c>
      <c r="M545" s="1" t="s">
        <v>80</v>
      </c>
      <c r="N545" s="1" t="s">
        <v>136</v>
      </c>
      <c r="O545" s="1" t="s">
        <v>74</v>
      </c>
      <c r="P545" s="1" t="s">
        <v>74</v>
      </c>
      <c r="Q545" s="1" t="s">
        <v>74</v>
      </c>
      <c r="R545" s="1" t="s">
        <v>74</v>
      </c>
      <c r="S545" s="1" t="s">
        <v>74</v>
      </c>
      <c r="T545" s="1" t="s">
        <v>11209</v>
      </c>
      <c r="U545" s="1" t="s">
        <v>11210</v>
      </c>
      <c r="V545" s="1" t="s">
        <v>11211</v>
      </c>
      <c r="W545" s="1" t="s">
        <v>11212</v>
      </c>
      <c r="X545" s="1" t="s">
        <v>11213</v>
      </c>
      <c r="Y545" s="1" t="s">
        <v>11214</v>
      </c>
      <c r="Z545" s="1" t="s">
        <v>11215</v>
      </c>
      <c r="AA545" s="1" t="s">
        <v>11216</v>
      </c>
      <c r="AB545" s="1" t="s">
        <v>74</v>
      </c>
      <c r="AC545" s="1" t="s">
        <v>74</v>
      </c>
      <c r="AD545" s="1" t="s">
        <v>74</v>
      </c>
      <c r="AE545" s="1" t="s">
        <v>74</v>
      </c>
      <c r="AF545" s="1" t="s">
        <v>74</v>
      </c>
      <c r="AG545" s="1">
        <v>24.0</v>
      </c>
      <c r="AH545" s="1">
        <v>0.0</v>
      </c>
      <c r="AI545" s="1">
        <v>0.0</v>
      </c>
      <c r="AJ545" s="1">
        <v>10.0</v>
      </c>
      <c r="AK545" s="1">
        <v>10.0</v>
      </c>
      <c r="AL545" s="1" t="s">
        <v>2745</v>
      </c>
      <c r="AM545" s="1" t="s">
        <v>2746</v>
      </c>
      <c r="AN545" s="1" t="s">
        <v>2747</v>
      </c>
      <c r="AO545" s="1" t="s">
        <v>11217</v>
      </c>
      <c r="AP545" s="1" t="s">
        <v>11218</v>
      </c>
      <c r="AQ545" s="1" t="s">
        <v>74</v>
      </c>
      <c r="AR545" s="1" t="s">
        <v>11219</v>
      </c>
      <c r="AS545" s="1" t="s">
        <v>11220</v>
      </c>
      <c r="AT545" s="1" t="s">
        <v>870</v>
      </c>
      <c r="AU545" s="1">
        <v>2025.0</v>
      </c>
      <c r="AV545" s="1">
        <v>52.0</v>
      </c>
      <c r="AW545" s="1" t="s">
        <v>74</v>
      </c>
      <c r="AX545" s="1" t="s">
        <v>74</v>
      </c>
      <c r="AY545" s="1" t="s">
        <v>74</v>
      </c>
      <c r="AZ545" s="1" t="s">
        <v>74</v>
      </c>
      <c r="BA545" s="1" t="s">
        <v>74</v>
      </c>
      <c r="BB545" s="1" t="s">
        <v>74</v>
      </c>
      <c r="BC545" s="1" t="s">
        <v>74</v>
      </c>
      <c r="BD545" s="1">
        <v>100862.0</v>
      </c>
      <c r="BE545" s="1" t="s">
        <v>11221</v>
      </c>
      <c r="BF545" s="2" t="str">
        <f>HYPERLINK("http://dx.doi.org/10.1016/j.entcom.2024.100862","http://dx.doi.org/10.1016/j.entcom.2024.100862")</f>
        <v>http://dx.doi.org/10.1016/j.entcom.2024.100862</v>
      </c>
      <c r="BG545" s="1" t="s">
        <v>74</v>
      </c>
      <c r="BH545" s="1" t="s">
        <v>3349</v>
      </c>
      <c r="BI545" s="1">
        <v>9.0</v>
      </c>
      <c r="BJ545" s="1" t="s">
        <v>3856</v>
      </c>
      <c r="BK545" s="1" t="s">
        <v>149</v>
      </c>
      <c r="BL545" s="1" t="s">
        <v>232</v>
      </c>
      <c r="BM545" s="1" t="s">
        <v>11222</v>
      </c>
      <c r="BN545" s="1" t="s">
        <v>74</v>
      </c>
      <c r="BO545" s="1" t="s">
        <v>74</v>
      </c>
      <c r="BP545" s="1" t="s">
        <v>74</v>
      </c>
      <c r="BQ545" s="1" t="s">
        <v>74</v>
      </c>
      <c r="BR545" s="1" t="s">
        <v>102</v>
      </c>
      <c r="BS545" s="1" t="s">
        <v>11223</v>
      </c>
      <c r="BT545" s="1" t="str">
        <f>HYPERLINK("https%3A%2F%2Fwww.webofscience.com%2Fwos%2Fwoscc%2Ffull-record%2FWOS:001292226100001","View Full Record in Web of Science")</f>
        <v>View Full Record in Web of Science</v>
      </c>
    </row>
    <row r="546" ht="12.75" customHeight="1">
      <c r="A546" s="1" t="s">
        <v>132</v>
      </c>
      <c r="B546" s="1" t="s">
        <v>11224</v>
      </c>
      <c r="C546" s="1" t="s">
        <v>74</v>
      </c>
      <c r="D546" s="1" t="s">
        <v>74</v>
      </c>
      <c r="E546" s="1" t="s">
        <v>74</v>
      </c>
      <c r="F546" s="1" t="s">
        <v>11225</v>
      </c>
      <c r="G546" s="1" t="s">
        <v>74</v>
      </c>
      <c r="H546" s="1" t="s">
        <v>74</v>
      </c>
      <c r="I546" s="1" t="s">
        <v>11226</v>
      </c>
      <c r="J546" s="1" t="s">
        <v>11227</v>
      </c>
      <c r="K546" s="1" t="s">
        <v>74</v>
      </c>
      <c r="L546" s="1" t="s">
        <v>74</v>
      </c>
      <c r="M546" s="1" t="s">
        <v>80</v>
      </c>
      <c r="N546" s="1" t="s">
        <v>1010</v>
      </c>
      <c r="O546" s="1" t="s">
        <v>74</v>
      </c>
      <c r="P546" s="1" t="s">
        <v>74</v>
      </c>
      <c r="Q546" s="1" t="s">
        <v>74</v>
      </c>
      <c r="R546" s="1" t="s">
        <v>74</v>
      </c>
      <c r="S546" s="1" t="s">
        <v>74</v>
      </c>
      <c r="T546" s="1" t="s">
        <v>11228</v>
      </c>
      <c r="U546" s="1" t="s">
        <v>11229</v>
      </c>
      <c r="V546" s="1" t="s">
        <v>11230</v>
      </c>
      <c r="W546" s="1" t="s">
        <v>11231</v>
      </c>
      <c r="X546" s="1" t="s">
        <v>11232</v>
      </c>
      <c r="Y546" s="1" t="s">
        <v>11233</v>
      </c>
      <c r="Z546" s="1" t="s">
        <v>11234</v>
      </c>
      <c r="AA546" s="1" t="s">
        <v>11235</v>
      </c>
      <c r="AB546" s="1" t="s">
        <v>11236</v>
      </c>
      <c r="AC546" s="1" t="s">
        <v>74</v>
      </c>
      <c r="AD546" s="1" t="s">
        <v>74</v>
      </c>
      <c r="AE546" s="1" t="s">
        <v>74</v>
      </c>
      <c r="AF546" s="1" t="s">
        <v>74</v>
      </c>
      <c r="AG546" s="1">
        <v>86.0</v>
      </c>
      <c r="AH546" s="1">
        <v>127.0</v>
      </c>
      <c r="AI546" s="1">
        <v>137.0</v>
      </c>
      <c r="AJ546" s="1">
        <v>7.0</v>
      </c>
      <c r="AK546" s="1">
        <v>55.0</v>
      </c>
      <c r="AL546" s="1" t="s">
        <v>1571</v>
      </c>
      <c r="AM546" s="1" t="s">
        <v>1572</v>
      </c>
      <c r="AN546" s="1" t="s">
        <v>1573</v>
      </c>
      <c r="AO546" s="1" t="s">
        <v>11237</v>
      </c>
      <c r="AP546" s="1" t="s">
        <v>11238</v>
      </c>
      <c r="AQ546" s="1" t="s">
        <v>74</v>
      </c>
      <c r="AR546" s="1" t="s">
        <v>11239</v>
      </c>
      <c r="AS546" s="1" t="s">
        <v>11240</v>
      </c>
      <c r="AT546" s="1" t="s">
        <v>11241</v>
      </c>
      <c r="AU546" s="1">
        <v>2019.0</v>
      </c>
      <c r="AV546" s="1">
        <v>18.0</v>
      </c>
      <c r="AW546" s="1" t="s">
        <v>74</v>
      </c>
      <c r="AX546" s="1" t="s">
        <v>74</v>
      </c>
      <c r="AY546" s="1" t="s">
        <v>74</v>
      </c>
      <c r="AZ546" s="1" t="s">
        <v>74</v>
      </c>
      <c r="BA546" s="1" t="s">
        <v>74</v>
      </c>
      <c r="BB546" s="1" t="s">
        <v>74</v>
      </c>
      <c r="BC546" s="1" t="s">
        <v>74</v>
      </c>
      <c r="BD546" s="1">
        <v>1.533033819873922E15</v>
      </c>
      <c r="BE546" s="1" t="s">
        <v>11242</v>
      </c>
      <c r="BF546" s="2" t="str">
        <f>HYPERLINK("http://dx.doi.org/10.1177/1533033819873922","http://dx.doi.org/10.1177/1533033819873922")</f>
        <v>http://dx.doi.org/10.1177/1533033819873922</v>
      </c>
      <c r="BG546" s="1" t="s">
        <v>74</v>
      </c>
      <c r="BH546" s="1" t="s">
        <v>74</v>
      </c>
      <c r="BI546" s="1">
        <v>11.0</v>
      </c>
      <c r="BJ546" s="1" t="s">
        <v>1904</v>
      </c>
      <c r="BK546" s="1" t="s">
        <v>149</v>
      </c>
      <c r="BL546" s="1" t="s">
        <v>1904</v>
      </c>
      <c r="BM546" s="1" t="s">
        <v>11243</v>
      </c>
      <c r="BN546" s="1">
        <v>3.1495281E7</v>
      </c>
      <c r="BO546" s="1" t="s">
        <v>284</v>
      </c>
      <c r="BP546" s="1" t="s">
        <v>74</v>
      </c>
      <c r="BQ546" s="1" t="s">
        <v>74</v>
      </c>
      <c r="BR546" s="1" t="s">
        <v>102</v>
      </c>
      <c r="BS546" s="1" t="s">
        <v>11244</v>
      </c>
      <c r="BT546" s="1" t="str">
        <f>HYPERLINK("https%3A%2F%2Fwww.webofscience.com%2Fwos%2Fwoscc%2Ffull-record%2FWOS:000486509200002","View Full Record in Web of Science")</f>
        <v>View Full Record in Web of Science</v>
      </c>
    </row>
    <row r="547" ht="12.75" customHeight="1">
      <c r="A547" s="1" t="s">
        <v>132</v>
      </c>
      <c r="B547" s="1" t="s">
        <v>11245</v>
      </c>
      <c r="C547" s="1" t="s">
        <v>74</v>
      </c>
      <c r="D547" s="1" t="s">
        <v>74</v>
      </c>
      <c r="E547" s="1" t="s">
        <v>74</v>
      </c>
      <c r="F547" s="1" t="s">
        <v>11246</v>
      </c>
      <c r="G547" s="1" t="s">
        <v>74</v>
      </c>
      <c r="H547" s="1" t="s">
        <v>74</v>
      </c>
      <c r="I547" s="1" t="s">
        <v>11247</v>
      </c>
      <c r="J547" s="1" t="s">
        <v>11248</v>
      </c>
      <c r="K547" s="1" t="s">
        <v>74</v>
      </c>
      <c r="L547" s="1" t="s">
        <v>74</v>
      </c>
      <c r="M547" s="1" t="s">
        <v>80</v>
      </c>
      <c r="N547" s="1" t="s">
        <v>136</v>
      </c>
      <c r="O547" s="1" t="s">
        <v>74</v>
      </c>
      <c r="P547" s="1" t="s">
        <v>74</v>
      </c>
      <c r="Q547" s="1" t="s">
        <v>74</v>
      </c>
      <c r="R547" s="1" t="s">
        <v>74</v>
      </c>
      <c r="S547" s="1" t="s">
        <v>74</v>
      </c>
      <c r="T547" s="1" t="s">
        <v>11249</v>
      </c>
      <c r="U547" s="1" t="s">
        <v>74</v>
      </c>
      <c r="V547" s="1" t="s">
        <v>11250</v>
      </c>
      <c r="W547" s="1" t="s">
        <v>11251</v>
      </c>
      <c r="X547" s="1" t="s">
        <v>10783</v>
      </c>
      <c r="Y547" s="1" t="s">
        <v>11252</v>
      </c>
      <c r="Z547" s="1" t="s">
        <v>11253</v>
      </c>
      <c r="AA547" s="1" t="s">
        <v>11254</v>
      </c>
      <c r="AB547" s="1" t="s">
        <v>74</v>
      </c>
      <c r="AC547" s="1" t="s">
        <v>74</v>
      </c>
      <c r="AD547" s="1" t="s">
        <v>74</v>
      </c>
      <c r="AE547" s="1" t="s">
        <v>74</v>
      </c>
      <c r="AF547" s="1" t="s">
        <v>74</v>
      </c>
      <c r="AG547" s="1">
        <v>10.0</v>
      </c>
      <c r="AH547" s="1">
        <v>0.0</v>
      </c>
      <c r="AI547" s="1">
        <v>0.0</v>
      </c>
      <c r="AJ547" s="1">
        <v>13.0</v>
      </c>
      <c r="AK547" s="1">
        <v>80.0</v>
      </c>
      <c r="AL547" s="1" t="s">
        <v>2053</v>
      </c>
      <c r="AM547" s="1" t="s">
        <v>2054</v>
      </c>
      <c r="AN547" s="1" t="s">
        <v>11255</v>
      </c>
      <c r="AO547" s="1" t="s">
        <v>11256</v>
      </c>
      <c r="AP547" s="1" t="s">
        <v>74</v>
      </c>
      <c r="AQ547" s="1" t="s">
        <v>74</v>
      </c>
      <c r="AR547" s="1" t="s">
        <v>11257</v>
      </c>
      <c r="AS547" s="1" t="s">
        <v>11258</v>
      </c>
      <c r="AT547" s="1" t="s">
        <v>74</v>
      </c>
      <c r="AU547" s="1">
        <v>2022.0</v>
      </c>
      <c r="AV547" s="1">
        <v>14.0</v>
      </c>
      <c r="AW547" s="1">
        <v>2.0</v>
      </c>
      <c r="AX547" s="1" t="s">
        <v>74</v>
      </c>
      <c r="AY547" s="1" t="s">
        <v>74</v>
      </c>
      <c r="AZ547" s="1" t="s">
        <v>74</v>
      </c>
      <c r="BA547" s="1" t="s">
        <v>74</v>
      </c>
      <c r="BB547" s="1">
        <v>5085.0</v>
      </c>
      <c r="BC547" s="1">
        <v>5091.0</v>
      </c>
      <c r="BD547" s="1" t="s">
        <v>74</v>
      </c>
      <c r="BE547" s="1" t="s">
        <v>11259</v>
      </c>
      <c r="BF547" s="2" t="str">
        <f>HYPERLINK("http://dx.doi.org/10.9756/INT-JECSE/V14I2.575","http://dx.doi.org/10.9756/INT-JECSE/V14I2.575")</f>
        <v>http://dx.doi.org/10.9756/INT-JECSE/V14I2.575</v>
      </c>
      <c r="BG547" s="1" t="s">
        <v>74</v>
      </c>
      <c r="BH547" s="1" t="s">
        <v>74</v>
      </c>
      <c r="BI547" s="1">
        <v>7.0</v>
      </c>
      <c r="BJ547" s="1" t="s">
        <v>11260</v>
      </c>
      <c r="BK547" s="1" t="s">
        <v>172</v>
      </c>
      <c r="BL547" s="1" t="s">
        <v>171</v>
      </c>
      <c r="BM547" s="1" t="s">
        <v>11261</v>
      </c>
      <c r="BN547" s="1" t="s">
        <v>74</v>
      </c>
      <c r="BO547" s="1" t="s">
        <v>74</v>
      </c>
      <c r="BP547" s="1" t="s">
        <v>74</v>
      </c>
      <c r="BQ547" s="1" t="s">
        <v>74</v>
      </c>
      <c r="BR547" s="1" t="s">
        <v>102</v>
      </c>
      <c r="BS547" s="1" t="s">
        <v>11262</v>
      </c>
      <c r="BT547" s="1" t="str">
        <f>HYPERLINK("https%3A%2F%2Fwww.webofscience.com%2Fwos%2Fwoscc%2Ffull-record%2FWOS:000817164400009","View Full Record in Web of Science")</f>
        <v>View Full Record in Web of Science</v>
      </c>
    </row>
    <row r="548" ht="12.75" customHeight="1">
      <c r="A548" s="1" t="s">
        <v>132</v>
      </c>
      <c r="B548" s="1" t="s">
        <v>11263</v>
      </c>
      <c r="C548" s="1" t="s">
        <v>74</v>
      </c>
      <c r="D548" s="1" t="s">
        <v>74</v>
      </c>
      <c r="E548" s="1" t="s">
        <v>74</v>
      </c>
      <c r="F548" s="1" t="s">
        <v>11264</v>
      </c>
      <c r="G548" s="1" t="s">
        <v>74</v>
      </c>
      <c r="H548" s="1" t="s">
        <v>74</v>
      </c>
      <c r="I548" s="1" t="s">
        <v>11265</v>
      </c>
      <c r="J548" s="1" t="s">
        <v>11266</v>
      </c>
      <c r="K548" s="1" t="s">
        <v>74</v>
      </c>
      <c r="L548" s="1" t="s">
        <v>74</v>
      </c>
      <c r="M548" s="1" t="s">
        <v>80</v>
      </c>
      <c r="N548" s="1" t="s">
        <v>136</v>
      </c>
      <c r="O548" s="1" t="s">
        <v>74</v>
      </c>
      <c r="P548" s="1" t="s">
        <v>74</v>
      </c>
      <c r="Q548" s="1" t="s">
        <v>74</v>
      </c>
      <c r="R548" s="1" t="s">
        <v>74</v>
      </c>
      <c r="S548" s="1" t="s">
        <v>74</v>
      </c>
      <c r="T548" s="1" t="s">
        <v>11267</v>
      </c>
      <c r="U548" s="1" t="s">
        <v>11268</v>
      </c>
      <c r="V548" s="1" t="s">
        <v>11269</v>
      </c>
      <c r="W548" s="1" t="s">
        <v>11270</v>
      </c>
      <c r="X548" s="1" t="s">
        <v>11271</v>
      </c>
      <c r="Y548" s="1" t="s">
        <v>11272</v>
      </c>
      <c r="Z548" s="1" t="s">
        <v>11273</v>
      </c>
      <c r="AA548" s="1" t="s">
        <v>11274</v>
      </c>
      <c r="AB548" s="1" t="s">
        <v>11275</v>
      </c>
      <c r="AC548" s="1" t="s">
        <v>74</v>
      </c>
      <c r="AD548" s="1" t="s">
        <v>74</v>
      </c>
      <c r="AE548" s="1" t="s">
        <v>74</v>
      </c>
      <c r="AF548" s="1" t="s">
        <v>74</v>
      </c>
      <c r="AG548" s="1">
        <v>65.0</v>
      </c>
      <c r="AH548" s="1">
        <v>6.0</v>
      </c>
      <c r="AI548" s="1">
        <v>6.0</v>
      </c>
      <c r="AJ548" s="1">
        <v>3.0</v>
      </c>
      <c r="AK548" s="1">
        <v>8.0</v>
      </c>
      <c r="AL548" s="1" t="s">
        <v>192</v>
      </c>
      <c r="AM548" s="1" t="s">
        <v>193</v>
      </c>
      <c r="AN548" s="1" t="s">
        <v>194</v>
      </c>
      <c r="AO548" s="1" t="s">
        <v>11276</v>
      </c>
      <c r="AP548" s="1" t="s">
        <v>11277</v>
      </c>
      <c r="AQ548" s="1" t="s">
        <v>74</v>
      </c>
      <c r="AR548" s="1" t="s">
        <v>11278</v>
      </c>
      <c r="AS548" s="1" t="s">
        <v>11279</v>
      </c>
      <c r="AT548" s="1" t="s">
        <v>302</v>
      </c>
      <c r="AU548" s="1">
        <v>2023.0</v>
      </c>
      <c r="AV548" s="1">
        <v>17.0</v>
      </c>
      <c r="AW548" s="1">
        <v>8.0</v>
      </c>
      <c r="AX548" s="1" t="s">
        <v>74</v>
      </c>
      <c r="AY548" s="1" t="s">
        <v>74</v>
      </c>
      <c r="AZ548" s="1" t="s">
        <v>74</v>
      </c>
      <c r="BA548" s="1" t="s">
        <v>74</v>
      </c>
      <c r="BB548" s="1">
        <v>143.0</v>
      </c>
      <c r="BC548" s="1">
        <v>154.0</v>
      </c>
      <c r="BD548" s="1" t="s">
        <v>74</v>
      </c>
      <c r="BE548" s="1" t="s">
        <v>11280</v>
      </c>
      <c r="BF548" s="2" t="str">
        <f>HYPERLINK("http://dx.doi.org/10.1007/s12170-023-00723-4","http://dx.doi.org/10.1007/s12170-023-00723-4")</f>
        <v>http://dx.doi.org/10.1007/s12170-023-00723-4</v>
      </c>
      <c r="BG548" s="1" t="s">
        <v>74</v>
      </c>
      <c r="BH548" s="1" t="s">
        <v>3074</v>
      </c>
      <c r="BI548" s="1">
        <v>12.0</v>
      </c>
      <c r="BJ548" s="1" t="s">
        <v>2729</v>
      </c>
      <c r="BK548" s="1" t="s">
        <v>172</v>
      </c>
      <c r="BL548" s="1" t="s">
        <v>2730</v>
      </c>
      <c r="BM548" s="1" t="s">
        <v>11281</v>
      </c>
      <c r="BN548" s="1" t="s">
        <v>74</v>
      </c>
      <c r="BO548" s="1" t="s">
        <v>74</v>
      </c>
      <c r="BP548" s="1" t="s">
        <v>74</v>
      </c>
      <c r="BQ548" s="1" t="s">
        <v>74</v>
      </c>
      <c r="BR548" s="1" t="s">
        <v>102</v>
      </c>
      <c r="BS548" s="1" t="s">
        <v>11282</v>
      </c>
      <c r="BT548" s="1" t="str">
        <f>HYPERLINK("https%3A%2F%2Fwww.webofscience.com%2Fwos%2Fwoscc%2Ffull-record%2FWOS:001034596400001","View Full Record in Web of Science")</f>
        <v>View Full Record in Web of Science</v>
      </c>
    </row>
    <row r="549" ht="12.75" customHeight="1">
      <c r="A549" s="1" t="s">
        <v>132</v>
      </c>
      <c r="B549" s="1" t="s">
        <v>11283</v>
      </c>
      <c r="C549" s="1" t="s">
        <v>74</v>
      </c>
      <c r="D549" s="1" t="s">
        <v>74</v>
      </c>
      <c r="E549" s="1" t="s">
        <v>74</v>
      </c>
      <c r="F549" s="1" t="s">
        <v>11284</v>
      </c>
      <c r="G549" s="1" t="s">
        <v>74</v>
      </c>
      <c r="H549" s="1" t="s">
        <v>74</v>
      </c>
      <c r="I549" s="1" t="s">
        <v>11285</v>
      </c>
      <c r="J549" s="1" t="s">
        <v>11286</v>
      </c>
      <c r="K549" s="1" t="s">
        <v>74</v>
      </c>
      <c r="L549" s="1" t="s">
        <v>74</v>
      </c>
      <c r="M549" s="1" t="s">
        <v>80</v>
      </c>
      <c r="N549" s="1" t="s">
        <v>136</v>
      </c>
      <c r="O549" s="1" t="s">
        <v>74</v>
      </c>
      <c r="P549" s="1" t="s">
        <v>74</v>
      </c>
      <c r="Q549" s="1" t="s">
        <v>74</v>
      </c>
      <c r="R549" s="1" t="s">
        <v>74</v>
      </c>
      <c r="S549" s="1" t="s">
        <v>74</v>
      </c>
      <c r="T549" s="1" t="s">
        <v>11287</v>
      </c>
      <c r="U549" s="1" t="s">
        <v>11288</v>
      </c>
      <c r="V549" s="1" t="s">
        <v>11289</v>
      </c>
      <c r="W549" s="1" t="s">
        <v>11290</v>
      </c>
      <c r="X549" s="1" t="s">
        <v>11291</v>
      </c>
      <c r="Y549" s="1" t="s">
        <v>11292</v>
      </c>
      <c r="Z549" s="1" t="s">
        <v>11293</v>
      </c>
      <c r="AA549" s="1" t="s">
        <v>11294</v>
      </c>
      <c r="AB549" s="1" t="s">
        <v>11295</v>
      </c>
      <c r="AC549" s="1" t="s">
        <v>74</v>
      </c>
      <c r="AD549" s="1" t="s">
        <v>74</v>
      </c>
      <c r="AE549" s="1" t="s">
        <v>74</v>
      </c>
      <c r="AF549" s="1" t="s">
        <v>74</v>
      </c>
      <c r="AG549" s="1">
        <v>38.0</v>
      </c>
      <c r="AH549" s="1">
        <v>1.0</v>
      </c>
      <c r="AI549" s="1">
        <v>1.0</v>
      </c>
      <c r="AJ549" s="1">
        <v>2.0</v>
      </c>
      <c r="AK549" s="1">
        <v>4.0</v>
      </c>
      <c r="AL549" s="1" t="s">
        <v>11296</v>
      </c>
      <c r="AM549" s="1" t="s">
        <v>10428</v>
      </c>
      <c r="AN549" s="1" t="s">
        <v>11297</v>
      </c>
      <c r="AO549" s="1" t="s">
        <v>11298</v>
      </c>
      <c r="AP549" s="1" t="s">
        <v>11299</v>
      </c>
      <c r="AQ549" s="1" t="s">
        <v>74</v>
      </c>
      <c r="AR549" s="1" t="s">
        <v>11300</v>
      </c>
      <c r="AS549" s="1" t="s">
        <v>11301</v>
      </c>
      <c r="AT549" s="1" t="s">
        <v>1027</v>
      </c>
      <c r="AU549" s="1">
        <v>2024.0</v>
      </c>
      <c r="AV549" s="1">
        <v>100.0</v>
      </c>
      <c r="AW549" s="1">
        <v>3.0</v>
      </c>
      <c r="AX549" s="1" t="s">
        <v>74</v>
      </c>
      <c r="AY549" s="1" t="s">
        <v>74</v>
      </c>
      <c r="AZ549" s="1" t="s">
        <v>74</v>
      </c>
      <c r="BA549" s="1" t="s">
        <v>74</v>
      </c>
      <c r="BB549" s="1">
        <v>195.0</v>
      </c>
      <c r="BC549" s="1">
        <v>201.0</v>
      </c>
      <c r="BD549" s="1" t="s">
        <v>74</v>
      </c>
      <c r="BE549" s="1" t="s">
        <v>11302</v>
      </c>
      <c r="BF549" s="2" t="str">
        <f>HYPERLINK("http://dx.doi.org/10.1016/j.anpedi.2024.02.006","http://dx.doi.org/10.1016/j.anpedi.2024.02.006")</f>
        <v>http://dx.doi.org/10.1016/j.anpedi.2024.02.006</v>
      </c>
      <c r="BG549" s="1" t="s">
        <v>74</v>
      </c>
      <c r="BH549" s="1" t="s">
        <v>2958</v>
      </c>
      <c r="BI549" s="1">
        <v>7.0</v>
      </c>
      <c r="BJ549" s="1" t="s">
        <v>8888</v>
      </c>
      <c r="BK549" s="1" t="s">
        <v>149</v>
      </c>
      <c r="BL549" s="1" t="s">
        <v>8888</v>
      </c>
      <c r="BM549" s="1" t="s">
        <v>11303</v>
      </c>
      <c r="BN549" s="1">
        <v>3.8461129E7</v>
      </c>
      <c r="BO549" s="1" t="s">
        <v>174</v>
      </c>
      <c r="BP549" s="1" t="s">
        <v>74</v>
      </c>
      <c r="BQ549" s="1" t="s">
        <v>74</v>
      </c>
      <c r="BR549" s="1" t="s">
        <v>102</v>
      </c>
      <c r="BS549" s="1" t="s">
        <v>11304</v>
      </c>
      <c r="BT549" s="1" t="str">
        <f>HYPERLINK("https%3A%2F%2Fwww.webofscience.com%2Fwos%2Fwoscc%2Ffull-record%2FWOS:001206316300001","View Full Record in Web of Science")</f>
        <v>View Full Record in Web of Science</v>
      </c>
    </row>
    <row r="550" ht="12.75" customHeight="1">
      <c r="A550" s="1" t="s">
        <v>132</v>
      </c>
      <c r="B550" s="1" t="s">
        <v>11305</v>
      </c>
      <c r="C550" s="1" t="s">
        <v>74</v>
      </c>
      <c r="D550" s="1" t="s">
        <v>74</v>
      </c>
      <c r="E550" s="1" t="s">
        <v>74</v>
      </c>
      <c r="F550" s="1" t="s">
        <v>11306</v>
      </c>
      <c r="G550" s="1" t="s">
        <v>74</v>
      </c>
      <c r="H550" s="1" t="s">
        <v>74</v>
      </c>
      <c r="I550" s="1" t="s">
        <v>11307</v>
      </c>
      <c r="J550" s="1" t="s">
        <v>6105</v>
      </c>
      <c r="K550" s="1" t="s">
        <v>74</v>
      </c>
      <c r="L550" s="1" t="s">
        <v>74</v>
      </c>
      <c r="M550" s="1" t="s">
        <v>80</v>
      </c>
      <c r="N550" s="1" t="s">
        <v>136</v>
      </c>
      <c r="O550" s="1" t="s">
        <v>74</v>
      </c>
      <c r="P550" s="1" t="s">
        <v>74</v>
      </c>
      <c r="Q550" s="1" t="s">
        <v>74</v>
      </c>
      <c r="R550" s="1" t="s">
        <v>74</v>
      </c>
      <c r="S550" s="1" t="s">
        <v>74</v>
      </c>
      <c r="T550" s="1" t="s">
        <v>11308</v>
      </c>
      <c r="U550" s="1" t="s">
        <v>74</v>
      </c>
      <c r="V550" s="1" t="s">
        <v>11309</v>
      </c>
      <c r="W550" s="1" t="s">
        <v>11310</v>
      </c>
      <c r="X550" s="1" t="s">
        <v>11311</v>
      </c>
      <c r="Y550" s="1" t="s">
        <v>11312</v>
      </c>
      <c r="Z550" s="1" t="s">
        <v>74</v>
      </c>
      <c r="AA550" s="1" t="s">
        <v>74</v>
      </c>
      <c r="AB550" s="1" t="s">
        <v>74</v>
      </c>
      <c r="AC550" s="1" t="s">
        <v>74</v>
      </c>
      <c r="AD550" s="1" t="s">
        <v>74</v>
      </c>
      <c r="AE550" s="1" t="s">
        <v>74</v>
      </c>
      <c r="AF550" s="1" t="s">
        <v>74</v>
      </c>
      <c r="AG550" s="1">
        <v>15.0</v>
      </c>
      <c r="AH550" s="1">
        <v>0.0</v>
      </c>
      <c r="AI550" s="1">
        <v>0.0</v>
      </c>
      <c r="AJ550" s="1">
        <v>3.0</v>
      </c>
      <c r="AK550" s="1">
        <v>22.0</v>
      </c>
      <c r="AL550" s="1" t="s">
        <v>6111</v>
      </c>
      <c r="AM550" s="1" t="s">
        <v>6112</v>
      </c>
      <c r="AN550" s="1" t="s">
        <v>6113</v>
      </c>
      <c r="AO550" s="1" t="s">
        <v>6114</v>
      </c>
      <c r="AP550" s="1" t="s">
        <v>6115</v>
      </c>
      <c r="AQ550" s="1" t="s">
        <v>74</v>
      </c>
      <c r="AR550" s="1" t="s">
        <v>6116</v>
      </c>
      <c r="AS550" s="1" t="s">
        <v>6117</v>
      </c>
      <c r="AT550" s="1" t="s">
        <v>843</v>
      </c>
      <c r="AU550" s="1">
        <v>2017.0</v>
      </c>
      <c r="AV550" s="1">
        <v>28.0</v>
      </c>
      <c r="AW550" s="1">
        <v>3.0</v>
      </c>
      <c r="AX550" s="1" t="s">
        <v>74</v>
      </c>
      <c r="AY550" s="1" t="s">
        <v>74</v>
      </c>
      <c r="AZ550" s="1" t="s">
        <v>74</v>
      </c>
      <c r="BA550" s="1" t="s">
        <v>74</v>
      </c>
      <c r="BB550" s="1">
        <v>2390.0</v>
      </c>
      <c r="BC550" s="1">
        <v>2393.0</v>
      </c>
      <c r="BD550" s="1" t="s">
        <v>74</v>
      </c>
      <c r="BE550" s="1" t="s">
        <v>74</v>
      </c>
      <c r="BF550" s="1" t="s">
        <v>74</v>
      </c>
      <c r="BG550" s="1" t="s">
        <v>74</v>
      </c>
      <c r="BH550" s="1" t="s">
        <v>74</v>
      </c>
      <c r="BI550" s="1">
        <v>4.0</v>
      </c>
      <c r="BJ550" s="1" t="s">
        <v>6118</v>
      </c>
      <c r="BK550" s="1" t="s">
        <v>149</v>
      </c>
      <c r="BL550" s="1" t="s">
        <v>6118</v>
      </c>
      <c r="BM550" s="1" t="s">
        <v>6119</v>
      </c>
      <c r="BN550" s="1" t="s">
        <v>74</v>
      </c>
      <c r="BO550" s="1" t="s">
        <v>74</v>
      </c>
      <c r="BP550" s="1" t="s">
        <v>74</v>
      </c>
      <c r="BQ550" s="1" t="s">
        <v>74</v>
      </c>
      <c r="BR550" s="1" t="s">
        <v>102</v>
      </c>
      <c r="BS550" s="1" t="s">
        <v>11313</v>
      </c>
      <c r="BT550" s="1" t="str">
        <f>HYPERLINK("https%3A%2F%2Fwww.webofscience.com%2Fwos%2Fwoscc%2Ffull-record%2FWOS:000405993200130","View Full Record in Web of Science")</f>
        <v>View Full Record in Web of Science</v>
      </c>
    </row>
    <row r="551" ht="12.75" customHeight="1">
      <c r="A551" s="1" t="s">
        <v>72</v>
      </c>
      <c r="B551" s="1" t="s">
        <v>11314</v>
      </c>
      <c r="C551" s="1" t="s">
        <v>74</v>
      </c>
      <c r="D551" s="1" t="s">
        <v>11315</v>
      </c>
      <c r="E551" s="1" t="s">
        <v>74</v>
      </c>
      <c r="F551" s="1" t="s">
        <v>11316</v>
      </c>
      <c r="G551" s="1" t="s">
        <v>74</v>
      </c>
      <c r="H551" s="1" t="s">
        <v>74</v>
      </c>
      <c r="I551" s="1" t="s">
        <v>11317</v>
      </c>
      <c r="J551" s="1" t="s">
        <v>11318</v>
      </c>
      <c r="K551" s="1" t="s">
        <v>3840</v>
      </c>
      <c r="L551" s="1" t="s">
        <v>74</v>
      </c>
      <c r="M551" s="1" t="s">
        <v>80</v>
      </c>
      <c r="N551" s="1" t="s">
        <v>81</v>
      </c>
      <c r="O551" s="1" t="s">
        <v>11319</v>
      </c>
      <c r="P551" s="1" t="s">
        <v>11320</v>
      </c>
      <c r="Q551" s="1" t="s">
        <v>11321</v>
      </c>
      <c r="R551" s="1" t="s">
        <v>74</v>
      </c>
      <c r="S551" s="1" t="s">
        <v>74</v>
      </c>
      <c r="T551" s="1" t="s">
        <v>11322</v>
      </c>
      <c r="U551" s="1" t="s">
        <v>74</v>
      </c>
      <c r="V551" s="1" t="s">
        <v>11323</v>
      </c>
      <c r="W551" s="1" t="s">
        <v>11324</v>
      </c>
      <c r="X551" s="1" t="s">
        <v>11325</v>
      </c>
      <c r="Y551" s="1" t="s">
        <v>11326</v>
      </c>
      <c r="Z551" s="1" t="s">
        <v>11327</v>
      </c>
      <c r="AA551" s="1" t="s">
        <v>74</v>
      </c>
      <c r="AB551" s="1" t="s">
        <v>74</v>
      </c>
      <c r="AC551" s="1" t="s">
        <v>74</v>
      </c>
      <c r="AD551" s="1" t="s">
        <v>74</v>
      </c>
      <c r="AE551" s="1" t="s">
        <v>74</v>
      </c>
      <c r="AF551" s="1" t="s">
        <v>74</v>
      </c>
      <c r="AG551" s="1">
        <v>30.0</v>
      </c>
      <c r="AH551" s="1">
        <v>0.0</v>
      </c>
      <c r="AI551" s="1">
        <v>0.0</v>
      </c>
      <c r="AJ551" s="1">
        <v>4.0</v>
      </c>
      <c r="AK551" s="1">
        <v>4.0</v>
      </c>
      <c r="AL551" s="1" t="s">
        <v>223</v>
      </c>
      <c r="AM551" s="1" t="s">
        <v>224</v>
      </c>
      <c r="AN551" s="1" t="s">
        <v>225</v>
      </c>
      <c r="AO551" s="1" t="s">
        <v>3852</v>
      </c>
      <c r="AP551" s="1" t="s">
        <v>942</v>
      </c>
      <c r="AQ551" s="1" t="s">
        <v>11328</v>
      </c>
      <c r="AR551" s="1" t="s">
        <v>3854</v>
      </c>
      <c r="AS551" s="1" t="s">
        <v>74</v>
      </c>
      <c r="AT551" s="1" t="s">
        <v>74</v>
      </c>
      <c r="AU551" s="1">
        <v>2024.0</v>
      </c>
      <c r="AV551" s="1">
        <v>14711.0</v>
      </c>
      <c r="AW551" s="1" t="s">
        <v>74</v>
      </c>
      <c r="AX551" s="1" t="s">
        <v>74</v>
      </c>
      <c r="AY551" s="1" t="s">
        <v>74</v>
      </c>
      <c r="AZ551" s="1" t="s">
        <v>74</v>
      </c>
      <c r="BA551" s="1" t="s">
        <v>74</v>
      </c>
      <c r="BB551" s="1">
        <v>165.0</v>
      </c>
      <c r="BC551" s="1">
        <v>181.0</v>
      </c>
      <c r="BD551" s="1" t="s">
        <v>74</v>
      </c>
      <c r="BE551" s="1" t="s">
        <v>11329</v>
      </c>
      <c r="BF551" s="2" t="str">
        <f>HYPERLINK("http://dx.doi.org/10.1007/978-3-031-61066-0_12","http://dx.doi.org/10.1007/978-3-031-61066-0_12")</f>
        <v>http://dx.doi.org/10.1007/978-3-031-61066-0_12</v>
      </c>
      <c r="BG551" s="1" t="s">
        <v>74</v>
      </c>
      <c r="BH551" s="1" t="s">
        <v>74</v>
      </c>
      <c r="BI551" s="1">
        <v>17.0</v>
      </c>
      <c r="BJ551" s="1" t="s">
        <v>527</v>
      </c>
      <c r="BK551" s="1" t="s">
        <v>128</v>
      </c>
      <c r="BL551" s="1" t="s">
        <v>232</v>
      </c>
      <c r="BM551" s="1" t="s">
        <v>11330</v>
      </c>
      <c r="BN551" s="1" t="s">
        <v>74</v>
      </c>
      <c r="BO551" s="1" t="s">
        <v>74</v>
      </c>
      <c r="BP551" s="1" t="s">
        <v>74</v>
      </c>
      <c r="BQ551" s="1" t="s">
        <v>74</v>
      </c>
      <c r="BR551" s="1" t="s">
        <v>102</v>
      </c>
      <c r="BS551" s="1" t="s">
        <v>11331</v>
      </c>
      <c r="BT551" s="1" t="str">
        <f>HYPERLINK("https%3A%2F%2Fwww.webofscience.com%2Fwos%2Fwoscc%2Ffull-record%2FWOS:001283312100012","View Full Record in Web of Science")</f>
        <v>View Full Record in Web of Science</v>
      </c>
    </row>
    <row r="552" ht="12.75" customHeight="1">
      <c r="A552" s="1" t="s">
        <v>132</v>
      </c>
      <c r="B552" s="1" t="s">
        <v>11332</v>
      </c>
      <c r="C552" s="1" t="s">
        <v>74</v>
      </c>
      <c r="D552" s="1" t="s">
        <v>74</v>
      </c>
      <c r="E552" s="1" t="s">
        <v>74</v>
      </c>
      <c r="F552" s="1" t="s">
        <v>11333</v>
      </c>
      <c r="G552" s="1" t="s">
        <v>74</v>
      </c>
      <c r="H552" s="1" t="s">
        <v>74</v>
      </c>
      <c r="I552" s="1" t="s">
        <v>11334</v>
      </c>
      <c r="J552" s="1" t="s">
        <v>11335</v>
      </c>
      <c r="K552" s="1" t="s">
        <v>74</v>
      </c>
      <c r="L552" s="1" t="s">
        <v>74</v>
      </c>
      <c r="M552" s="1" t="s">
        <v>80</v>
      </c>
      <c r="N552" s="1" t="s">
        <v>136</v>
      </c>
      <c r="O552" s="1" t="s">
        <v>74</v>
      </c>
      <c r="P552" s="1" t="s">
        <v>74</v>
      </c>
      <c r="Q552" s="1" t="s">
        <v>74</v>
      </c>
      <c r="R552" s="1" t="s">
        <v>74</v>
      </c>
      <c r="S552" s="1" t="s">
        <v>74</v>
      </c>
      <c r="T552" s="1" t="s">
        <v>11336</v>
      </c>
      <c r="U552" s="1" t="s">
        <v>11337</v>
      </c>
      <c r="V552" s="1" t="s">
        <v>11338</v>
      </c>
      <c r="W552" s="1" t="s">
        <v>11339</v>
      </c>
      <c r="X552" s="1" t="s">
        <v>11340</v>
      </c>
      <c r="Y552" s="1" t="s">
        <v>11341</v>
      </c>
      <c r="Z552" s="1" t="s">
        <v>11342</v>
      </c>
      <c r="AA552" s="1" t="s">
        <v>11343</v>
      </c>
      <c r="AB552" s="1" t="s">
        <v>11344</v>
      </c>
      <c r="AC552" s="1" t="s">
        <v>74</v>
      </c>
      <c r="AD552" s="1" t="s">
        <v>74</v>
      </c>
      <c r="AE552" s="1" t="s">
        <v>74</v>
      </c>
      <c r="AF552" s="1" t="s">
        <v>74</v>
      </c>
      <c r="AG552" s="1">
        <v>40.0</v>
      </c>
      <c r="AH552" s="1">
        <v>22.0</v>
      </c>
      <c r="AI552" s="1">
        <v>22.0</v>
      </c>
      <c r="AJ552" s="1">
        <v>47.0</v>
      </c>
      <c r="AK552" s="1">
        <v>176.0</v>
      </c>
      <c r="AL552" s="1" t="s">
        <v>1357</v>
      </c>
      <c r="AM552" s="1" t="s">
        <v>1358</v>
      </c>
      <c r="AN552" s="1" t="s">
        <v>1359</v>
      </c>
      <c r="AO552" s="1" t="s">
        <v>11345</v>
      </c>
      <c r="AP552" s="1" t="s">
        <v>11346</v>
      </c>
      <c r="AQ552" s="1" t="s">
        <v>74</v>
      </c>
      <c r="AR552" s="1" t="s">
        <v>11347</v>
      </c>
      <c r="AS552" s="1" t="s">
        <v>11348</v>
      </c>
      <c r="AT552" s="1" t="s">
        <v>1027</v>
      </c>
      <c r="AU552" s="1">
        <v>2022.0</v>
      </c>
      <c r="AV552" s="1">
        <v>37.0</v>
      </c>
      <c r="AW552" s="1">
        <v>1.0</v>
      </c>
      <c r="AX552" s="1" t="s">
        <v>74</v>
      </c>
      <c r="AY552" s="1" t="s">
        <v>74</v>
      </c>
      <c r="AZ552" s="1" t="s">
        <v>74</v>
      </c>
      <c r="BA552" s="1" t="s">
        <v>74</v>
      </c>
      <c r="BB552" s="1">
        <v>79.0</v>
      </c>
      <c r="BC552" s="1">
        <v>101.0</v>
      </c>
      <c r="BD552" s="1" t="s">
        <v>74</v>
      </c>
      <c r="BE552" s="1" t="s">
        <v>11349</v>
      </c>
      <c r="BF552" s="2" t="str">
        <f>HYPERLINK("http://dx.doi.org/10.1111/ntwe.12215","http://dx.doi.org/10.1111/ntwe.12215")</f>
        <v>http://dx.doi.org/10.1111/ntwe.12215</v>
      </c>
      <c r="BG552" s="1" t="s">
        <v>74</v>
      </c>
      <c r="BH552" s="1" t="s">
        <v>781</v>
      </c>
      <c r="BI552" s="1">
        <v>23.0</v>
      </c>
      <c r="BJ552" s="1" t="s">
        <v>11350</v>
      </c>
      <c r="BK552" s="1" t="s">
        <v>203</v>
      </c>
      <c r="BL552" s="1" t="s">
        <v>11351</v>
      </c>
      <c r="BM552" s="1" t="s">
        <v>11352</v>
      </c>
      <c r="BN552" s="1" t="s">
        <v>74</v>
      </c>
      <c r="BO552" s="1" t="s">
        <v>4126</v>
      </c>
      <c r="BP552" s="1" t="s">
        <v>74</v>
      </c>
      <c r="BQ552" s="1" t="s">
        <v>74</v>
      </c>
      <c r="BR552" s="1" t="s">
        <v>102</v>
      </c>
      <c r="BS552" s="1" t="s">
        <v>11353</v>
      </c>
      <c r="BT552" s="1" t="str">
        <f>HYPERLINK("https%3A%2F%2Fwww.webofscience.com%2Fwos%2Fwoscc%2Ffull-record%2FWOS:000696390100001","View Full Record in Web of Science")</f>
        <v>View Full Record in Web of Science</v>
      </c>
    </row>
    <row r="553" ht="12.75" customHeight="1">
      <c r="A553" s="1" t="s">
        <v>72</v>
      </c>
      <c r="B553" s="1" t="s">
        <v>11354</v>
      </c>
      <c r="C553" s="1" t="s">
        <v>74</v>
      </c>
      <c r="D553" s="1" t="s">
        <v>362</v>
      </c>
      <c r="E553" s="1" t="s">
        <v>74</v>
      </c>
      <c r="F553" s="1" t="s">
        <v>11355</v>
      </c>
      <c r="G553" s="1" t="s">
        <v>74</v>
      </c>
      <c r="H553" s="1" t="s">
        <v>74</v>
      </c>
      <c r="I553" s="1" t="s">
        <v>11356</v>
      </c>
      <c r="J553" s="1" t="s">
        <v>365</v>
      </c>
      <c r="K553" s="1" t="s">
        <v>74</v>
      </c>
      <c r="L553" s="1" t="s">
        <v>74</v>
      </c>
      <c r="M553" s="1" t="s">
        <v>80</v>
      </c>
      <c r="N553" s="1" t="s">
        <v>81</v>
      </c>
      <c r="O553" s="1" t="s">
        <v>366</v>
      </c>
      <c r="P553" s="1" t="s">
        <v>367</v>
      </c>
      <c r="Q553" s="1" t="s">
        <v>368</v>
      </c>
      <c r="R553" s="1" t="s">
        <v>74</v>
      </c>
      <c r="S553" s="1" t="s">
        <v>369</v>
      </c>
      <c r="T553" s="1" t="s">
        <v>11357</v>
      </c>
      <c r="U553" s="1" t="s">
        <v>11358</v>
      </c>
      <c r="V553" s="1" t="s">
        <v>11359</v>
      </c>
      <c r="W553" s="1" t="s">
        <v>11360</v>
      </c>
      <c r="X553" s="1" t="s">
        <v>74</v>
      </c>
      <c r="Y553" s="1" t="s">
        <v>11361</v>
      </c>
      <c r="Z553" s="1" t="s">
        <v>11362</v>
      </c>
      <c r="AA553" s="1" t="s">
        <v>74</v>
      </c>
      <c r="AB553" s="1" t="s">
        <v>74</v>
      </c>
      <c r="AC553" s="1" t="s">
        <v>74</v>
      </c>
      <c r="AD553" s="1" t="s">
        <v>74</v>
      </c>
      <c r="AE553" s="1" t="s">
        <v>74</v>
      </c>
      <c r="AF553" s="1" t="s">
        <v>74</v>
      </c>
      <c r="AG553" s="1">
        <v>24.0</v>
      </c>
      <c r="AH553" s="1">
        <v>1.0</v>
      </c>
      <c r="AI553" s="1">
        <v>1.0</v>
      </c>
      <c r="AJ553" s="1">
        <v>16.0</v>
      </c>
      <c r="AK553" s="1">
        <v>93.0</v>
      </c>
      <c r="AL553" s="1" t="s">
        <v>122</v>
      </c>
      <c r="AM553" s="1" t="s">
        <v>123</v>
      </c>
      <c r="AN553" s="1" t="s">
        <v>124</v>
      </c>
      <c r="AO553" s="1" t="s">
        <v>74</v>
      </c>
      <c r="AP553" s="1" t="s">
        <v>74</v>
      </c>
      <c r="AQ553" s="1" t="s">
        <v>376</v>
      </c>
      <c r="AR553" s="1" t="s">
        <v>74</v>
      </c>
      <c r="AS553" s="1" t="s">
        <v>74</v>
      </c>
      <c r="AT553" s="1" t="s">
        <v>74</v>
      </c>
      <c r="AU553" s="1">
        <v>2019.0</v>
      </c>
      <c r="AV553" s="1" t="s">
        <v>74</v>
      </c>
      <c r="AW553" s="1" t="s">
        <v>74</v>
      </c>
      <c r="AX553" s="1" t="s">
        <v>74</v>
      </c>
      <c r="AY553" s="1" t="s">
        <v>74</v>
      </c>
      <c r="AZ553" s="1" t="s">
        <v>74</v>
      </c>
      <c r="BA553" s="1" t="s">
        <v>74</v>
      </c>
      <c r="BB553" s="1">
        <v>182.0</v>
      </c>
      <c r="BC553" s="1">
        <v>190.0</v>
      </c>
      <c r="BD553" s="1" t="s">
        <v>74</v>
      </c>
      <c r="BE553" s="1" t="s">
        <v>11363</v>
      </c>
      <c r="BF553" s="2" t="str">
        <f>HYPERLINK("http://dx.doi.org/10.34190/ECIAIR.19.014","http://dx.doi.org/10.34190/ECIAIR.19.014")</f>
        <v>http://dx.doi.org/10.34190/ECIAIR.19.014</v>
      </c>
      <c r="BG553" s="1" t="s">
        <v>74</v>
      </c>
      <c r="BH553" s="1" t="s">
        <v>74</v>
      </c>
      <c r="BI553" s="1">
        <v>9.0</v>
      </c>
      <c r="BJ553" s="1" t="s">
        <v>127</v>
      </c>
      <c r="BK553" s="1" t="s">
        <v>128</v>
      </c>
      <c r="BL553" s="1" t="s">
        <v>129</v>
      </c>
      <c r="BM553" s="1" t="s">
        <v>378</v>
      </c>
      <c r="BN553" s="1" t="s">
        <v>74</v>
      </c>
      <c r="BO553" s="1" t="s">
        <v>74</v>
      </c>
      <c r="BP553" s="1" t="s">
        <v>74</v>
      </c>
      <c r="BQ553" s="1" t="s">
        <v>74</v>
      </c>
      <c r="BR553" s="1" t="s">
        <v>102</v>
      </c>
      <c r="BS553" s="1" t="s">
        <v>11364</v>
      </c>
      <c r="BT553" s="1" t="str">
        <f>HYPERLINK("https%3A%2F%2Fwww.webofscience.com%2Fwos%2Fwoscc%2Ffull-record%2FWOS:000539633500021","View Full Record in Web of Science")</f>
        <v>View Full Record in Web of Science</v>
      </c>
    </row>
    <row r="554" ht="12.75" customHeight="1">
      <c r="A554" s="1" t="s">
        <v>72</v>
      </c>
      <c r="B554" s="1" t="s">
        <v>11365</v>
      </c>
      <c r="C554" s="1" t="s">
        <v>74</v>
      </c>
      <c r="D554" s="1" t="s">
        <v>105</v>
      </c>
      <c r="E554" s="1" t="s">
        <v>74</v>
      </c>
      <c r="F554" s="1" t="s">
        <v>11366</v>
      </c>
      <c r="G554" s="1" t="s">
        <v>74</v>
      </c>
      <c r="H554" s="1" t="s">
        <v>74</v>
      </c>
      <c r="I554" s="1" t="s">
        <v>11367</v>
      </c>
      <c r="J554" s="1" t="s">
        <v>108</v>
      </c>
      <c r="K554" s="1" t="s">
        <v>74</v>
      </c>
      <c r="L554" s="1" t="s">
        <v>74</v>
      </c>
      <c r="M554" s="1" t="s">
        <v>80</v>
      </c>
      <c r="N554" s="1" t="s">
        <v>81</v>
      </c>
      <c r="O554" s="1" t="s">
        <v>109</v>
      </c>
      <c r="P554" s="1" t="s">
        <v>110</v>
      </c>
      <c r="Q554" s="1" t="s">
        <v>111</v>
      </c>
      <c r="R554" s="1" t="s">
        <v>112</v>
      </c>
      <c r="S554" s="1" t="s">
        <v>113</v>
      </c>
      <c r="T554" s="1" t="s">
        <v>11368</v>
      </c>
      <c r="U554" s="1" t="s">
        <v>74</v>
      </c>
      <c r="V554" s="1" t="s">
        <v>11369</v>
      </c>
      <c r="W554" s="1" t="s">
        <v>11370</v>
      </c>
      <c r="X554" s="1" t="s">
        <v>118</v>
      </c>
      <c r="Y554" s="1" t="s">
        <v>11371</v>
      </c>
      <c r="Z554" s="1" t="s">
        <v>11372</v>
      </c>
      <c r="AA554" s="1" t="s">
        <v>74</v>
      </c>
      <c r="AB554" s="1" t="s">
        <v>74</v>
      </c>
      <c r="AC554" s="1" t="s">
        <v>74</v>
      </c>
      <c r="AD554" s="1" t="s">
        <v>74</v>
      </c>
      <c r="AE554" s="1" t="s">
        <v>74</v>
      </c>
      <c r="AF554" s="1" t="s">
        <v>74</v>
      </c>
      <c r="AG554" s="1">
        <v>16.0</v>
      </c>
      <c r="AH554" s="1">
        <v>1.0</v>
      </c>
      <c r="AI554" s="1">
        <v>1.0</v>
      </c>
      <c r="AJ554" s="1">
        <v>6.0</v>
      </c>
      <c r="AK554" s="1">
        <v>34.0</v>
      </c>
      <c r="AL554" s="1" t="s">
        <v>122</v>
      </c>
      <c r="AM554" s="1" t="s">
        <v>123</v>
      </c>
      <c r="AN554" s="1" t="s">
        <v>124</v>
      </c>
      <c r="AO554" s="1" t="s">
        <v>74</v>
      </c>
      <c r="AP554" s="1" t="s">
        <v>74</v>
      </c>
      <c r="AQ554" s="1" t="s">
        <v>125</v>
      </c>
      <c r="AR554" s="1" t="s">
        <v>74</v>
      </c>
      <c r="AS554" s="1" t="s">
        <v>74</v>
      </c>
      <c r="AT554" s="1" t="s">
        <v>74</v>
      </c>
      <c r="AU554" s="1">
        <v>2021.0</v>
      </c>
      <c r="AV554" s="1" t="s">
        <v>74</v>
      </c>
      <c r="AW554" s="1" t="s">
        <v>74</v>
      </c>
      <c r="AX554" s="1" t="s">
        <v>74</v>
      </c>
      <c r="AY554" s="1" t="s">
        <v>74</v>
      </c>
      <c r="AZ554" s="1" t="s">
        <v>74</v>
      </c>
      <c r="BA554" s="1" t="s">
        <v>74</v>
      </c>
      <c r="BB554" s="1">
        <v>208.0</v>
      </c>
      <c r="BC554" s="1">
        <v>216.0</v>
      </c>
      <c r="BD554" s="1" t="s">
        <v>74</v>
      </c>
      <c r="BE554" s="1" t="s">
        <v>11373</v>
      </c>
      <c r="BF554" s="2" t="str">
        <f>HYPERLINK("http://dx.doi.org/10.34190/EAIR.21.032","http://dx.doi.org/10.34190/EAIR.21.032")</f>
        <v>http://dx.doi.org/10.34190/EAIR.21.032</v>
      </c>
      <c r="BG554" s="1" t="s">
        <v>74</v>
      </c>
      <c r="BH554" s="1" t="s">
        <v>74</v>
      </c>
      <c r="BI554" s="1">
        <v>9.0</v>
      </c>
      <c r="BJ554" s="1" t="s">
        <v>127</v>
      </c>
      <c r="BK554" s="1" t="s">
        <v>128</v>
      </c>
      <c r="BL554" s="1" t="s">
        <v>129</v>
      </c>
      <c r="BM554" s="1" t="s">
        <v>130</v>
      </c>
      <c r="BN554" s="1" t="s">
        <v>74</v>
      </c>
      <c r="BO554" s="1" t="s">
        <v>74</v>
      </c>
      <c r="BP554" s="1" t="s">
        <v>74</v>
      </c>
      <c r="BQ554" s="1" t="s">
        <v>74</v>
      </c>
      <c r="BR554" s="1" t="s">
        <v>102</v>
      </c>
      <c r="BS554" s="1" t="s">
        <v>11374</v>
      </c>
      <c r="BT554" s="1" t="str">
        <f>HYPERLINK("https%3A%2F%2Fwww.webofscience.com%2Fwos%2Fwoscc%2Ffull-record%2FWOS:000838033200027","View Full Record in Web of Science")</f>
        <v>View Full Record in Web of Science</v>
      </c>
    </row>
    <row r="555" ht="12.75" customHeight="1">
      <c r="A555" s="1" t="s">
        <v>132</v>
      </c>
      <c r="B555" s="1" t="s">
        <v>11375</v>
      </c>
      <c r="C555" s="1" t="s">
        <v>74</v>
      </c>
      <c r="D555" s="1" t="s">
        <v>74</v>
      </c>
      <c r="E555" s="1" t="s">
        <v>74</v>
      </c>
      <c r="F555" s="1" t="s">
        <v>11376</v>
      </c>
      <c r="G555" s="1" t="s">
        <v>74</v>
      </c>
      <c r="H555" s="1" t="s">
        <v>74</v>
      </c>
      <c r="I555" s="1" t="s">
        <v>11377</v>
      </c>
      <c r="J555" s="1" t="s">
        <v>11378</v>
      </c>
      <c r="K555" s="1" t="s">
        <v>74</v>
      </c>
      <c r="L555" s="1" t="s">
        <v>74</v>
      </c>
      <c r="M555" s="1" t="s">
        <v>80</v>
      </c>
      <c r="N555" s="1" t="s">
        <v>1010</v>
      </c>
      <c r="O555" s="1" t="s">
        <v>74</v>
      </c>
      <c r="P555" s="1" t="s">
        <v>74</v>
      </c>
      <c r="Q555" s="1" t="s">
        <v>74</v>
      </c>
      <c r="R555" s="1" t="s">
        <v>74</v>
      </c>
      <c r="S555" s="1" t="s">
        <v>74</v>
      </c>
      <c r="T555" s="1" t="s">
        <v>11379</v>
      </c>
      <c r="U555" s="1" t="s">
        <v>11380</v>
      </c>
      <c r="V555" s="1" t="s">
        <v>11381</v>
      </c>
      <c r="W555" s="1" t="s">
        <v>11382</v>
      </c>
      <c r="X555" s="1" t="s">
        <v>11383</v>
      </c>
      <c r="Y555" s="1" t="s">
        <v>11384</v>
      </c>
      <c r="Z555" s="1" t="s">
        <v>11385</v>
      </c>
      <c r="AA555" s="1" t="s">
        <v>11386</v>
      </c>
      <c r="AB555" s="1" t="s">
        <v>74</v>
      </c>
      <c r="AC555" s="1" t="s">
        <v>74</v>
      </c>
      <c r="AD555" s="1" t="s">
        <v>74</v>
      </c>
      <c r="AE555" s="1" t="s">
        <v>74</v>
      </c>
      <c r="AF555" s="1" t="s">
        <v>74</v>
      </c>
      <c r="AG555" s="1">
        <v>100.0</v>
      </c>
      <c r="AH555" s="1">
        <v>8.0</v>
      </c>
      <c r="AI555" s="1">
        <v>10.0</v>
      </c>
      <c r="AJ555" s="1">
        <v>8.0</v>
      </c>
      <c r="AK555" s="1">
        <v>92.0</v>
      </c>
      <c r="AL555" s="1" t="s">
        <v>1528</v>
      </c>
      <c r="AM555" s="1" t="s">
        <v>1529</v>
      </c>
      <c r="AN555" s="1" t="s">
        <v>1530</v>
      </c>
      <c r="AO555" s="1" t="s">
        <v>11387</v>
      </c>
      <c r="AP555" s="1" t="s">
        <v>11388</v>
      </c>
      <c r="AQ555" s="1" t="s">
        <v>74</v>
      </c>
      <c r="AR555" s="1" t="s">
        <v>11389</v>
      </c>
      <c r="AS555" s="1" t="s">
        <v>11390</v>
      </c>
      <c r="AT555" s="1" t="s">
        <v>1253</v>
      </c>
      <c r="AU555" s="1">
        <v>2022.0</v>
      </c>
      <c r="AV555" s="1">
        <v>8.0</v>
      </c>
      <c r="AW555" s="1">
        <v>2.0</v>
      </c>
      <c r="AX555" s="1" t="s">
        <v>74</v>
      </c>
      <c r="AY555" s="1" t="s">
        <v>74</v>
      </c>
      <c r="AZ555" s="1" t="s">
        <v>474</v>
      </c>
      <c r="BA555" s="1" t="s">
        <v>74</v>
      </c>
      <c r="BB555" s="1">
        <v>1763.0</v>
      </c>
      <c r="BC555" s="1">
        <v>1780.0</v>
      </c>
      <c r="BD555" s="1" t="s">
        <v>74</v>
      </c>
      <c r="BE555" s="1" t="s">
        <v>11391</v>
      </c>
      <c r="BF555" s="2" t="str">
        <f>HYPERLINK("http://dx.doi.org/10.1007/s40747-021-00494-8","http://dx.doi.org/10.1007/s40747-021-00494-8")</f>
        <v>http://dx.doi.org/10.1007/s40747-021-00494-8</v>
      </c>
      <c r="BG555" s="1" t="s">
        <v>74</v>
      </c>
      <c r="BH555" s="1" t="s">
        <v>3219</v>
      </c>
      <c r="BI555" s="1">
        <v>18.0</v>
      </c>
      <c r="BJ555" s="1" t="s">
        <v>1214</v>
      </c>
      <c r="BK555" s="1" t="s">
        <v>149</v>
      </c>
      <c r="BL555" s="1" t="s">
        <v>232</v>
      </c>
      <c r="BM555" s="1" t="s">
        <v>11392</v>
      </c>
      <c r="BN555" s="1" t="s">
        <v>74</v>
      </c>
      <c r="BO555" s="1" t="s">
        <v>174</v>
      </c>
      <c r="BP555" s="1" t="s">
        <v>74</v>
      </c>
      <c r="BQ555" s="1" t="s">
        <v>74</v>
      </c>
      <c r="BR555" s="1" t="s">
        <v>102</v>
      </c>
      <c r="BS555" s="1" t="s">
        <v>11393</v>
      </c>
      <c r="BT555" s="1" t="str">
        <f>HYPERLINK("https%3A%2F%2Fwww.webofscience.com%2Fwos%2Fwoscc%2Ffull-record%2FWOS:000687935800004","View Full Record in Web of Science")</f>
        <v>View Full Record in Web of Science</v>
      </c>
    </row>
    <row r="556" ht="12.75" customHeight="1">
      <c r="A556" s="1" t="s">
        <v>132</v>
      </c>
      <c r="B556" s="1" t="s">
        <v>11394</v>
      </c>
      <c r="C556" s="1" t="s">
        <v>74</v>
      </c>
      <c r="D556" s="1" t="s">
        <v>74</v>
      </c>
      <c r="E556" s="1" t="s">
        <v>74</v>
      </c>
      <c r="F556" s="1" t="s">
        <v>11395</v>
      </c>
      <c r="G556" s="1" t="s">
        <v>74</v>
      </c>
      <c r="H556" s="1" t="s">
        <v>74</v>
      </c>
      <c r="I556" s="1" t="s">
        <v>11396</v>
      </c>
      <c r="J556" s="1" t="s">
        <v>11397</v>
      </c>
      <c r="K556" s="1" t="s">
        <v>74</v>
      </c>
      <c r="L556" s="1" t="s">
        <v>74</v>
      </c>
      <c r="M556" s="1" t="s">
        <v>80</v>
      </c>
      <c r="N556" s="1" t="s">
        <v>1010</v>
      </c>
      <c r="O556" s="1" t="s">
        <v>74</v>
      </c>
      <c r="P556" s="1" t="s">
        <v>74</v>
      </c>
      <c r="Q556" s="1" t="s">
        <v>74</v>
      </c>
      <c r="R556" s="1" t="s">
        <v>74</v>
      </c>
      <c r="S556" s="1" t="s">
        <v>74</v>
      </c>
      <c r="T556" s="1" t="s">
        <v>11398</v>
      </c>
      <c r="U556" s="1" t="s">
        <v>11399</v>
      </c>
      <c r="V556" s="1" t="s">
        <v>11400</v>
      </c>
      <c r="W556" s="1" t="s">
        <v>11401</v>
      </c>
      <c r="X556" s="1" t="s">
        <v>11402</v>
      </c>
      <c r="Y556" s="1" t="s">
        <v>11403</v>
      </c>
      <c r="Z556" s="1" t="s">
        <v>11404</v>
      </c>
      <c r="AA556" s="1" t="s">
        <v>11405</v>
      </c>
      <c r="AB556" s="1" t="s">
        <v>74</v>
      </c>
      <c r="AC556" s="1" t="s">
        <v>74</v>
      </c>
      <c r="AD556" s="1" t="s">
        <v>74</v>
      </c>
      <c r="AE556" s="1" t="s">
        <v>74</v>
      </c>
      <c r="AF556" s="1" t="s">
        <v>74</v>
      </c>
      <c r="AG556" s="1">
        <v>35.0</v>
      </c>
      <c r="AH556" s="1">
        <v>3.0</v>
      </c>
      <c r="AI556" s="1">
        <v>3.0</v>
      </c>
      <c r="AJ556" s="1">
        <v>10.0</v>
      </c>
      <c r="AK556" s="1">
        <v>22.0</v>
      </c>
      <c r="AL556" s="1" t="s">
        <v>11406</v>
      </c>
      <c r="AM556" s="1" t="s">
        <v>7288</v>
      </c>
      <c r="AN556" s="1" t="s">
        <v>11407</v>
      </c>
      <c r="AO556" s="1" t="s">
        <v>11408</v>
      </c>
      <c r="AP556" s="1" t="s">
        <v>11409</v>
      </c>
      <c r="AQ556" s="1" t="s">
        <v>74</v>
      </c>
      <c r="AR556" s="1" t="s">
        <v>11410</v>
      </c>
      <c r="AS556" s="1" t="s">
        <v>11411</v>
      </c>
      <c r="AT556" s="1" t="s">
        <v>199</v>
      </c>
      <c r="AU556" s="1">
        <v>2023.0</v>
      </c>
      <c r="AV556" s="1">
        <v>12.0</v>
      </c>
      <c r="AW556" s="1">
        <v>4.0</v>
      </c>
      <c r="AX556" s="1" t="s">
        <v>74</v>
      </c>
      <c r="AY556" s="1" t="s">
        <v>74</v>
      </c>
      <c r="AZ556" s="1" t="s">
        <v>74</v>
      </c>
      <c r="BA556" s="1" t="s">
        <v>74</v>
      </c>
      <c r="BB556" s="1">
        <v>208.0</v>
      </c>
      <c r="BC556" s="1">
        <v>212.0</v>
      </c>
      <c r="BD556" s="1" t="s">
        <v>74</v>
      </c>
      <c r="BE556" s="1" t="s">
        <v>11412</v>
      </c>
      <c r="BF556" s="2" t="str">
        <f>HYPERLINK("http://dx.doi.org/10.5582/irdr.2023.01091","http://dx.doi.org/10.5582/irdr.2023.01091")</f>
        <v>http://dx.doi.org/10.5582/irdr.2023.01091</v>
      </c>
      <c r="BG556" s="1" t="s">
        <v>74</v>
      </c>
      <c r="BH556" s="1" t="s">
        <v>74</v>
      </c>
      <c r="BI556" s="1">
        <v>5.0</v>
      </c>
      <c r="BJ556" s="1" t="s">
        <v>1158</v>
      </c>
      <c r="BK556" s="1" t="s">
        <v>172</v>
      </c>
      <c r="BL556" s="1" t="s">
        <v>1159</v>
      </c>
      <c r="BM556" s="1" t="s">
        <v>11413</v>
      </c>
      <c r="BN556" s="1">
        <v>3.8024585E7</v>
      </c>
      <c r="BO556" s="1" t="s">
        <v>284</v>
      </c>
      <c r="BP556" s="1" t="s">
        <v>74</v>
      </c>
      <c r="BQ556" s="1" t="s">
        <v>74</v>
      </c>
      <c r="BR556" s="1" t="s">
        <v>102</v>
      </c>
      <c r="BS556" s="1" t="s">
        <v>11414</v>
      </c>
      <c r="BT556" s="1" t="str">
        <f>HYPERLINK("https%3A%2F%2Fwww.webofscience.com%2Fwos%2Fwoscc%2Ffull-record%2FWOS:001112901700002","View Full Record in Web of Science")</f>
        <v>View Full Record in Web of Science</v>
      </c>
    </row>
    <row r="557" ht="12.75" customHeight="1">
      <c r="A557" s="1" t="s">
        <v>132</v>
      </c>
      <c r="B557" s="1" t="s">
        <v>11415</v>
      </c>
      <c r="C557" s="1" t="s">
        <v>74</v>
      </c>
      <c r="D557" s="1" t="s">
        <v>74</v>
      </c>
      <c r="E557" s="1" t="s">
        <v>74</v>
      </c>
      <c r="F557" s="1" t="s">
        <v>11416</v>
      </c>
      <c r="G557" s="1" t="s">
        <v>74</v>
      </c>
      <c r="H557" s="1" t="s">
        <v>74</v>
      </c>
      <c r="I557" s="1" t="s">
        <v>11417</v>
      </c>
      <c r="J557" s="1" t="s">
        <v>11418</v>
      </c>
      <c r="K557" s="1" t="s">
        <v>74</v>
      </c>
      <c r="L557" s="1" t="s">
        <v>74</v>
      </c>
      <c r="M557" s="1" t="s">
        <v>80</v>
      </c>
      <c r="N557" s="1" t="s">
        <v>136</v>
      </c>
      <c r="O557" s="1" t="s">
        <v>74</v>
      </c>
      <c r="P557" s="1" t="s">
        <v>74</v>
      </c>
      <c r="Q557" s="1" t="s">
        <v>74</v>
      </c>
      <c r="R557" s="1" t="s">
        <v>74</v>
      </c>
      <c r="S557" s="1" t="s">
        <v>74</v>
      </c>
      <c r="T557" s="1" t="s">
        <v>11419</v>
      </c>
      <c r="U557" s="1" t="s">
        <v>74</v>
      </c>
      <c r="V557" s="1" t="s">
        <v>11420</v>
      </c>
      <c r="W557" s="1" t="s">
        <v>11421</v>
      </c>
      <c r="X557" s="1" t="s">
        <v>11422</v>
      </c>
      <c r="Y557" s="1" t="s">
        <v>11423</v>
      </c>
      <c r="Z557" s="1" t="s">
        <v>11424</v>
      </c>
      <c r="AA557" s="1" t="s">
        <v>74</v>
      </c>
      <c r="AB557" s="1" t="s">
        <v>11425</v>
      </c>
      <c r="AC557" s="1" t="s">
        <v>74</v>
      </c>
      <c r="AD557" s="1" t="s">
        <v>74</v>
      </c>
      <c r="AE557" s="1" t="s">
        <v>74</v>
      </c>
      <c r="AF557" s="1" t="s">
        <v>74</v>
      </c>
      <c r="AG557" s="1">
        <v>12.0</v>
      </c>
      <c r="AH557" s="1">
        <v>4.0</v>
      </c>
      <c r="AI557" s="1">
        <v>4.0</v>
      </c>
      <c r="AJ557" s="1">
        <v>0.0</v>
      </c>
      <c r="AK557" s="1">
        <v>7.0</v>
      </c>
      <c r="AL557" s="1" t="s">
        <v>1020</v>
      </c>
      <c r="AM557" s="1" t="s">
        <v>1021</v>
      </c>
      <c r="AN557" s="1" t="s">
        <v>1022</v>
      </c>
      <c r="AO557" s="1" t="s">
        <v>11426</v>
      </c>
      <c r="AP557" s="1" t="s">
        <v>11427</v>
      </c>
      <c r="AQ557" s="1" t="s">
        <v>74</v>
      </c>
      <c r="AR557" s="1" t="s">
        <v>11428</v>
      </c>
      <c r="AS557" s="1" t="s">
        <v>11429</v>
      </c>
      <c r="AT557" s="1" t="s">
        <v>1027</v>
      </c>
      <c r="AU557" s="1">
        <v>2021.0</v>
      </c>
      <c r="AV557" s="1">
        <v>37.0</v>
      </c>
      <c r="AW557" s="1">
        <v>1.0</v>
      </c>
      <c r="AX557" s="1" t="s">
        <v>74</v>
      </c>
      <c r="AY557" s="1" t="s">
        <v>74</v>
      </c>
      <c r="AZ557" s="1" t="s">
        <v>74</v>
      </c>
      <c r="BA557" s="1" t="s">
        <v>74</v>
      </c>
      <c r="BB557" s="1">
        <v>10.0</v>
      </c>
      <c r="BC557" s="1">
        <v>15.0</v>
      </c>
      <c r="BD557" s="1" t="s">
        <v>74</v>
      </c>
      <c r="BE557" s="1" t="s">
        <v>11430</v>
      </c>
      <c r="BF557" s="2" t="str">
        <f>HYPERLINK("http://dx.doi.org/10.1097/RUQ.0000000000000550","http://dx.doi.org/10.1097/RUQ.0000000000000550")</f>
        <v>http://dx.doi.org/10.1097/RUQ.0000000000000550</v>
      </c>
      <c r="BG557" s="1" t="s">
        <v>74</v>
      </c>
      <c r="BH557" s="1" t="s">
        <v>74</v>
      </c>
      <c r="BI557" s="1">
        <v>6.0</v>
      </c>
      <c r="BJ557" s="1" t="s">
        <v>656</v>
      </c>
      <c r="BK557" s="1" t="s">
        <v>149</v>
      </c>
      <c r="BL557" s="1" t="s">
        <v>656</v>
      </c>
      <c r="BM557" s="1" t="s">
        <v>11431</v>
      </c>
      <c r="BN557" s="1">
        <v>3.3394994E7</v>
      </c>
      <c r="BO557" s="1" t="s">
        <v>74</v>
      </c>
      <c r="BP557" s="1" t="s">
        <v>74</v>
      </c>
      <c r="BQ557" s="1" t="s">
        <v>74</v>
      </c>
      <c r="BR557" s="1" t="s">
        <v>102</v>
      </c>
      <c r="BS557" s="1" t="s">
        <v>11432</v>
      </c>
      <c r="BT557" s="1" t="str">
        <f>HYPERLINK("https%3A%2F%2Fwww.webofscience.com%2Fwos%2Fwoscc%2Ffull-record%2FWOS:000625801600003","View Full Record in Web of Science")</f>
        <v>View Full Record in Web of Science</v>
      </c>
    </row>
    <row r="558" ht="12.75" customHeight="1">
      <c r="A558" s="1" t="s">
        <v>132</v>
      </c>
      <c r="B558" s="1" t="s">
        <v>11433</v>
      </c>
      <c r="C558" s="1" t="s">
        <v>74</v>
      </c>
      <c r="D558" s="1" t="s">
        <v>74</v>
      </c>
      <c r="E558" s="1" t="s">
        <v>74</v>
      </c>
      <c r="F558" s="1" t="s">
        <v>11434</v>
      </c>
      <c r="G558" s="1" t="s">
        <v>74</v>
      </c>
      <c r="H558" s="1" t="s">
        <v>74</v>
      </c>
      <c r="I558" s="1" t="s">
        <v>11435</v>
      </c>
      <c r="J558" s="1" t="s">
        <v>11436</v>
      </c>
      <c r="K558" s="1" t="s">
        <v>74</v>
      </c>
      <c r="L558" s="1" t="s">
        <v>74</v>
      </c>
      <c r="M558" s="1" t="s">
        <v>80</v>
      </c>
      <c r="N558" s="1" t="s">
        <v>1010</v>
      </c>
      <c r="O558" s="1" t="s">
        <v>74</v>
      </c>
      <c r="P558" s="1" t="s">
        <v>74</v>
      </c>
      <c r="Q558" s="1" t="s">
        <v>74</v>
      </c>
      <c r="R558" s="1" t="s">
        <v>74</v>
      </c>
      <c r="S558" s="1" t="s">
        <v>74</v>
      </c>
      <c r="T558" s="1" t="s">
        <v>11437</v>
      </c>
      <c r="U558" s="1" t="s">
        <v>11438</v>
      </c>
      <c r="V558" s="1" t="s">
        <v>11439</v>
      </c>
      <c r="W558" s="1" t="s">
        <v>11440</v>
      </c>
      <c r="X558" s="1" t="s">
        <v>11441</v>
      </c>
      <c r="Y558" s="1" t="s">
        <v>11442</v>
      </c>
      <c r="Z558" s="1" t="s">
        <v>11443</v>
      </c>
      <c r="AA558" s="1" t="s">
        <v>11444</v>
      </c>
      <c r="AB558" s="1" t="s">
        <v>11445</v>
      </c>
      <c r="AC558" s="1" t="s">
        <v>74</v>
      </c>
      <c r="AD558" s="1" t="s">
        <v>74</v>
      </c>
      <c r="AE558" s="1" t="s">
        <v>74</v>
      </c>
      <c r="AF558" s="1" t="s">
        <v>74</v>
      </c>
      <c r="AG558" s="1">
        <v>53.0</v>
      </c>
      <c r="AH558" s="1">
        <v>16.0</v>
      </c>
      <c r="AI558" s="1">
        <v>16.0</v>
      </c>
      <c r="AJ558" s="1">
        <v>4.0</v>
      </c>
      <c r="AK558" s="1">
        <v>48.0</v>
      </c>
      <c r="AL558" s="1" t="s">
        <v>192</v>
      </c>
      <c r="AM558" s="1" t="s">
        <v>193</v>
      </c>
      <c r="AN558" s="1" t="s">
        <v>194</v>
      </c>
      <c r="AO558" s="1" t="s">
        <v>11446</v>
      </c>
      <c r="AP558" s="1" t="s">
        <v>11447</v>
      </c>
      <c r="AQ558" s="1" t="s">
        <v>74</v>
      </c>
      <c r="AR558" s="1" t="s">
        <v>11448</v>
      </c>
      <c r="AS558" s="1" t="s">
        <v>11449</v>
      </c>
      <c r="AT558" s="1" t="s">
        <v>328</v>
      </c>
      <c r="AU558" s="1">
        <v>2021.0</v>
      </c>
      <c r="AV558" s="1">
        <v>23.0</v>
      </c>
      <c r="AW558" s="1">
        <v>6.0</v>
      </c>
      <c r="AX558" s="1" t="s">
        <v>74</v>
      </c>
      <c r="AY558" s="1" t="s">
        <v>74</v>
      </c>
      <c r="AZ558" s="1" t="s">
        <v>74</v>
      </c>
      <c r="BA558" s="1" t="s">
        <v>74</v>
      </c>
      <c r="BB558" s="1" t="s">
        <v>74</v>
      </c>
      <c r="BC558" s="1" t="s">
        <v>74</v>
      </c>
      <c r="BD558" s="1">
        <v>70.0</v>
      </c>
      <c r="BE558" s="1" t="s">
        <v>11450</v>
      </c>
      <c r="BF558" s="2" t="str">
        <f>HYPERLINK("http://dx.doi.org/10.1007/s11912-021-01054-6","http://dx.doi.org/10.1007/s11912-021-01054-6")</f>
        <v>http://dx.doi.org/10.1007/s11912-021-01054-6</v>
      </c>
      <c r="BG558" s="1" t="s">
        <v>74</v>
      </c>
      <c r="BH558" s="1" t="s">
        <v>74</v>
      </c>
      <c r="BI558" s="1">
        <v>8.0</v>
      </c>
      <c r="BJ558" s="1" t="s">
        <v>1904</v>
      </c>
      <c r="BK558" s="1" t="s">
        <v>149</v>
      </c>
      <c r="BL558" s="1" t="s">
        <v>1904</v>
      </c>
      <c r="BM558" s="1" t="s">
        <v>11451</v>
      </c>
      <c r="BN558" s="1">
        <v>3.3880651E7</v>
      </c>
      <c r="BO558" s="1" t="s">
        <v>74</v>
      </c>
      <c r="BP558" s="1" t="s">
        <v>74</v>
      </c>
      <c r="BQ558" s="1" t="s">
        <v>74</v>
      </c>
      <c r="BR558" s="1" t="s">
        <v>102</v>
      </c>
      <c r="BS558" s="1" t="s">
        <v>11452</v>
      </c>
      <c r="BT558" s="1" t="str">
        <f>HYPERLINK("https%3A%2F%2Fwww.webofscience.com%2Fwos%2Fwoscc%2Ffull-record%2FWOS:000642208300001","View Full Record in Web of Science")</f>
        <v>View Full Record in Web of Science</v>
      </c>
    </row>
    <row r="559" ht="12.75" customHeight="1">
      <c r="A559" s="1" t="s">
        <v>132</v>
      </c>
      <c r="B559" s="1" t="s">
        <v>11453</v>
      </c>
      <c r="C559" s="1" t="s">
        <v>74</v>
      </c>
      <c r="D559" s="1" t="s">
        <v>74</v>
      </c>
      <c r="E559" s="1" t="s">
        <v>74</v>
      </c>
      <c r="F559" s="1" t="s">
        <v>11454</v>
      </c>
      <c r="G559" s="1" t="s">
        <v>74</v>
      </c>
      <c r="H559" s="1" t="s">
        <v>74</v>
      </c>
      <c r="I559" s="1" t="s">
        <v>11455</v>
      </c>
      <c r="J559" s="1" t="s">
        <v>7595</v>
      </c>
      <c r="K559" s="1" t="s">
        <v>74</v>
      </c>
      <c r="L559" s="1" t="s">
        <v>74</v>
      </c>
      <c r="M559" s="1" t="s">
        <v>80</v>
      </c>
      <c r="N559" s="1" t="s">
        <v>1010</v>
      </c>
      <c r="O559" s="1" t="s">
        <v>74</v>
      </c>
      <c r="P559" s="1" t="s">
        <v>74</v>
      </c>
      <c r="Q559" s="1" t="s">
        <v>74</v>
      </c>
      <c r="R559" s="1" t="s">
        <v>74</v>
      </c>
      <c r="S559" s="1" t="s">
        <v>74</v>
      </c>
      <c r="T559" s="1" t="s">
        <v>11456</v>
      </c>
      <c r="U559" s="1" t="s">
        <v>11457</v>
      </c>
      <c r="V559" s="1" t="s">
        <v>11458</v>
      </c>
      <c r="W559" s="1" t="s">
        <v>11459</v>
      </c>
      <c r="X559" s="1" t="s">
        <v>11460</v>
      </c>
      <c r="Y559" s="1" t="s">
        <v>11461</v>
      </c>
      <c r="Z559" s="1" t="s">
        <v>11462</v>
      </c>
      <c r="AA559" s="1" t="s">
        <v>11463</v>
      </c>
      <c r="AB559" s="1" t="s">
        <v>11464</v>
      </c>
      <c r="AC559" s="1" t="s">
        <v>11465</v>
      </c>
      <c r="AD559" s="1" t="s">
        <v>11466</v>
      </c>
      <c r="AE559" s="1" t="s">
        <v>11467</v>
      </c>
      <c r="AF559" s="1" t="s">
        <v>74</v>
      </c>
      <c r="AG559" s="1">
        <v>218.0</v>
      </c>
      <c r="AH559" s="1">
        <v>64.0</v>
      </c>
      <c r="AI559" s="1">
        <v>64.0</v>
      </c>
      <c r="AJ559" s="1">
        <v>93.0</v>
      </c>
      <c r="AK559" s="1">
        <v>221.0</v>
      </c>
      <c r="AL559" s="1" t="s">
        <v>1528</v>
      </c>
      <c r="AM559" s="1" t="s">
        <v>1529</v>
      </c>
      <c r="AN559" s="1" t="s">
        <v>1530</v>
      </c>
      <c r="AO559" s="1" t="s">
        <v>7608</v>
      </c>
      <c r="AP559" s="1" t="s">
        <v>7609</v>
      </c>
      <c r="AQ559" s="1" t="s">
        <v>74</v>
      </c>
      <c r="AR559" s="1" t="s">
        <v>7610</v>
      </c>
      <c r="AS559" s="1" t="s">
        <v>7611</v>
      </c>
      <c r="AT559" s="1" t="s">
        <v>302</v>
      </c>
      <c r="AU559" s="1">
        <v>2023.0</v>
      </c>
      <c r="AV559" s="1">
        <v>21.0</v>
      </c>
      <c r="AW559" s="1">
        <v>4.0</v>
      </c>
      <c r="AX559" s="1" t="s">
        <v>74</v>
      </c>
      <c r="AY559" s="1" t="s">
        <v>74</v>
      </c>
      <c r="AZ559" s="1" t="s">
        <v>74</v>
      </c>
      <c r="BA559" s="1" t="s">
        <v>74</v>
      </c>
      <c r="BB559" s="1">
        <v>1959.0</v>
      </c>
      <c r="BC559" s="1">
        <v>1989.0</v>
      </c>
      <c r="BD559" s="1" t="s">
        <v>74</v>
      </c>
      <c r="BE559" s="1" t="s">
        <v>11468</v>
      </c>
      <c r="BF559" s="2" t="str">
        <f>HYPERLINK("http://dx.doi.org/10.1007/s10311-023-01604-3","http://dx.doi.org/10.1007/s10311-023-01604-3")</f>
        <v>http://dx.doi.org/10.1007/s10311-023-01604-3</v>
      </c>
      <c r="BG559" s="1" t="s">
        <v>74</v>
      </c>
      <c r="BH559" s="1" t="s">
        <v>8208</v>
      </c>
      <c r="BI559" s="1">
        <v>31.0</v>
      </c>
      <c r="BJ559" s="1" t="s">
        <v>7613</v>
      </c>
      <c r="BK559" s="1" t="s">
        <v>149</v>
      </c>
      <c r="BL559" s="1" t="s">
        <v>7614</v>
      </c>
      <c r="BM559" s="1" t="s">
        <v>11469</v>
      </c>
      <c r="BN559" s="1">
        <v>3.7362015E7</v>
      </c>
      <c r="BO559" s="1" t="s">
        <v>7447</v>
      </c>
      <c r="BP559" s="1" t="s">
        <v>74</v>
      </c>
      <c r="BQ559" s="1" t="s">
        <v>74</v>
      </c>
      <c r="BR559" s="1" t="s">
        <v>102</v>
      </c>
      <c r="BS559" s="1" t="s">
        <v>11470</v>
      </c>
      <c r="BT559" s="1" t="str">
        <f>HYPERLINK("https%3A%2F%2Fwww.webofscience.com%2Fwos%2Fwoscc%2Ffull-record%2FWOS:000984634700001","View Full Record in Web of Science")</f>
        <v>View Full Record in Web of Science</v>
      </c>
    </row>
    <row r="560" ht="12.75" customHeight="1">
      <c r="A560" s="1" t="s">
        <v>132</v>
      </c>
      <c r="B560" s="1" t="s">
        <v>11471</v>
      </c>
      <c r="C560" s="1" t="s">
        <v>74</v>
      </c>
      <c r="D560" s="1" t="s">
        <v>74</v>
      </c>
      <c r="E560" s="1" t="s">
        <v>74</v>
      </c>
      <c r="F560" s="1" t="s">
        <v>11472</v>
      </c>
      <c r="G560" s="1" t="s">
        <v>74</v>
      </c>
      <c r="H560" s="1" t="s">
        <v>74</v>
      </c>
      <c r="I560" s="1" t="s">
        <v>11473</v>
      </c>
      <c r="J560" s="1" t="s">
        <v>263</v>
      </c>
      <c r="K560" s="1" t="s">
        <v>74</v>
      </c>
      <c r="L560" s="1" t="s">
        <v>74</v>
      </c>
      <c r="M560" s="1" t="s">
        <v>80</v>
      </c>
      <c r="N560" s="1" t="s">
        <v>136</v>
      </c>
      <c r="O560" s="1" t="s">
        <v>74</v>
      </c>
      <c r="P560" s="1" t="s">
        <v>74</v>
      </c>
      <c r="Q560" s="1" t="s">
        <v>74</v>
      </c>
      <c r="R560" s="1" t="s">
        <v>74</v>
      </c>
      <c r="S560" s="1" t="s">
        <v>74</v>
      </c>
      <c r="T560" s="1" t="s">
        <v>11474</v>
      </c>
      <c r="U560" s="1" t="s">
        <v>11475</v>
      </c>
      <c r="V560" s="1" t="s">
        <v>11476</v>
      </c>
      <c r="W560" s="1" t="s">
        <v>11477</v>
      </c>
      <c r="X560" s="1" t="s">
        <v>11478</v>
      </c>
      <c r="Y560" s="1" t="s">
        <v>11479</v>
      </c>
      <c r="Z560" s="1" t="s">
        <v>11480</v>
      </c>
      <c r="AA560" s="1" t="s">
        <v>11481</v>
      </c>
      <c r="AB560" s="1" t="s">
        <v>74</v>
      </c>
      <c r="AC560" s="1" t="s">
        <v>74</v>
      </c>
      <c r="AD560" s="1" t="s">
        <v>74</v>
      </c>
      <c r="AE560" s="1" t="s">
        <v>74</v>
      </c>
      <c r="AF560" s="1" t="s">
        <v>74</v>
      </c>
      <c r="AG560" s="1">
        <v>53.0</v>
      </c>
      <c r="AH560" s="1">
        <v>3.0</v>
      </c>
      <c r="AI560" s="1">
        <v>3.0</v>
      </c>
      <c r="AJ560" s="1">
        <v>12.0</v>
      </c>
      <c r="AK560" s="1">
        <v>28.0</v>
      </c>
      <c r="AL560" s="1" t="s">
        <v>275</v>
      </c>
      <c r="AM560" s="1" t="s">
        <v>276</v>
      </c>
      <c r="AN560" s="1" t="s">
        <v>277</v>
      </c>
      <c r="AO560" s="1" t="s">
        <v>74</v>
      </c>
      <c r="AP560" s="1" t="s">
        <v>278</v>
      </c>
      <c r="AQ560" s="1" t="s">
        <v>74</v>
      </c>
      <c r="AR560" s="1" t="s">
        <v>279</v>
      </c>
      <c r="AS560" s="1" t="s">
        <v>280</v>
      </c>
      <c r="AT560" s="1" t="s">
        <v>7670</v>
      </c>
      <c r="AU560" s="1">
        <v>2022.0</v>
      </c>
      <c r="AV560" s="1">
        <v>5.0</v>
      </c>
      <c r="AW560" s="1" t="s">
        <v>74</v>
      </c>
      <c r="AX560" s="1" t="s">
        <v>74</v>
      </c>
      <c r="AY560" s="1" t="s">
        <v>74</v>
      </c>
      <c r="AZ560" s="1" t="s">
        <v>74</v>
      </c>
      <c r="BA560" s="1" t="s">
        <v>74</v>
      </c>
      <c r="BB560" s="1" t="s">
        <v>74</v>
      </c>
      <c r="BC560" s="1" t="s">
        <v>74</v>
      </c>
      <c r="BD560" s="1">
        <v>888817.0</v>
      </c>
      <c r="BE560" s="1" t="s">
        <v>11482</v>
      </c>
      <c r="BF560" s="2" t="str">
        <f>HYPERLINK("http://dx.doi.org/10.3389/frai.2022.888817","http://dx.doi.org/10.3389/frai.2022.888817")</f>
        <v>http://dx.doi.org/10.3389/frai.2022.888817</v>
      </c>
      <c r="BG560" s="1" t="s">
        <v>74</v>
      </c>
      <c r="BH560" s="1" t="s">
        <v>74</v>
      </c>
      <c r="BI560" s="1">
        <v>9.0</v>
      </c>
      <c r="BJ560" s="1" t="s">
        <v>282</v>
      </c>
      <c r="BK560" s="1" t="s">
        <v>172</v>
      </c>
      <c r="BL560" s="1" t="s">
        <v>232</v>
      </c>
      <c r="BM560" s="1" t="s">
        <v>11483</v>
      </c>
      <c r="BN560" s="1">
        <v>3.6092976E7</v>
      </c>
      <c r="BO560" s="1" t="s">
        <v>11484</v>
      </c>
      <c r="BP560" s="1" t="s">
        <v>74</v>
      </c>
      <c r="BQ560" s="1" t="s">
        <v>74</v>
      </c>
      <c r="BR560" s="1" t="s">
        <v>102</v>
      </c>
      <c r="BS560" s="1" t="s">
        <v>11485</v>
      </c>
      <c r="BT560" s="1" t="str">
        <f>HYPERLINK("https%3A%2F%2Fwww.webofscience.com%2Fwos%2Fwoscc%2Ffull-record%2FWOS:000915770500001","View Full Record in Web of Science")</f>
        <v>View Full Record in Web of Science</v>
      </c>
    </row>
    <row r="561" ht="12.75" customHeight="1">
      <c r="A561" s="1" t="s">
        <v>132</v>
      </c>
      <c r="B561" s="1" t="s">
        <v>11486</v>
      </c>
      <c r="C561" s="1" t="s">
        <v>74</v>
      </c>
      <c r="D561" s="1" t="s">
        <v>74</v>
      </c>
      <c r="E561" s="1" t="s">
        <v>74</v>
      </c>
      <c r="F561" s="1" t="s">
        <v>11487</v>
      </c>
      <c r="G561" s="1" t="s">
        <v>74</v>
      </c>
      <c r="H561" s="1" t="s">
        <v>74</v>
      </c>
      <c r="I561" s="1" t="s">
        <v>11488</v>
      </c>
      <c r="J561" s="1" t="s">
        <v>11489</v>
      </c>
      <c r="K561" s="1" t="s">
        <v>74</v>
      </c>
      <c r="L561" s="1" t="s">
        <v>74</v>
      </c>
      <c r="M561" s="1" t="s">
        <v>80</v>
      </c>
      <c r="N561" s="1" t="s">
        <v>136</v>
      </c>
      <c r="O561" s="1" t="s">
        <v>74</v>
      </c>
      <c r="P561" s="1" t="s">
        <v>74</v>
      </c>
      <c r="Q561" s="1" t="s">
        <v>74</v>
      </c>
      <c r="R561" s="1" t="s">
        <v>74</v>
      </c>
      <c r="S561" s="1" t="s">
        <v>74</v>
      </c>
      <c r="T561" s="1" t="s">
        <v>11490</v>
      </c>
      <c r="U561" s="1" t="s">
        <v>74</v>
      </c>
      <c r="V561" s="1" t="s">
        <v>11491</v>
      </c>
      <c r="W561" s="1" t="s">
        <v>11492</v>
      </c>
      <c r="X561" s="1" t="s">
        <v>11493</v>
      </c>
      <c r="Y561" s="1" t="s">
        <v>11494</v>
      </c>
      <c r="Z561" s="1" t="s">
        <v>11495</v>
      </c>
      <c r="AA561" s="1" t="s">
        <v>11496</v>
      </c>
      <c r="AB561" s="1" t="s">
        <v>11497</v>
      </c>
      <c r="AC561" s="1" t="s">
        <v>11498</v>
      </c>
      <c r="AD561" s="1" t="s">
        <v>11499</v>
      </c>
      <c r="AE561" s="1" t="s">
        <v>11500</v>
      </c>
      <c r="AF561" s="1" t="s">
        <v>74</v>
      </c>
      <c r="AG561" s="1">
        <v>57.0</v>
      </c>
      <c r="AH561" s="1">
        <v>73.0</v>
      </c>
      <c r="AI561" s="1">
        <v>75.0</v>
      </c>
      <c r="AJ561" s="1">
        <v>2.0</v>
      </c>
      <c r="AK561" s="1">
        <v>48.0</v>
      </c>
      <c r="AL561" s="1" t="s">
        <v>11501</v>
      </c>
      <c r="AM561" s="1" t="s">
        <v>11502</v>
      </c>
      <c r="AN561" s="1" t="s">
        <v>11503</v>
      </c>
      <c r="AO561" s="1" t="s">
        <v>11504</v>
      </c>
      <c r="AP561" s="1" t="s">
        <v>11505</v>
      </c>
      <c r="AQ561" s="1" t="s">
        <v>74</v>
      </c>
      <c r="AR561" s="1" t="s">
        <v>11506</v>
      </c>
      <c r="AS561" s="1" t="s">
        <v>11507</v>
      </c>
      <c r="AT561" s="1" t="s">
        <v>1279</v>
      </c>
      <c r="AU561" s="1">
        <v>2021.0</v>
      </c>
      <c r="AV561" s="1">
        <v>126.0</v>
      </c>
      <c r="AW561" s="1">
        <v>7.0</v>
      </c>
      <c r="AX561" s="1" t="s">
        <v>74</v>
      </c>
      <c r="AY561" s="1" t="s">
        <v>74</v>
      </c>
      <c r="AZ561" s="1" t="s">
        <v>74</v>
      </c>
      <c r="BA561" s="1" t="s">
        <v>74</v>
      </c>
      <c r="BB561" s="1">
        <v>998.0</v>
      </c>
      <c r="BC561" s="1">
        <v>1006.0</v>
      </c>
      <c r="BD561" s="1" t="s">
        <v>74</v>
      </c>
      <c r="BE561" s="1" t="s">
        <v>11508</v>
      </c>
      <c r="BF561" s="2" t="str">
        <f>HYPERLINK("http://dx.doi.org/10.1007/s11547-021-01351-x","http://dx.doi.org/10.1007/s11547-021-01351-x")</f>
        <v>http://dx.doi.org/10.1007/s11547-021-01351-x</v>
      </c>
      <c r="BG561" s="1" t="s">
        <v>74</v>
      </c>
      <c r="BH561" s="1" t="s">
        <v>10410</v>
      </c>
      <c r="BI561" s="1">
        <v>9.0</v>
      </c>
      <c r="BJ561" s="1" t="s">
        <v>656</v>
      </c>
      <c r="BK561" s="1" t="s">
        <v>149</v>
      </c>
      <c r="BL561" s="1" t="s">
        <v>656</v>
      </c>
      <c r="BM561" s="1" t="s">
        <v>11509</v>
      </c>
      <c r="BN561" s="1">
        <v>3.3861421E7</v>
      </c>
      <c r="BO561" s="1" t="s">
        <v>2021</v>
      </c>
      <c r="BP561" s="1" t="s">
        <v>74</v>
      </c>
      <c r="BQ561" s="1" t="s">
        <v>74</v>
      </c>
      <c r="BR561" s="1" t="s">
        <v>102</v>
      </c>
      <c r="BS561" s="1" t="s">
        <v>11510</v>
      </c>
      <c r="BT561" s="1" t="str">
        <f>HYPERLINK("https%3A%2F%2Fwww.webofscience.com%2Fwos%2Fwoscc%2Ffull-record%2FWOS:000640759200001","View Full Record in Web of Science")</f>
        <v>View Full Record in Web of Science</v>
      </c>
    </row>
    <row r="562" ht="12.75" customHeight="1">
      <c r="A562" s="1" t="s">
        <v>132</v>
      </c>
      <c r="B562" s="1" t="s">
        <v>11511</v>
      </c>
      <c r="C562" s="1" t="s">
        <v>74</v>
      </c>
      <c r="D562" s="1" t="s">
        <v>74</v>
      </c>
      <c r="E562" s="1" t="s">
        <v>74</v>
      </c>
      <c r="F562" s="1" t="s">
        <v>11512</v>
      </c>
      <c r="G562" s="1" t="s">
        <v>74</v>
      </c>
      <c r="H562" s="1" t="s">
        <v>74</v>
      </c>
      <c r="I562" s="1" t="s">
        <v>11513</v>
      </c>
      <c r="J562" s="1" t="s">
        <v>10733</v>
      </c>
      <c r="K562" s="1" t="s">
        <v>74</v>
      </c>
      <c r="L562" s="1" t="s">
        <v>74</v>
      </c>
      <c r="M562" s="1" t="s">
        <v>8770</v>
      </c>
      <c r="N562" s="1" t="s">
        <v>136</v>
      </c>
      <c r="O562" s="1" t="s">
        <v>74</v>
      </c>
      <c r="P562" s="1" t="s">
        <v>74</v>
      </c>
      <c r="Q562" s="1" t="s">
        <v>74</v>
      </c>
      <c r="R562" s="1" t="s">
        <v>74</v>
      </c>
      <c r="S562" s="1" t="s">
        <v>74</v>
      </c>
      <c r="T562" s="1" t="s">
        <v>11514</v>
      </c>
      <c r="U562" s="1" t="s">
        <v>74</v>
      </c>
      <c r="V562" s="1" t="s">
        <v>11515</v>
      </c>
      <c r="W562" s="1" t="s">
        <v>11516</v>
      </c>
      <c r="X562" s="1" t="s">
        <v>11517</v>
      </c>
      <c r="Y562" s="1" t="s">
        <v>11518</v>
      </c>
      <c r="Z562" s="1" t="s">
        <v>11519</v>
      </c>
      <c r="AA562" s="1" t="s">
        <v>74</v>
      </c>
      <c r="AB562" s="1" t="s">
        <v>74</v>
      </c>
      <c r="AC562" s="1" t="s">
        <v>74</v>
      </c>
      <c r="AD562" s="1" t="s">
        <v>74</v>
      </c>
      <c r="AE562" s="1" t="s">
        <v>74</v>
      </c>
      <c r="AF562" s="1" t="s">
        <v>74</v>
      </c>
      <c r="AG562" s="1">
        <v>100.0</v>
      </c>
      <c r="AH562" s="1">
        <v>0.0</v>
      </c>
      <c r="AI562" s="1">
        <v>0.0</v>
      </c>
      <c r="AJ562" s="1">
        <v>1.0</v>
      </c>
      <c r="AK562" s="1">
        <v>5.0</v>
      </c>
      <c r="AL562" s="1" t="s">
        <v>10745</v>
      </c>
      <c r="AM562" s="1" t="s">
        <v>10746</v>
      </c>
      <c r="AN562" s="1" t="s">
        <v>10747</v>
      </c>
      <c r="AO562" s="1" t="s">
        <v>10748</v>
      </c>
      <c r="AP562" s="1" t="s">
        <v>74</v>
      </c>
      <c r="AQ562" s="1" t="s">
        <v>74</v>
      </c>
      <c r="AR562" s="1" t="s">
        <v>10749</v>
      </c>
      <c r="AS562" s="1" t="s">
        <v>10750</v>
      </c>
      <c r="AT562" s="1" t="s">
        <v>74</v>
      </c>
      <c r="AU562" s="1">
        <v>2022.0</v>
      </c>
      <c r="AV562" s="1" t="s">
        <v>74</v>
      </c>
      <c r="AW562" s="1">
        <v>4.0</v>
      </c>
      <c r="AX562" s="1" t="s">
        <v>74</v>
      </c>
      <c r="AY562" s="1" t="s">
        <v>74</v>
      </c>
      <c r="AZ562" s="1" t="s">
        <v>74</v>
      </c>
      <c r="BA562" s="1" t="s">
        <v>74</v>
      </c>
      <c r="BB562" s="1">
        <v>503.0</v>
      </c>
      <c r="BC562" s="1">
        <v>530.0</v>
      </c>
      <c r="BD562" s="1" t="s">
        <v>74</v>
      </c>
      <c r="BE562" s="1" t="s">
        <v>74</v>
      </c>
      <c r="BF562" s="1" t="s">
        <v>74</v>
      </c>
      <c r="BG562" s="1" t="s">
        <v>74</v>
      </c>
      <c r="BH562" s="1" t="s">
        <v>74</v>
      </c>
      <c r="BI562" s="1">
        <v>28.0</v>
      </c>
      <c r="BJ562" s="1" t="s">
        <v>915</v>
      </c>
      <c r="BK562" s="1" t="s">
        <v>172</v>
      </c>
      <c r="BL562" s="1" t="s">
        <v>916</v>
      </c>
      <c r="BM562" s="1" t="s">
        <v>11520</v>
      </c>
      <c r="BN562" s="1" t="s">
        <v>74</v>
      </c>
      <c r="BO562" s="1" t="s">
        <v>74</v>
      </c>
      <c r="BP562" s="1" t="s">
        <v>74</v>
      </c>
      <c r="BQ562" s="1" t="s">
        <v>74</v>
      </c>
      <c r="BR562" s="1" t="s">
        <v>102</v>
      </c>
      <c r="BS562" s="1" t="s">
        <v>11521</v>
      </c>
      <c r="BT562" s="1" t="str">
        <f>HYPERLINK("https%3A%2F%2Fwww.webofscience.com%2Fwos%2Fwoscc%2Ffull-record%2FWOS:000983125800026","View Full Record in Web of Science")</f>
        <v>View Full Record in Web of Science</v>
      </c>
    </row>
    <row r="563" ht="12.75" customHeight="1">
      <c r="A563" s="1" t="s">
        <v>72</v>
      </c>
      <c r="B563" s="1" t="s">
        <v>11522</v>
      </c>
      <c r="C563" s="1" t="s">
        <v>74</v>
      </c>
      <c r="D563" s="1" t="s">
        <v>11523</v>
      </c>
      <c r="E563" s="1" t="s">
        <v>74</v>
      </c>
      <c r="F563" s="1" t="s">
        <v>11524</v>
      </c>
      <c r="G563" s="1" t="s">
        <v>74</v>
      </c>
      <c r="H563" s="1" t="s">
        <v>74</v>
      </c>
      <c r="I563" s="1" t="s">
        <v>11525</v>
      </c>
      <c r="J563" s="1" t="s">
        <v>11526</v>
      </c>
      <c r="K563" s="1" t="s">
        <v>11527</v>
      </c>
      <c r="L563" s="1" t="s">
        <v>74</v>
      </c>
      <c r="M563" s="1" t="s">
        <v>80</v>
      </c>
      <c r="N563" s="1" t="s">
        <v>81</v>
      </c>
      <c r="O563" s="1" t="s">
        <v>11528</v>
      </c>
      <c r="P563" s="1" t="s">
        <v>11529</v>
      </c>
      <c r="Q563" s="1" t="s">
        <v>11530</v>
      </c>
      <c r="R563" s="1" t="s">
        <v>11531</v>
      </c>
      <c r="S563" s="1" t="s">
        <v>74</v>
      </c>
      <c r="T563" s="1" t="s">
        <v>11532</v>
      </c>
      <c r="U563" s="1" t="s">
        <v>74</v>
      </c>
      <c r="V563" s="1" t="s">
        <v>11533</v>
      </c>
      <c r="W563" s="1" t="s">
        <v>11534</v>
      </c>
      <c r="X563" s="1" t="s">
        <v>11535</v>
      </c>
      <c r="Y563" s="1" t="s">
        <v>11536</v>
      </c>
      <c r="Z563" s="1" t="s">
        <v>11537</v>
      </c>
      <c r="AA563" s="1" t="s">
        <v>74</v>
      </c>
      <c r="AB563" s="1" t="s">
        <v>74</v>
      </c>
      <c r="AC563" s="1" t="s">
        <v>74</v>
      </c>
      <c r="AD563" s="1" t="s">
        <v>74</v>
      </c>
      <c r="AE563" s="1" t="s">
        <v>74</v>
      </c>
      <c r="AF563" s="1" t="s">
        <v>74</v>
      </c>
      <c r="AG563" s="1">
        <v>14.0</v>
      </c>
      <c r="AH563" s="1">
        <v>1.0</v>
      </c>
      <c r="AI563" s="1">
        <v>1.0</v>
      </c>
      <c r="AJ563" s="1">
        <v>0.0</v>
      </c>
      <c r="AK563" s="1">
        <v>2.0</v>
      </c>
      <c r="AL563" s="1" t="s">
        <v>296</v>
      </c>
      <c r="AM563" s="1" t="s">
        <v>297</v>
      </c>
      <c r="AN563" s="1" t="s">
        <v>800</v>
      </c>
      <c r="AO563" s="1" t="s">
        <v>11538</v>
      </c>
      <c r="AP563" s="1" t="s">
        <v>74</v>
      </c>
      <c r="AQ563" s="1" t="s">
        <v>11539</v>
      </c>
      <c r="AR563" s="1" t="s">
        <v>11540</v>
      </c>
      <c r="AS563" s="1" t="s">
        <v>74</v>
      </c>
      <c r="AT563" s="1" t="s">
        <v>74</v>
      </c>
      <c r="AU563" s="1">
        <v>2023.0</v>
      </c>
      <c r="AV563" s="1" t="s">
        <v>74</v>
      </c>
      <c r="AW563" s="1" t="s">
        <v>74</v>
      </c>
      <c r="AX563" s="1" t="s">
        <v>74</v>
      </c>
      <c r="AY563" s="1" t="s">
        <v>74</v>
      </c>
      <c r="AZ563" s="1" t="s">
        <v>74</v>
      </c>
      <c r="BA563" s="1" t="s">
        <v>74</v>
      </c>
      <c r="BB563" s="1">
        <v>155.0</v>
      </c>
      <c r="BC563" s="1">
        <v>162.0</v>
      </c>
      <c r="BD563" s="1" t="s">
        <v>74</v>
      </c>
      <c r="BE563" s="1" t="s">
        <v>11541</v>
      </c>
      <c r="BF563" s="2" t="str">
        <f>HYPERLINK("http://dx.doi.org/10.1109/BigComp57234.2023.00034","http://dx.doi.org/10.1109/BigComp57234.2023.00034")</f>
        <v>http://dx.doi.org/10.1109/BigComp57234.2023.00034</v>
      </c>
      <c r="BG563" s="1" t="s">
        <v>74</v>
      </c>
      <c r="BH563" s="1" t="s">
        <v>74</v>
      </c>
      <c r="BI563" s="1">
        <v>8.0</v>
      </c>
      <c r="BJ563" s="1" t="s">
        <v>3002</v>
      </c>
      <c r="BK563" s="1" t="s">
        <v>128</v>
      </c>
      <c r="BL563" s="1" t="s">
        <v>232</v>
      </c>
      <c r="BM563" s="1" t="s">
        <v>11542</v>
      </c>
      <c r="BN563" s="1" t="s">
        <v>74</v>
      </c>
      <c r="BO563" s="1" t="s">
        <v>74</v>
      </c>
      <c r="BP563" s="1" t="s">
        <v>74</v>
      </c>
      <c r="BQ563" s="1" t="s">
        <v>74</v>
      </c>
      <c r="BR563" s="1" t="s">
        <v>102</v>
      </c>
      <c r="BS563" s="1" t="s">
        <v>11543</v>
      </c>
      <c r="BT563" s="1" t="str">
        <f>HYPERLINK("https%3A%2F%2Fwww.webofscience.com%2Fwos%2Fwoscc%2Ffull-record%2FWOS:000981866800026","View Full Record in Web of Science")</f>
        <v>View Full Record in Web of Science</v>
      </c>
    </row>
    <row r="564" ht="12.75" customHeight="1">
      <c r="A564" s="1" t="s">
        <v>132</v>
      </c>
      <c r="B564" s="1" t="s">
        <v>11544</v>
      </c>
      <c r="C564" s="1" t="s">
        <v>74</v>
      </c>
      <c r="D564" s="1" t="s">
        <v>74</v>
      </c>
      <c r="E564" s="1" t="s">
        <v>74</v>
      </c>
      <c r="F564" s="1" t="s">
        <v>11545</v>
      </c>
      <c r="G564" s="1" t="s">
        <v>74</v>
      </c>
      <c r="H564" s="1" t="s">
        <v>74</v>
      </c>
      <c r="I564" s="1" t="s">
        <v>11546</v>
      </c>
      <c r="J564" s="1" t="s">
        <v>11547</v>
      </c>
      <c r="K564" s="1" t="s">
        <v>74</v>
      </c>
      <c r="L564" s="1" t="s">
        <v>74</v>
      </c>
      <c r="M564" s="1" t="s">
        <v>80</v>
      </c>
      <c r="N564" s="1" t="s">
        <v>338</v>
      </c>
      <c r="O564" s="1" t="s">
        <v>74</v>
      </c>
      <c r="P564" s="1" t="s">
        <v>74</v>
      </c>
      <c r="Q564" s="1" t="s">
        <v>74</v>
      </c>
      <c r="R564" s="1" t="s">
        <v>74</v>
      </c>
      <c r="S564" s="1" t="s">
        <v>74</v>
      </c>
      <c r="T564" s="1" t="s">
        <v>11548</v>
      </c>
      <c r="U564" s="1" t="s">
        <v>74</v>
      </c>
      <c r="V564" s="1" t="s">
        <v>11549</v>
      </c>
      <c r="W564" s="1" t="s">
        <v>11550</v>
      </c>
      <c r="X564" s="1" t="s">
        <v>11551</v>
      </c>
      <c r="Y564" s="1" t="s">
        <v>11552</v>
      </c>
      <c r="Z564" s="1" t="s">
        <v>11553</v>
      </c>
      <c r="AA564" s="1" t="s">
        <v>11554</v>
      </c>
      <c r="AB564" s="1" t="s">
        <v>11555</v>
      </c>
      <c r="AC564" s="1" t="s">
        <v>74</v>
      </c>
      <c r="AD564" s="1" t="s">
        <v>74</v>
      </c>
      <c r="AE564" s="1" t="s">
        <v>74</v>
      </c>
      <c r="AF564" s="1" t="s">
        <v>74</v>
      </c>
      <c r="AG564" s="1">
        <v>48.0</v>
      </c>
      <c r="AH564" s="1">
        <v>0.0</v>
      </c>
      <c r="AI564" s="1">
        <v>0.0</v>
      </c>
      <c r="AJ564" s="1">
        <v>2.0</v>
      </c>
      <c r="AK564" s="1">
        <v>2.0</v>
      </c>
      <c r="AL564" s="1" t="s">
        <v>11556</v>
      </c>
      <c r="AM564" s="1" t="s">
        <v>3276</v>
      </c>
      <c r="AN564" s="1" t="s">
        <v>11557</v>
      </c>
      <c r="AO564" s="1" t="s">
        <v>74</v>
      </c>
      <c r="AP564" s="1" t="s">
        <v>11558</v>
      </c>
      <c r="AQ564" s="1" t="s">
        <v>74</v>
      </c>
      <c r="AR564" s="1" t="s">
        <v>11547</v>
      </c>
      <c r="AS564" s="1" t="s">
        <v>11559</v>
      </c>
      <c r="AT564" s="1" t="s">
        <v>11560</v>
      </c>
      <c r="AU564" s="1">
        <v>2024.0</v>
      </c>
      <c r="AV564" s="1" t="s">
        <v>74</v>
      </c>
      <c r="AW564" s="1" t="s">
        <v>74</v>
      </c>
      <c r="AX564" s="1" t="s">
        <v>74</v>
      </c>
      <c r="AY564" s="1" t="s">
        <v>74</v>
      </c>
      <c r="AZ564" s="1" t="s">
        <v>74</v>
      </c>
      <c r="BA564" s="1" t="s">
        <v>74</v>
      </c>
      <c r="BB564" s="1" t="s">
        <v>74</v>
      </c>
      <c r="BC564" s="1" t="s">
        <v>74</v>
      </c>
      <c r="BD564" s="1" t="s">
        <v>74</v>
      </c>
      <c r="BE564" s="1" t="s">
        <v>11561</v>
      </c>
      <c r="BF564" s="2" t="str">
        <f>HYPERLINK("http://dx.doi.org/10.26650/acin.1451569","http://dx.doi.org/10.26650/acin.1451569")</f>
        <v>http://dx.doi.org/10.26650/acin.1451569</v>
      </c>
      <c r="BG564" s="1" t="s">
        <v>74</v>
      </c>
      <c r="BH564" s="1" t="s">
        <v>1929</v>
      </c>
      <c r="BI564" s="1">
        <v>12.0</v>
      </c>
      <c r="BJ564" s="1" t="s">
        <v>554</v>
      </c>
      <c r="BK564" s="1" t="s">
        <v>172</v>
      </c>
      <c r="BL564" s="1" t="s">
        <v>232</v>
      </c>
      <c r="BM564" s="1" t="s">
        <v>11562</v>
      </c>
      <c r="BN564" s="1" t="s">
        <v>74</v>
      </c>
      <c r="BO564" s="1" t="s">
        <v>74</v>
      </c>
      <c r="BP564" s="1" t="s">
        <v>74</v>
      </c>
      <c r="BQ564" s="1" t="s">
        <v>74</v>
      </c>
      <c r="BR564" s="1" t="s">
        <v>102</v>
      </c>
      <c r="BS564" s="1" t="s">
        <v>11563</v>
      </c>
      <c r="BT564" s="1" t="str">
        <f>HYPERLINK("https%3A%2F%2Fwww.webofscience.com%2Fwos%2Fwoscc%2Ffull-record%2FWOS:001322817400001","View Full Record in Web of Science")</f>
        <v>View Full Record in Web of Science</v>
      </c>
    </row>
    <row r="565" ht="12.75" customHeight="1">
      <c r="A565" s="1" t="s">
        <v>132</v>
      </c>
      <c r="B565" s="1" t="s">
        <v>11564</v>
      </c>
      <c r="C565" s="1" t="s">
        <v>74</v>
      </c>
      <c r="D565" s="1" t="s">
        <v>74</v>
      </c>
      <c r="E565" s="1" t="s">
        <v>74</v>
      </c>
      <c r="F565" s="1" t="s">
        <v>11564</v>
      </c>
      <c r="G565" s="1" t="s">
        <v>74</v>
      </c>
      <c r="H565" s="1" t="s">
        <v>74</v>
      </c>
      <c r="I565" s="1" t="s">
        <v>11565</v>
      </c>
      <c r="J565" s="1" t="s">
        <v>11566</v>
      </c>
      <c r="K565" s="1" t="s">
        <v>74</v>
      </c>
      <c r="L565" s="1" t="s">
        <v>74</v>
      </c>
      <c r="M565" s="1" t="s">
        <v>80</v>
      </c>
      <c r="N565" s="1" t="s">
        <v>11567</v>
      </c>
      <c r="O565" s="1" t="s">
        <v>74</v>
      </c>
      <c r="P565" s="1" t="s">
        <v>74</v>
      </c>
      <c r="Q565" s="1" t="s">
        <v>74</v>
      </c>
      <c r="R565" s="1" t="s">
        <v>74</v>
      </c>
      <c r="S565" s="1" t="s">
        <v>74</v>
      </c>
      <c r="T565" s="1" t="s">
        <v>74</v>
      </c>
      <c r="U565" s="1" t="s">
        <v>74</v>
      </c>
      <c r="V565" s="1" t="s">
        <v>11568</v>
      </c>
      <c r="W565" s="1" t="s">
        <v>11569</v>
      </c>
      <c r="X565" s="1" t="s">
        <v>11570</v>
      </c>
      <c r="Y565" s="1" t="s">
        <v>74</v>
      </c>
      <c r="Z565" s="1" t="s">
        <v>74</v>
      </c>
      <c r="AA565" s="1" t="s">
        <v>74</v>
      </c>
      <c r="AB565" s="1" t="s">
        <v>74</v>
      </c>
      <c r="AC565" s="1" t="s">
        <v>74</v>
      </c>
      <c r="AD565" s="1" t="s">
        <v>74</v>
      </c>
      <c r="AE565" s="1" t="s">
        <v>74</v>
      </c>
      <c r="AF565" s="1" t="s">
        <v>74</v>
      </c>
      <c r="AG565" s="1">
        <v>23.0</v>
      </c>
      <c r="AH565" s="1">
        <v>0.0</v>
      </c>
      <c r="AI565" s="1">
        <v>0.0</v>
      </c>
      <c r="AJ565" s="1">
        <v>0.0</v>
      </c>
      <c r="AK565" s="1">
        <v>6.0</v>
      </c>
      <c r="AL565" s="1" t="s">
        <v>11571</v>
      </c>
      <c r="AM565" s="1" t="s">
        <v>11572</v>
      </c>
      <c r="AN565" s="1" t="s">
        <v>11573</v>
      </c>
      <c r="AO565" s="1" t="s">
        <v>11574</v>
      </c>
      <c r="AP565" s="1" t="s">
        <v>74</v>
      </c>
      <c r="AQ565" s="1" t="s">
        <v>74</v>
      </c>
      <c r="AR565" s="1" t="s">
        <v>11575</v>
      </c>
      <c r="AS565" s="1" t="s">
        <v>11576</v>
      </c>
      <c r="AT565" s="1" t="s">
        <v>1027</v>
      </c>
      <c r="AU565" s="1">
        <v>1993.0</v>
      </c>
      <c r="AV565" s="1">
        <v>16.0</v>
      </c>
      <c r="AW565" s="1">
        <v>1.0</v>
      </c>
      <c r="AX565" s="1" t="s">
        <v>74</v>
      </c>
      <c r="AY565" s="1" t="s">
        <v>74</v>
      </c>
      <c r="AZ565" s="1" t="s">
        <v>74</v>
      </c>
      <c r="BA565" s="1" t="s">
        <v>74</v>
      </c>
      <c r="BB565" s="1">
        <v>31.0</v>
      </c>
      <c r="BC565" s="1">
        <v>37.0</v>
      </c>
      <c r="BD565" s="1" t="s">
        <v>74</v>
      </c>
      <c r="BE565" s="1" t="s">
        <v>11577</v>
      </c>
      <c r="BF565" s="2" t="str">
        <f>HYPERLINK("http://dx.doi.org/10.3233/ICG-1993-16104","http://dx.doi.org/10.3233/ICG-1993-16104")</f>
        <v>http://dx.doi.org/10.3233/ICG-1993-16104</v>
      </c>
      <c r="BG565" s="1" t="s">
        <v>74</v>
      </c>
      <c r="BH565" s="1" t="s">
        <v>74</v>
      </c>
      <c r="BI565" s="1">
        <v>7.0</v>
      </c>
      <c r="BJ565" s="1" t="s">
        <v>7998</v>
      </c>
      <c r="BK565" s="1" t="s">
        <v>149</v>
      </c>
      <c r="BL565" s="1" t="s">
        <v>232</v>
      </c>
      <c r="BM565" s="1" t="s">
        <v>11578</v>
      </c>
      <c r="BN565" s="1" t="s">
        <v>74</v>
      </c>
      <c r="BO565" s="1" t="s">
        <v>74</v>
      </c>
      <c r="BP565" s="1" t="s">
        <v>74</v>
      </c>
      <c r="BQ565" s="1" t="s">
        <v>74</v>
      </c>
      <c r="BR565" s="1" t="s">
        <v>102</v>
      </c>
      <c r="BS565" s="1" t="s">
        <v>11579</v>
      </c>
      <c r="BT565" s="1" t="str">
        <f>HYPERLINK("https%3A%2F%2Fwww.webofscience.com%2Fwos%2Fwoscc%2Ffull-record%2FWOS:A1993KV86800004","View Full Record in Web of Science")</f>
        <v>View Full Record in Web of Science</v>
      </c>
    </row>
    <row r="566" ht="12.75" customHeight="1">
      <c r="A566" s="1" t="s">
        <v>132</v>
      </c>
      <c r="B566" s="1" t="s">
        <v>11580</v>
      </c>
      <c r="C566" s="1" t="s">
        <v>74</v>
      </c>
      <c r="D566" s="1" t="s">
        <v>74</v>
      </c>
      <c r="E566" s="1" t="s">
        <v>74</v>
      </c>
      <c r="F566" s="1" t="s">
        <v>11581</v>
      </c>
      <c r="G566" s="1" t="s">
        <v>74</v>
      </c>
      <c r="H566" s="1" t="s">
        <v>74</v>
      </c>
      <c r="I566" s="1" t="s">
        <v>11582</v>
      </c>
      <c r="J566" s="1" t="s">
        <v>11583</v>
      </c>
      <c r="K566" s="1" t="s">
        <v>74</v>
      </c>
      <c r="L566" s="1" t="s">
        <v>74</v>
      </c>
      <c r="M566" s="1" t="s">
        <v>80</v>
      </c>
      <c r="N566" s="1" t="s">
        <v>1010</v>
      </c>
      <c r="O566" s="1" t="s">
        <v>74</v>
      </c>
      <c r="P566" s="1" t="s">
        <v>74</v>
      </c>
      <c r="Q566" s="1" t="s">
        <v>74</v>
      </c>
      <c r="R566" s="1" t="s">
        <v>74</v>
      </c>
      <c r="S566" s="1" t="s">
        <v>74</v>
      </c>
      <c r="T566" s="1" t="s">
        <v>11584</v>
      </c>
      <c r="U566" s="1" t="s">
        <v>11585</v>
      </c>
      <c r="V566" s="1" t="s">
        <v>11586</v>
      </c>
      <c r="W566" s="1" t="s">
        <v>11587</v>
      </c>
      <c r="X566" s="1" t="s">
        <v>74</v>
      </c>
      <c r="Y566" s="1" t="s">
        <v>11588</v>
      </c>
      <c r="Z566" s="1" t="s">
        <v>11589</v>
      </c>
      <c r="AA566" s="1" t="s">
        <v>74</v>
      </c>
      <c r="AB566" s="1" t="s">
        <v>74</v>
      </c>
      <c r="AC566" s="1" t="s">
        <v>74</v>
      </c>
      <c r="AD566" s="1" t="s">
        <v>74</v>
      </c>
      <c r="AE566" s="1" t="s">
        <v>74</v>
      </c>
      <c r="AF566" s="1" t="s">
        <v>74</v>
      </c>
      <c r="AG566" s="1">
        <v>59.0</v>
      </c>
      <c r="AH566" s="1">
        <v>2.0</v>
      </c>
      <c r="AI566" s="1">
        <v>2.0</v>
      </c>
      <c r="AJ566" s="1">
        <v>2.0</v>
      </c>
      <c r="AK566" s="1">
        <v>6.0</v>
      </c>
      <c r="AL566" s="1" t="s">
        <v>5565</v>
      </c>
      <c r="AM566" s="1" t="s">
        <v>193</v>
      </c>
      <c r="AN566" s="1" t="s">
        <v>5566</v>
      </c>
      <c r="AO566" s="1" t="s">
        <v>11590</v>
      </c>
      <c r="AP566" s="1" t="s">
        <v>11591</v>
      </c>
      <c r="AQ566" s="1" t="s">
        <v>74</v>
      </c>
      <c r="AR566" s="1" t="s">
        <v>11592</v>
      </c>
      <c r="AS566" s="1" t="s">
        <v>11593</v>
      </c>
      <c r="AT566" s="1" t="s">
        <v>1051</v>
      </c>
      <c r="AU566" s="1">
        <v>2023.0</v>
      </c>
      <c r="AV566" s="1">
        <v>14.0</v>
      </c>
      <c r="AW566" s="1">
        <v>4.0</v>
      </c>
      <c r="AX566" s="1" t="s">
        <v>74</v>
      </c>
      <c r="AY566" s="1" t="s">
        <v>74</v>
      </c>
      <c r="AZ566" s="1" t="s">
        <v>74</v>
      </c>
      <c r="BA566" s="1" t="s">
        <v>74</v>
      </c>
      <c r="BB566" s="1">
        <v>221.0</v>
      </c>
      <c r="BC566" s="1">
        <v>226.0</v>
      </c>
      <c r="BD566" s="1" t="s">
        <v>74</v>
      </c>
      <c r="BE566" s="1" t="s">
        <v>11594</v>
      </c>
      <c r="BF566" s="2" t="str">
        <f>HYPERLINK("http://dx.doi.org/10.1055/s-0043-1777330","http://dx.doi.org/10.1055/s-0043-1777330")</f>
        <v>http://dx.doi.org/10.1055/s-0043-1777330</v>
      </c>
      <c r="BG566" s="1" t="s">
        <v>74</v>
      </c>
      <c r="BH566" s="1" t="s">
        <v>5056</v>
      </c>
      <c r="BI566" s="1">
        <v>6.0</v>
      </c>
      <c r="BJ566" s="1" t="s">
        <v>1282</v>
      </c>
      <c r="BK566" s="1" t="s">
        <v>172</v>
      </c>
      <c r="BL566" s="1" t="s">
        <v>1282</v>
      </c>
      <c r="BM566" s="1" t="s">
        <v>11595</v>
      </c>
      <c r="BN566" s="1" t="s">
        <v>74</v>
      </c>
      <c r="BO566" s="1" t="s">
        <v>174</v>
      </c>
      <c r="BP566" s="1" t="s">
        <v>74</v>
      </c>
      <c r="BQ566" s="1" t="s">
        <v>74</v>
      </c>
      <c r="BR566" s="1" t="s">
        <v>102</v>
      </c>
      <c r="BS566" s="1" t="s">
        <v>11596</v>
      </c>
      <c r="BT566" s="1" t="str">
        <f>HYPERLINK("https%3A%2F%2Fwww.webofscience.com%2Fwos%2Fwoscc%2Ffull-record%2FWOS:001126991500001","View Full Record in Web of Science")</f>
        <v>View Full Record in Web of Science</v>
      </c>
    </row>
    <row r="567" ht="12.75" customHeight="1">
      <c r="A567" s="1" t="s">
        <v>72</v>
      </c>
      <c r="B567" s="1" t="s">
        <v>11597</v>
      </c>
      <c r="C567" s="1" t="s">
        <v>74</v>
      </c>
      <c r="D567" s="1" t="s">
        <v>362</v>
      </c>
      <c r="E567" s="1" t="s">
        <v>74</v>
      </c>
      <c r="F567" s="1" t="s">
        <v>11598</v>
      </c>
      <c r="G567" s="1" t="s">
        <v>74</v>
      </c>
      <c r="H567" s="1" t="s">
        <v>74</v>
      </c>
      <c r="I567" s="1" t="s">
        <v>11599</v>
      </c>
      <c r="J567" s="1" t="s">
        <v>365</v>
      </c>
      <c r="K567" s="1" t="s">
        <v>74</v>
      </c>
      <c r="L567" s="1" t="s">
        <v>74</v>
      </c>
      <c r="M567" s="1" t="s">
        <v>80</v>
      </c>
      <c r="N567" s="1" t="s">
        <v>81</v>
      </c>
      <c r="O567" s="1" t="s">
        <v>366</v>
      </c>
      <c r="P567" s="1" t="s">
        <v>367</v>
      </c>
      <c r="Q567" s="1" t="s">
        <v>368</v>
      </c>
      <c r="R567" s="1" t="s">
        <v>74</v>
      </c>
      <c r="S567" s="1" t="s">
        <v>369</v>
      </c>
      <c r="T567" s="1" t="s">
        <v>11600</v>
      </c>
      <c r="U567" s="1" t="s">
        <v>11601</v>
      </c>
      <c r="V567" s="1" t="s">
        <v>11602</v>
      </c>
      <c r="W567" s="1" t="s">
        <v>11603</v>
      </c>
      <c r="X567" s="1" t="s">
        <v>11604</v>
      </c>
      <c r="Y567" s="1" t="s">
        <v>11605</v>
      </c>
      <c r="Z567" s="1" t="s">
        <v>11606</v>
      </c>
      <c r="AA567" s="1" t="s">
        <v>11607</v>
      </c>
      <c r="AB567" s="1" t="s">
        <v>11608</v>
      </c>
      <c r="AC567" s="1" t="s">
        <v>74</v>
      </c>
      <c r="AD567" s="1" t="s">
        <v>74</v>
      </c>
      <c r="AE567" s="1" t="s">
        <v>74</v>
      </c>
      <c r="AF567" s="1" t="s">
        <v>74</v>
      </c>
      <c r="AG567" s="1">
        <v>41.0</v>
      </c>
      <c r="AH567" s="1">
        <v>13.0</v>
      </c>
      <c r="AI567" s="1">
        <v>13.0</v>
      </c>
      <c r="AJ567" s="1">
        <v>0.0</v>
      </c>
      <c r="AK567" s="1">
        <v>29.0</v>
      </c>
      <c r="AL567" s="1" t="s">
        <v>122</v>
      </c>
      <c r="AM567" s="1" t="s">
        <v>123</v>
      </c>
      <c r="AN567" s="1" t="s">
        <v>124</v>
      </c>
      <c r="AO567" s="1" t="s">
        <v>74</v>
      </c>
      <c r="AP567" s="1" t="s">
        <v>74</v>
      </c>
      <c r="AQ567" s="1" t="s">
        <v>376</v>
      </c>
      <c r="AR567" s="1" t="s">
        <v>74</v>
      </c>
      <c r="AS567" s="1" t="s">
        <v>74</v>
      </c>
      <c r="AT567" s="1" t="s">
        <v>74</v>
      </c>
      <c r="AU567" s="1">
        <v>2019.0</v>
      </c>
      <c r="AV567" s="1" t="s">
        <v>74</v>
      </c>
      <c r="AW567" s="1" t="s">
        <v>74</v>
      </c>
      <c r="AX567" s="1" t="s">
        <v>74</v>
      </c>
      <c r="AY567" s="1" t="s">
        <v>74</v>
      </c>
      <c r="AZ567" s="1" t="s">
        <v>74</v>
      </c>
      <c r="BA567" s="1" t="s">
        <v>74</v>
      </c>
      <c r="BB567" s="1">
        <v>88.0</v>
      </c>
      <c r="BC567" s="1">
        <v>95.0</v>
      </c>
      <c r="BD567" s="1" t="s">
        <v>74</v>
      </c>
      <c r="BE567" s="1" t="s">
        <v>11609</v>
      </c>
      <c r="BF567" s="2" t="str">
        <f>HYPERLINK("http://dx.doi.org/10.34190/ECIAIR.19.015","http://dx.doi.org/10.34190/ECIAIR.19.015")</f>
        <v>http://dx.doi.org/10.34190/ECIAIR.19.015</v>
      </c>
      <c r="BG567" s="1" t="s">
        <v>74</v>
      </c>
      <c r="BH567" s="1" t="s">
        <v>74</v>
      </c>
      <c r="BI567" s="1">
        <v>8.0</v>
      </c>
      <c r="BJ567" s="1" t="s">
        <v>127</v>
      </c>
      <c r="BK567" s="1" t="s">
        <v>128</v>
      </c>
      <c r="BL567" s="1" t="s">
        <v>129</v>
      </c>
      <c r="BM567" s="1" t="s">
        <v>378</v>
      </c>
      <c r="BN567" s="1" t="s">
        <v>74</v>
      </c>
      <c r="BO567" s="1" t="s">
        <v>74</v>
      </c>
      <c r="BP567" s="1" t="s">
        <v>74</v>
      </c>
      <c r="BQ567" s="1" t="s">
        <v>74</v>
      </c>
      <c r="BR567" s="1" t="s">
        <v>102</v>
      </c>
      <c r="BS567" s="1" t="s">
        <v>11610</v>
      </c>
      <c r="BT567" s="1" t="str">
        <f>HYPERLINK("https%3A%2F%2Fwww.webofscience.com%2Fwos%2Fwoscc%2Ffull-record%2FWOS:000539633500010","View Full Record in Web of Science")</f>
        <v>View Full Record in Web of Science</v>
      </c>
    </row>
    <row r="568" ht="12.75" customHeight="1">
      <c r="A568" s="1" t="s">
        <v>132</v>
      </c>
      <c r="B568" s="1" t="s">
        <v>11611</v>
      </c>
      <c r="C568" s="1" t="s">
        <v>74</v>
      </c>
      <c r="D568" s="1" t="s">
        <v>74</v>
      </c>
      <c r="E568" s="1" t="s">
        <v>74</v>
      </c>
      <c r="F568" s="1" t="s">
        <v>11612</v>
      </c>
      <c r="G568" s="1" t="s">
        <v>74</v>
      </c>
      <c r="H568" s="1" t="s">
        <v>74</v>
      </c>
      <c r="I568" s="1" t="s">
        <v>11613</v>
      </c>
      <c r="J568" s="1" t="s">
        <v>11614</v>
      </c>
      <c r="K568" s="1" t="s">
        <v>74</v>
      </c>
      <c r="L568" s="1" t="s">
        <v>74</v>
      </c>
      <c r="M568" s="1" t="s">
        <v>80</v>
      </c>
      <c r="N568" s="1" t="s">
        <v>136</v>
      </c>
      <c r="O568" s="1" t="s">
        <v>74</v>
      </c>
      <c r="P568" s="1" t="s">
        <v>74</v>
      </c>
      <c r="Q568" s="1" t="s">
        <v>74</v>
      </c>
      <c r="R568" s="1" t="s">
        <v>74</v>
      </c>
      <c r="S568" s="1" t="s">
        <v>74</v>
      </c>
      <c r="T568" s="1" t="s">
        <v>11615</v>
      </c>
      <c r="U568" s="1" t="s">
        <v>11616</v>
      </c>
      <c r="V568" s="1" t="s">
        <v>11617</v>
      </c>
      <c r="W568" s="1" t="s">
        <v>11618</v>
      </c>
      <c r="X568" s="1" t="s">
        <v>11619</v>
      </c>
      <c r="Y568" s="1" t="s">
        <v>11620</v>
      </c>
      <c r="Z568" s="1" t="s">
        <v>11621</v>
      </c>
      <c r="AA568" s="1" t="s">
        <v>74</v>
      </c>
      <c r="AB568" s="1" t="s">
        <v>74</v>
      </c>
      <c r="AC568" s="1" t="s">
        <v>74</v>
      </c>
      <c r="AD568" s="1" t="s">
        <v>74</v>
      </c>
      <c r="AE568" s="1" t="s">
        <v>74</v>
      </c>
      <c r="AF568" s="1" t="s">
        <v>74</v>
      </c>
      <c r="AG568" s="1">
        <v>36.0</v>
      </c>
      <c r="AH568" s="1">
        <v>11.0</v>
      </c>
      <c r="AI568" s="1">
        <v>13.0</v>
      </c>
      <c r="AJ568" s="1">
        <v>11.0</v>
      </c>
      <c r="AK568" s="1">
        <v>54.0</v>
      </c>
      <c r="AL568" s="1" t="s">
        <v>1274</v>
      </c>
      <c r="AM568" s="1" t="s">
        <v>1021</v>
      </c>
      <c r="AN568" s="1" t="s">
        <v>1275</v>
      </c>
      <c r="AO568" s="1" t="s">
        <v>11622</v>
      </c>
      <c r="AP568" s="1" t="s">
        <v>11623</v>
      </c>
      <c r="AQ568" s="1" t="s">
        <v>74</v>
      </c>
      <c r="AR568" s="1" t="s">
        <v>11624</v>
      </c>
      <c r="AS568" s="1" t="s">
        <v>11625</v>
      </c>
      <c r="AT568" s="1" t="s">
        <v>302</v>
      </c>
      <c r="AU568" s="1">
        <v>2020.0</v>
      </c>
      <c r="AV568" s="1">
        <v>36.0</v>
      </c>
      <c r="AW568" s="1">
        <v>3.0</v>
      </c>
      <c r="AX568" s="1" t="s">
        <v>74</v>
      </c>
      <c r="AY568" s="1" t="s">
        <v>74</v>
      </c>
      <c r="AZ568" s="1" t="s">
        <v>74</v>
      </c>
      <c r="BA568" s="1" t="s">
        <v>74</v>
      </c>
      <c r="BB568" s="1">
        <v>513.0</v>
      </c>
      <c r="BC568" s="1" t="s">
        <v>1280</v>
      </c>
      <c r="BD568" s="1" t="s">
        <v>74</v>
      </c>
      <c r="BE568" s="1" t="s">
        <v>11626</v>
      </c>
      <c r="BF568" s="2" t="str">
        <f>HYPERLINK("http://dx.doi.org/10.1016/j.cger.2020.04.009","http://dx.doi.org/10.1016/j.cger.2020.04.009")</f>
        <v>http://dx.doi.org/10.1016/j.cger.2020.04.009</v>
      </c>
      <c r="BG568" s="1" t="s">
        <v>74</v>
      </c>
      <c r="BH568" s="1" t="s">
        <v>74</v>
      </c>
      <c r="BI568" s="1">
        <v>15.0</v>
      </c>
      <c r="BJ568" s="1" t="s">
        <v>11627</v>
      </c>
      <c r="BK568" s="1" t="s">
        <v>149</v>
      </c>
      <c r="BL568" s="1" t="s">
        <v>11627</v>
      </c>
      <c r="BM568" s="1" t="s">
        <v>11628</v>
      </c>
      <c r="BN568" s="1">
        <v>3.2586478E7</v>
      </c>
      <c r="BO568" s="1" t="s">
        <v>632</v>
      </c>
      <c r="BP568" s="1" t="s">
        <v>74</v>
      </c>
      <c r="BQ568" s="1" t="s">
        <v>74</v>
      </c>
      <c r="BR568" s="1" t="s">
        <v>102</v>
      </c>
      <c r="BS568" s="1" t="s">
        <v>11629</v>
      </c>
      <c r="BT568" s="1" t="str">
        <f>HYPERLINK("https%3A%2F%2Fwww.webofscience.com%2Fwos%2Fwoscc%2Ffull-record%2FWOS:000543367500012","View Full Record in Web of Science")</f>
        <v>View Full Record in Web of Science</v>
      </c>
    </row>
    <row r="569" ht="12.75" customHeight="1">
      <c r="A569" s="1" t="s">
        <v>132</v>
      </c>
      <c r="B569" s="1" t="s">
        <v>11630</v>
      </c>
      <c r="C569" s="1" t="s">
        <v>74</v>
      </c>
      <c r="D569" s="1" t="s">
        <v>74</v>
      </c>
      <c r="E569" s="1" t="s">
        <v>74</v>
      </c>
      <c r="F569" s="1" t="s">
        <v>11631</v>
      </c>
      <c r="G569" s="1" t="s">
        <v>74</v>
      </c>
      <c r="H569" s="1" t="s">
        <v>74</v>
      </c>
      <c r="I569" s="1" t="s">
        <v>11632</v>
      </c>
      <c r="J569" s="1" t="s">
        <v>11633</v>
      </c>
      <c r="K569" s="1" t="s">
        <v>74</v>
      </c>
      <c r="L569" s="1" t="s">
        <v>74</v>
      </c>
      <c r="M569" s="1" t="s">
        <v>80</v>
      </c>
      <c r="N569" s="1" t="s">
        <v>136</v>
      </c>
      <c r="O569" s="1" t="s">
        <v>74</v>
      </c>
      <c r="P569" s="1" t="s">
        <v>74</v>
      </c>
      <c r="Q569" s="1" t="s">
        <v>74</v>
      </c>
      <c r="R569" s="1" t="s">
        <v>74</v>
      </c>
      <c r="S569" s="1" t="s">
        <v>74</v>
      </c>
      <c r="T569" s="1" t="s">
        <v>11634</v>
      </c>
      <c r="U569" s="1" t="s">
        <v>11635</v>
      </c>
      <c r="V569" s="1" t="s">
        <v>11636</v>
      </c>
      <c r="W569" s="1" t="s">
        <v>11637</v>
      </c>
      <c r="X569" s="1" t="s">
        <v>11638</v>
      </c>
      <c r="Y569" s="1" t="s">
        <v>11639</v>
      </c>
      <c r="Z569" s="1" t="s">
        <v>11640</v>
      </c>
      <c r="AA569" s="1" t="s">
        <v>11641</v>
      </c>
      <c r="AB569" s="1" t="s">
        <v>11642</v>
      </c>
      <c r="AC569" s="1" t="s">
        <v>11643</v>
      </c>
      <c r="AD569" s="1" t="s">
        <v>11644</v>
      </c>
      <c r="AE569" s="1" t="s">
        <v>11645</v>
      </c>
      <c r="AF569" s="1" t="s">
        <v>74</v>
      </c>
      <c r="AG569" s="1">
        <v>65.0</v>
      </c>
      <c r="AH569" s="1">
        <v>9.0</v>
      </c>
      <c r="AI569" s="1">
        <v>10.0</v>
      </c>
      <c r="AJ569" s="1">
        <v>6.0</v>
      </c>
      <c r="AK569" s="1">
        <v>22.0</v>
      </c>
      <c r="AL569" s="1" t="s">
        <v>9789</v>
      </c>
      <c r="AM569" s="1" t="s">
        <v>9790</v>
      </c>
      <c r="AN569" s="1" t="s">
        <v>9791</v>
      </c>
      <c r="AO569" s="1" t="s">
        <v>11646</v>
      </c>
      <c r="AP569" s="1" t="s">
        <v>11647</v>
      </c>
      <c r="AQ569" s="1" t="s">
        <v>74</v>
      </c>
      <c r="AR569" s="1" t="s">
        <v>11648</v>
      </c>
      <c r="AS569" s="1" t="s">
        <v>11649</v>
      </c>
      <c r="AT569" s="1" t="s">
        <v>6830</v>
      </c>
      <c r="AU569" s="1">
        <v>2019.0</v>
      </c>
      <c r="AV569" s="1">
        <v>20.0</v>
      </c>
      <c r="AW569" s="1">
        <v>7.0</v>
      </c>
      <c r="AX569" s="1" t="s">
        <v>74</v>
      </c>
      <c r="AY569" s="1" t="s">
        <v>74</v>
      </c>
      <c r="AZ569" s="1" t="s">
        <v>74</v>
      </c>
      <c r="BA569" s="1" t="s">
        <v>74</v>
      </c>
      <c r="BB569" s="1">
        <v>546.0</v>
      </c>
      <c r="BC569" s="1">
        <v>554.0</v>
      </c>
      <c r="BD569" s="1" t="s">
        <v>74</v>
      </c>
      <c r="BE569" s="1" t="s">
        <v>11650</v>
      </c>
      <c r="BF569" s="2" t="str">
        <f>HYPERLINK("http://dx.doi.org/10.1089/sur.2019.150","http://dx.doi.org/10.1089/sur.2019.150")</f>
        <v>http://dx.doi.org/10.1089/sur.2019.150</v>
      </c>
      <c r="BG569" s="1" t="s">
        <v>74</v>
      </c>
      <c r="BH569" s="1" t="s">
        <v>11651</v>
      </c>
      <c r="BI569" s="1">
        <v>9.0</v>
      </c>
      <c r="BJ569" s="1" t="s">
        <v>11652</v>
      </c>
      <c r="BK569" s="1" t="s">
        <v>149</v>
      </c>
      <c r="BL569" s="1" t="s">
        <v>11652</v>
      </c>
      <c r="BM569" s="1" t="s">
        <v>11653</v>
      </c>
      <c r="BN569" s="1">
        <v>3.1453753E7</v>
      </c>
      <c r="BO569" s="1" t="s">
        <v>74</v>
      </c>
      <c r="BP569" s="1" t="s">
        <v>74</v>
      </c>
      <c r="BQ569" s="1" t="s">
        <v>74</v>
      </c>
      <c r="BR569" s="1" t="s">
        <v>102</v>
      </c>
      <c r="BS569" s="1" t="s">
        <v>11654</v>
      </c>
      <c r="BT569" s="1" t="str">
        <f>HYPERLINK("https%3A%2F%2Fwww.webofscience.com%2Fwos%2Fwoscc%2Ffull-record%2FWOS:000483890400001","View Full Record in Web of Science")</f>
        <v>View Full Record in Web of Science</v>
      </c>
    </row>
    <row r="570" ht="12.75" customHeight="1">
      <c r="A570" s="1" t="s">
        <v>132</v>
      </c>
      <c r="B570" s="1" t="s">
        <v>11655</v>
      </c>
      <c r="C570" s="1" t="s">
        <v>74</v>
      </c>
      <c r="D570" s="1" t="s">
        <v>74</v>
      </c>
      <c r="E570" s="1" t="s">
        <v>74</v>
      </c>
      <c r="F570" s="1" t="s">
        <v>11656</v>
      </c>
      <c r="G570" s="1" t="s">
        <v>74</v>
      </c>
      <c r="H570" s="1" t="s">
        <v>74</v>
      </c>
      <c r="I570" s="1" t="s">
        <v>11657</v>
      </c>
      <c r="J570" s="1" t="s">
        <v>11658</v>
      </c>
      <c r="K570" s="1" t="s">
        <v>74</v>
      </c>
      <c r="L570" s="1" t="s">
        <v>74</v>
      </c>
      <c r="M570" s="1" t="s">
        <v>80</v>
      </c>
      <c r="N570" s="1" t="s">
        <v>1010</v>
      </c>
      <c r="O570" s="1" t="s">
        <v>74</v>
      </c>
      <c r="P570" s="1" t="s">
        <v>74</v>
      </c>
      <c r="Q570" s="1" t="s">
        <v>74</v>
      </c>
      <c r="R570" s="1" t="s">
        <v>74</v>
      </c>
      <c r="S570" s="1" t="s">
        <v>74</v>
      </c>
      <c r="T570" s="1" t="s">
        <v>11659</v>
      </c>
      <c r="U570" s="1" t="s">
        <v>11660</v>
      </c>
      <c r="V570" s="1" t="s">
        <v>11661</v>
      </c>
      <c r="W570" s="1" t="s">
        <v>11662</v>
      </c>
      <c r="X570" s="1" t="s">
        <v>11663</v>
      </c>
      <c r="Y570" s="1" t="s">
        <v>11664</v>
      </c>
      <c r="Z570" s="1" t="s">
        <v>11665</v>
      </c>
      <c r="AA570" s="1" t="s">
        <v>74</v>
      </c>
      <c r="AB570" s="1" t="s">
        <v>11666</v>
      </c>
      <c r="AC570" s="1" t="s">
        <v>74</v>
      </c>
      <c r="AD570" s="1" t="s">
        <v>74</v>
      </c>
      <c r="AE570" s="1" t="s">
        <v>74</v>
      </c>
      <c r="AF570" s="1" t="s">
        <v>74</v>
      </c>
      <c r="AG570" s="1">
        <v>98.0</v>
      </c>
      <c r="AH570" s="1">
        <v>0.0</v>
      </c>
      <c r="AI570" s="1">
        <v>0.0</v>
      </c>
      <c r="AJ570" s="1">
        <v>7.0</v>
      </c>
      <c r="AK570" s="1">
        <v>7.0</v>
      </c>
      <c r="AL570" s="1" t="s">
        <v>11667</v>
      </c>
      <c r="AM570" s="1" t="s">
        <v>8312</v>
      </c>
      <c r="AN570" s="1" t="s">
        <v>11668</v>
      </c>
      <c r="AO570" s="1" t="s">
        <v>11669</v>
      </c>
      <c r="AP570" s="1" t="s">
        <v>11670</v>
      </c>
      <c r="AQ570" s="1" t="s">
        <v>74</v>
      </c>
      <c r="AR570" s="1" t="s">
        <v>11671</v>
      </c>
      <c r="AS570" s="1" t="s">
        <v>11672</v>
      </c>
      <c r="AT570" s="1" t="s">
        <v>11241</v>
      </c>
      <c r="AU570" s="1">
        <v>2024.0</v>
      </c>
      <c r="AV570" s="1">
        <v>21.0</v>
      </c>
      <c r="AW570" s="1">
        <v>10.0</v>
      </c>
      <c r="AX570" s="1" t="s">
        <v>74</v>
      </c>
      <c r="AY570" s="1" t="s">
        <v>74</v>
      </c>
      <c r="AZ570" s="1" t="s">
        <v>74</v>
      </c>
      <c r="BA570" s="1" t="s">
        <v>74</v>
      </c>
      <c r="BB570" s="1">
        <v>4849.0</v>
      </c>
      <c r="BC570" s="1">
        <v>4859.0</v>
      </c>
      <c r="BD570" s="1" t="s">
        <v>74</v>
      </c>
      <c r="BE570" s="1" t="s">
        <v>11673</v>
      </c>
      <c r="BF570" s="2" t="str">
        <f>HYPERLINK("http://dx.doi.org/10.1021/acs.molpharmaceut.4c00659","http://dx.doi.org/10.1021/acs.molpharmaceut.4c00659")</f>
        <v>http://dx.doi.org/10.1021/acs.molpharmaceut.4c00659</v>
      </c>
      <c r="BG570" s="1" t="s">
        <v>74</v>
      </c>
      <c r="BH570" s="1" t="s">
        <v>1883</v>
      </c>
      <c r="BI570" s="1">
        <v>11.0</v>
      </c>
      <c r="BJ570" s="1" t="s">
        <v>11674</v>
      </c>
      <c r="BK570" s="1" t="s">
        <v>149</v>
      </c>
      <c r="BL570" s="1" t="s">
        <v>11675</v>
      </c>
      <c r="BM570" s="1" t="s">
        <v>11676</v>
      </c>
      <c r="BN570" s="1">
        <v>3.9240193E7</v>
      </c>
      <c r="BO570" s="1" t="s">
        <v>74</v>
      </c>
      <c r="BP570" s="1" t="s">
        <v>74</v>
      </c>
      <c r="BQ570" s="1" t="s">
        <v>74</v>
      </c>
      <c r="BR570" s="1" t="s">
        <v>102</v>
      </c>
      <c r="BS570" s="1" t="s">
        <v>11677</v>
      </c>
      <c r="BT570" s="1" t="str">
        <f>HYPERLINK("https%3A%2F%2Fwww.webofscience.com%2Fwos%2Fwoscc%2Ffull-record%2FWOS:001308666500001","View Full Record in Web of Science")</f>
        <v>View Full Record in Web of Science</v>
      </c>
    </row>
    <row r="571" ht="12.75" customHeight="1">
      <c r="A571" s="1" t="s">
        <v>132</v>
      </c>
      <c r="B571" s="1" t="s">
        <v>11678</v>
      </c>
      <c r="C571" s="1" t="s">
        <v>74</v>
      </c>
      <c r="D571" s="1" t="s">
        <v>74</v>
      </c>
      <c r="E571" s="1" t="s">
        <v>74</v>
      </c>
      <c r="F571" s="1" t="s">
        <v>11679</v>
      </c>
      <c r="G571" s="1" t="s">
        <v>74</v>
      </c>
      <c r="H571" s="1" t="s">
        <v>74</v>
      </c>
      <c r="I571" s="1" t="s">
        <v>11680</v>
      </c>
      <c r="J571" s="1" t="s">
        <v>11681</v>
      </c>
      <c r="K571" s="1" t="s">
        <v>74</v>
      </c>
      <c r="L571" s="1" t="s">
        <v>74</v>
      </c>
      <c r="M571" s="1" t="s">
        <v>80</v>
      </c>
      <c r="N571" s="1" t="s">
        <v>136</v>
      </c>
      <c r="O571" s="1" t="s">
        <v>74</v>
      </c>
      <c r="P571" s="1" t="s">
        <v>74</v>
      </c>
      <c r="Q571" s="1" t="s">
        <v>74</v>
      </c>
      <c r="R571" s="1" t="s">
        <v>74</v>
      </c>
      <c r="S571" s="1" t="s">
        <v>74</v>
      </c>
      <c r="T571" s="1" t="s">
        <v>11682</v>
      </c>
      <c r="U571" s="1" t="s">
        <v>11683</v>
      </c>
      <c r="V571" s="1" t="s">
        <v>11684</v>
      </c>
      <c r="W571" s="1" t="s">
        <v>11685</v>
      </c>
      <c r="X571" s="1" t="s">
        <v>11686</v>
      </c>
      <c r="Y571" s="1" t="s">
        <v>11687</v>
      </c>
      <c r="Z571" s="1" t="s">
        <v>11688</v>
      </c>
      <c r="AA571" s="1" t="s">
        <v>11689</v>
      </c>
      <c r="AB571" s="1" t="s">
        <v>11690</v>
      </c>
      <c r="AC571" s="1" t="s">
        <v>74</v>
      </c>
      <c r="AD571" s="1" t="s">
        <v>74</v>
      </c>
      <c r="AE571" s="1" t="s">
        <v>74</v>
      </c>
      <c r="AF571" s="1" t="s">
        <v>74</v>
      </c>
      <c r="AG571" s="1">
        <v>39.0</v>
      </c>
      <c r="AH571" s="1">
        <v>17.0</v>
      </c>
      <c r="AI571" s="1">
        <v>18.0</v>
      </c>
      <c r="AJ571" s="1">
        <v>2.0</v>
      </c>
      <c r="AK571" s="1">
        <v>13.0</v>
      </c>
      <c r="AL571" s="1" t="s">
        <v>1477</v>
      </c>
      <c r="AM571" s="1" t="s">
        <v>322</v>
      </c>
      <c r="AN571" s="1" t="s">
        <v>2111</v>
      </c>
      <c r="AO571" s="1" t="s">
        <v>11691</v>
      </c>
      <c r="AP571" s="1" t="s">
        <v>11692</v>
      </c>
      <c r="AQ571" s="1" t="s">
        <v>74</v>
      </c>
      <c r="AR571" s="1" t="s">
        <v>11693</v>
      </c>
      <c r="AS571" s="1" t="s">
        <v>11694</v>
      </c>
      <c r="AT571" s="1" t="s">
        <v>1774</v>
      </c>
      <c r="AU571" s="1">
        <v>2006.0</v>
      </c>
      <c r="AV571" s="1">
        <v>358.0</v>
      </c>
      <c r="AW571" s="1">
        <v>1.0</v>
      </c>
      <c r="AX571" s="1" t="s">
        <v>74</v>
      </c>
      <c r="AY571" s="1" t="s">
        <v>74</v>
      </c>
      <c r="AZ571" s="1" t="s">
        <v>74</v>
      </c>
      <c r="BA571" s="1" t="s">
        <v>74</v>
      </c>
      <c r="BB571" s="1">
        <v>15.0</v>
      </c>
      <c r="BC571" s="1">
        <v>22.0</v>
      </c>
      <c r="BD571" s="1" t="s">
        <v>74</v>
      </c>
      <c r="BE571" s="1" t="s">
        <v>11695</v>
      </c>
      <c r="BF571" s="2" t="str">
        <f>HYPERLINK("http://dx.doi.org/10.1016/j.tcs.2005.11.003","http://dx.doi.org/10.1016/j.tcs.2005.11.003")</f>
        <v>http://dx.doi.org/10.1016/j.tcs.2005.11.003</v>
      </c>
      <c r="BG571" s="1" t="s">
        <v>74</v>
      </c>
      <c r="BH571" s="1" t="s">
        <v>74</v>
      </c>
      <c r="BI571" s="1">
        <v>8.0</v>
      </c>
      <c r="BJ571" s="1" t="s">
        <v>2221</v>
      </c>
      <c r="BK571" s="1" t="s">
        <v>149</v>
      </c>
      <c r="BL571" s="1" t="s">
        <v>232</v>
      </c>
      <c r="BM571" s="1" t="s">
        <v>11696</v>
      </c>
      <c r="BN571" s="1" t="s">
        <v>74</v>
      </c>
      <c r="BO571" s="1" t="s">
        <v>11697</v>
      </c>
      <c r="BP571" s="1" t="s">
        <v>74</v>
      </c>
      <c r="BQ571" s="1" t="s">
        <v>74</v>
      </c>
      <c r="BR571" s="1" t="s">
        <v>102</v>
      </c>
      <c r="BS571" s="1" t="s">
        <v>11698</v>
      </c>
      <c r="BT571" s="1" t="str">
        <f>HYPERLINK("https%3A%2F%2Fwww.webofscience.com%2Fwos%2Fwoscc%2Ffull-record%2FWOS:000239748300003","View Full Record in Web of Science")</f>
        <v>View Full Record in Web of Science</v>
      </c>
    </row>
    <row r="572" ht="12.75" customHeight="1">
      <c r="A572" s="1" t="s">
        <v>132</v>
      </c>
      <c r="B572" s="1" t="s">
        <v>11699</v>
      </c>
      <c r="C572" s="1" t="s">
        <v>74</v>
      </c>
      <c r="D572" s="1" t="s">
        <v>74</v>
      </c>
      <c r="E572" s="1" t="s">
        <v>74</v>
      </c>
      <c r="F572" s="1" t="s">
        <v>11700</v>
      </c>
      <c r="G572" s="1" t="s">
        <v>74</v>
      </c>
      <c r="H572" s="1" t="s">
        <v>74</v>
      </c>
      <c r="I572" s="1" t="s">
        <v>11701</v>
      </c>
      <c r="J572" s="1" t="s">
        <v>11702</v>
      </c>
      <c r="K572" s="1" t="s">
        <v>74</v>
      </c>
      <c r="L572" s="1" t="s">
        <v>74</v>
      </c>
      <c r="M572" s="1" t="s">
        <v>80</v>
      </c>
      <c r="N572" s="1" t="s">
        <v>136</v>
      </c>
      <c r="O572" s="1" t="s">
        <v>74</v>
      </c>
      <c r="P572" s="1" t="s">
        <v>74</v>
      </c>
      <c r="Q572" s="1" t="s">
        <v>74</v>
      </c>
      <c r="R572" s="1" t="s">
        <v>74</v>
      </c>
      <c r="S572" s="1" t="s">
        <v>74</v>
      </c>
      <c r="T572" s="1" t="s">
        <v>11703</v>
      </c>
      <c r="U572" s="1" t="s">
        <v>11704</v>
      </c>
      <c r="V572" s="1" t="s">
        <v>11705</v>
      </c>
      <c r="W572" s="1" t="s">
        <v>11706</v>
      </c>
      <c r="X572" s="1" t="s">
        <v>11707</v>
      </c>
      <c r="Y572" s="1" t="s">
        <v>11708</v>
      </c>
      <c r="Z572" s="1" t="s">
        <v>74</v>
      </c>
      <c r="AA572" s="1" t="s">
        <v>11709</v>
      </c>
      <c r="AB572" s="1" t="s">
        <v>11710</v>
      </c>
      <c r="AC572" s="1" t="s">
        <v>74</v>
      </c>
      <c r="AD572" s="1" t="s">
        <v>74</v>
      </c>
      <c r="AE572" s="1" t="s">
        <v>74</v>
      </c>
      <c r="AF572" s="1" t="s">
        <v>74</v>
      </c>
      <c r="AG572" s="1">
        <v>38.0</v>
      </c>
      <c r="AH572" s="1">
        <v>2.0</v>
      </c>
      <c r="AI572" s="1">
        <v>2.0</v>
      </c>
      <c r="AJ572" s="1">
        <v>13.0</v>
      </c>
      <c r="AK572" s="1">
        <v>18.0</v>
      </c>
      <c r="AL572" s="1" t="s">
        <v>11711</v>
      </c>
      <c r="AM572" s="1" t="s">
        <v>11712</v>
      </c>
      <c r="AN572" s="1" t="s">
        <v>11713</v>
      </c>
      <c r="AO572" s="1" t="s">
        <v>11714</v>
      </c>
      <c r="AP572" s="1" t="s">
        <v>74</v>
      </c>
      <c r="AQ572" s="1" t="s">
        <v>74</v>
      </c>
      <c r="AR572" s="1" t="s">
        <v>11715</v>
      </c>
      <c r="AS572" s="1" t="s">
        <v>11716</v>
      </c>
      <c r="AT572" s="1" t="s">
        <v>4393</v>
      </c>
      <c r="AU572" s="1">
        <v>2024.0</v>
      </c>
      <c r="AV572" s="1">
        <v>18.0</v>
      </c>
      <c r="AW572" s="1">
        <v>1.0</v>
      </c>
      <c r="AX572" s="1" t="s">
        <v>74</v>
      </c>
      <c r="AY572" s="1" t="s">
        <v>74</v>
      </c>
      <c r="AZ572" s="1" t="s">
        <v>74</v>
      </c>
      <c r="BA572" s="1" t="s">
        <v>74</v>
      </c>
      <c r="BB572" s="1">
        <v>180.0</v>
      </c>
      <c r="BC572" s="1">
        <v>189.0</v>
      </c>
      <c r="BD572" s="1" t="s">
        <v>74</v>
      </c>
      <c r="BE572" s="1" t="s">
        <v>11717</v>
      </c>
      <c r="BF572" s="2" t="str">
        <f>HYPERLINK("http://dx.doi.org/10.46502/issn.1856-7576/2024.18.01.13","http://dx.doi.org/10.46502/issn.1856-7576/2024.18.01.13")</f>
        <v>http://dx.doi.org/10.46502/issn.1856-7576/2024.18.01.13</v>
      </c>
      <c r="BG572" s="1" t="s">
        <v>74</v>
      </c>
      <c r="BH572" s="1" t="s">
        <v>74</v>
      </c>
      <c r="BI572" s="1">
        <v>10.0</v>
      </c>
      <c r="BJ572" s="1" t="s">
        <v>171</v>
      </c>
      <c r="BK572" s="1" t="s">
        <v>172</v>
      </c>
      <c r="BL572" s="1" t="s">
        <v>171</v>
      </c>
      <c r="BM572" s="1" t="s">
        <v>11718</v>
      </c>
      <c r="BN572" s="1" t="s">
        <v>74</v>
      </c>
      <c r="BO572" s="1" t="s">
        <v>306</v>
      </c>
      <c r="BP572" s="1" t="s">
        <v>74</v>
      </c>
      <c r="BQ572" s="1" t="s">
        <v>74</v>
      </c>
      <c r="BR572" s="1" t="s">
        <v>102</v>
      </c>
      <c r="BS572" s="1" t="s">
        <v>11719</v>
      </c>
      <c r="BT572" s="1" t="str">
        <f>HYPERLINK("https%3A%2F%2Fwww.webofscience.com%2Fwos%2Fwoscc%2Ffull-record%2FWOS:001196063700004","View Full Record in Web of Science")</f>
        <v>View Full Record in Web of Science</v>
      </c>
    </row>
    <row r="573" ht="12.75" customHeight="1">
      <c r="A573" s="1" t="s">
        <v>132</v>
      </c>
      <c r="B573" s="1" t="s">
        <v>11720</v>
      </c>
      <c r="C573" s="1" t="s">
        <v>74</v>
      </c>
      <c r="D573" s="1" t="s">
        <v>74</v>
      </c>
      <c r="E573" s="1" t="s">
        <v>74</v>
      </c>
      <c r="F573" s="1" t="s">
        <v>11721</v>
      </c>
      <c r="G573" s="1" t="s">
        <v>74</v>
      </c>
      <c r="H573" s="1" t="s">
        <v>74</v>
      </c>
      <c r="I573" s="1" t="s">
        <v>11722</v>
      </c>
      <c r="J573" s="1" t="s">
        <v>11723</v>
      </c>
      <c r="K573" s="1" t="s">
        <v>74</v>
      </c>
      <c r="L573" s="1" t="s">
        <v>74</v>
      </c>
      <c r="M573" s="1" t="s">
        <v>80</v>
      </c>
      <c r="N573" s="1" t="s">
        <v>136</v>
      </c>
      <c r="O573" s="1" t="s">
        <v>74</v>
      </c>
      <c r="P573" s="1" t="s">
        <v>74</v>
      </c>
      <c r="Q573" s="1" t="s">
        <v>74</v>
      </c>
      <c r="R573" s="1" t="s">
        <v>74</v>
      </c>
      <c r="S573" s="1" t="s">
        <v>74</v>
      </c>
      <c r="T573" s="1" t="s">
        <v>11724</v>
      </c>
      <c r="U573" s="1" t="s">
        <v>74</v>
      </c>
      <c r="V573" s="1" t="s">
        <v>11725</v>
      </c>
      <c r="W573" s="1" t="s">
        <v>11726</v>
      </c>
      <c r="X573" s="1" t="s">
        <v>11727</v>
      </c>
      <c r="Y573" s="1" t="s">
        <v>11728</v>
      </c>
      <c r="Z573" s="1" t="s">
        <v>11729</v>
      </c>
      <c r="AA573" s="1" t="s">
        <v>74</v>
      </c>
      <c r="AB573" s="1" t="s">
        <v>74</v>
      </c>
      <c r="AC573" s="1" t="s">
        <v>74</v>
      </c>
      <c r="AD573" s="1" t="s">
        <v>74</v>
      </c>
      <c r="AE573" s="1" t="s">
        <v>74</v>
      </c>
      <c r="AF573" s="1" t="s">
        <v>74</v>
      </c>
      <c r="AG573" s="1">
        <v>69.0</v>
      </c>
      <c r="AH573" s="1">
        <v>28.0</v>
      </c>
      <c r="AI573" s="1">
        <v>31.0</v>
      </c>
      <c r="AJ573" s="1">
        <v>5.0</v>
      </c>
      <c r="AK573" s="1">
        <v>78.0</v>
      </c>
      <c r="AL573" s="1" t="s">
        <v>4583</v>
      </c>
      <c r="AM573" s="1" t="s">
        <v>193</v>
      </c>
      <c r="AN573" s="1" t="s">
        <v>11730</v>
      </c>
      <c r="AO573" s="1" t="s">
        <v>11731</v>
      </c>
      <c r="AP573" s="1" t="s">
        <v>11732</v>
      </c>
      <c r="AQ573" s="1" t="s">
        <v>74</v>
      </c>
      <c r="AR573" s="1" t="s">
        <v>11733</v>
      </c>
      <c r="AS573" s="1" t="s">
        <v>11734</v>
      </c>
      <c r="AT573" s="1" t="s">
        <v>10076</v>
      </c>
      <c r="AU573" s="1">
        <v>2019.0</v>
      </c>
      <c r="AV573" s="1">
        <v>33.0</v>
      </c>
      <c r="AW573" s="1">
        <v>2.0</v>
      </c>
      <c r="AX573" s="1" t="s">
        <v>74</v>
      </c>
      <c r="AY573" s="1" t="s">
        <v>74</v>
      </c>
      <c r="AZ573" s="1" t="s">
        <v>74</v>
      </c>
      <c r="BA573" s="1" t="s">
        <v>74</v>
      </c>
      <c r="BB573" s="1">
        <v>141.0</v>
      </c>
      <c r="BC573" s="1">
        <v>158.0</v>
      </c>
      <c r="BD573" s="1" t="s">
        <v>74</v>
      </c>
      <c r="BE573" s="1" t="s">
        <v>11735</v>
      </c>
      <c r="BF573" s="2" t="str">
        <f>HYPERLINK("http://dx.doi.org/10.1017/S089267941900011X","http://dx.doi.org/10.1017/S089267941900011X")</f>
        <v>http://dx.doi.org/10.1017/S089267941900011X</v>
      </c>
      <c r="BG573" s="1" t="s">
        <v>74</v>
      </c>
      <c r="BH573" s="1" t="s">
        <v>74</v>
      </c>
      <c r="BI573" s="1">
        <v>18.0</v>
      </c>
      <c r="BJ573" s="1" t="s">
        <v>11736</v>
      </c>
      <c r="BK573" s="1" t="s">
        <v>203</v>
      </c>
      <c r="BL573" s="1" t="s">
        <v>11737</v>
      </c>
      <c r="BM573" s="1" t="s">
        <v>11738</v>
      </c>
      <c r="BN573" s="1" t="s">
        <v>74</v>
      </c>
      <c r="BO573" s="1" t="s">
        <v>74</v>
      </c>
      <c r="BP573" s="1" t="s">
        <v>74</v>
      </c>
      <c r="BQ573" s="1" t="s">
        <v>74</v>
      </c>
      <c r="BR573" s="1" t="s">
        <v>102</v>
      </c>
      <c r="BS573" s="1" t="s">
        <v>11739</v>
      </c>
      <c r="BT573" s="1" t="str">
        <f>HYPERLINK("https%3A%2F%2Fwww.webofscience.com%2Fwos%2Fwoscc%2Ffull-record%2FWOS:000470740100003","View Full Record in Web of Science")</f>
        <v>View Full Record in Web of Science</v>
      </c>
    </row>
    <row r="574" ht="12.75" customHeight="1">
      <c r="A574" s="1" t="s">
        <v>132</v>
      </c>
      <c r="B574" s="1" t="s">
        <v>11740</v>
      </c>
      <c r="C574" s="1" t="s">
        <v>74</v>
      </c>
      <c r="D574" s="1" t="s">
        <v>74</v>
      </c>
      <c r="E574" s="1" t="s">
        <v>74</v>
      </c>
      <c r="F574" s="1" t="s">
        <v>11741</v>
      </c>
      <c r="G574" s="1" t="s">
        <v>74</v>
      </c>
      <c r="H574" s="1" t="s">
        <v>74</v>
      </c>
      <c r="I574" s="1" t="s">
        <v>11742</v>
      </c>
      <c r="J574" s="1" t="s">
        <v>11743</v>
      </c>
      <c r="K574" s="1" t="s">
        <v>74</v>
      </c>
      <c r="L574" s="1" t="s">
        <v>74</v>
      </c>
      <c r="M574" s="1" t="s">
        <v>80</v>
      </c>
      <c r="N574" s="1" t="s">
        <v>136</v>
      </c>
      <c r="O574" s="1" t="s">
        <v>74</v>
      </c>
      <c r="P574" s="1" t="s">
        <v>74</v>
      </c>
      <c r="Q574" s="1" t="s">
        <v>74</v>
      </c>
      <c r="R574" s="1" t="s">
        <v>74</v>
      </c>
      <c r="S574" s="1" t="s">
        <v>74</v>
      </c>
      <c r="T574" s="1" t="s">
        <v>11744</v>
      </c>
      <c r="U574" s="1" t="s">
        <v>11745</v>
      </c>
      <c r="V574" s="1" t="s">
        <v>11746</v>
      </c>
      <c r="W574" s="1" t="s">
        <v>11747</v>
      </c>
      <c r="X574" s="1" t="s">
        <v>673</v>
      </c>
      <c r="Y574" s="1" t="s">
        <v>11748</v>
      </c>
      <c r="Z574" s="1" t="s">
        <v>11749</v>
      </c>
      <c r="AA574" s="1" t="s">
        <v>11750</v>
      </c>
      <c r="AB574" s="1" t="s">
        <v>11751</v>
      </c>
      <c r="AC574" s="1" t="s">
        <v>74</v>
      </c>
      <c r="AD574" s="1" t="s">
        <v>74</v>
      </c>
      <c r="AE574" s="1" t="s">
        <v>74</v>
      </c>
      <c r="AF574" s="1" t="s">
        <v>74</v>
      </c>
      <c r="AG574" s="1">
        <v>34.0</v>
      </c>
      <c r="AH574" s="1">
        <v>0.0</v>
      </c>
      <c r="AI574" s="1">
        <v>0.0</v>
      </c>
      <c r="AJ574" s="1">
        <v>6.0</v>
      </c>
      <c r="AK574" s="1">
        <v>6.0</v>
      </c>
      <c r="AL574" s="1" t="s">
        <v>1294</v>
      </c>
      <c r="AM574" s="1" t="s">
        <v>1295</v>
      </c>
      <c r="AN574" s="1" t="s">
        <v>1296</v>
      </c>
      <c r="AO574" s="1" t="s">
        <v>11752</v>
      </c>
      <c r="AP574" s="1" t="s">
        <v>11753</v>
      </c>
      <c r="AQ574" s="1" t="s">
        <v>74</v>
      </c>
      <c r="AR574" s="1" t="s">
        <v>11754</v>
      </c>
      <c r="AS574" s="1" t="s">
        <v>11755</v>
      </c>
      <c r="AT574" s="1" t="s">
        <v>74</v>
      </c>
      <c r="AU574" s="1">
        <v>2024.0</v>
      </c>
      <c r="AV574" s="1">
        <v>58.0</v>
      </c>
      <c r="AW574" s="1">
        <v>4.0</v>
      </c>
      <c r="AX574" s="1" t="s">
        <v>74</v>
      </c>
      <c r="AY574" s="1" t="s">
        <v>74</v>
      </c>
      <c r="AZ574" s="1" t="s">
        <v>74</v>
      </c>
      <c r="BA574" s="1" t="s">
        <v>74</v>
      </c>
      <c r="BB574" s="1">
        <v>57.0</v>
      </c>
      <c r="BC574" s="1">
        <v>74.0</v>
      </c>
      <c r="BD574" s="1" t="s">
        <v>74</v>
      </c>
      <c r="BE574" s="1" t="s">
        <v>11756</v>
      </c>
      <c r="BF574" s="2" t="str">
        <f>HYPERLINK("http://dx.doi.org/10.24818/18423264/58.4.24.04","http://dx.doi.org/10.24818/18423264/58.4.24.04")</f>
        <v>http://dx.doi.org/10.24818/18423264/58.4.24.04</v>
      </c>
      <c r="BG574" s="1" t="s">
        <v>74</v>
      </c>
      <c r="BH574" s="1" t="s">
        <v>74</v>
      </c>
      <c r="BI574" s="1">
        <v>18.0</v>
      </c>
      <c r="BJ574" s="1" t="s">
        <v>11757</v>
      </c>
      <c r="BK574" s="1" t="s">
        <v>783</v>
      </c>
      <c r="BL574" s="1" t="s">
        <v>11758</v>
      </c>
      <c r="BM574" s="1" t="s">
        <v>11759</v>
      </c>
      <c r="BN574" s="1" t="s">
        <v>74</v>
      </c>
      <c r="BO574" s="1" t="s">
        <v>174</v>
      </c>
      <c r="BP574" s="1" t="s">
        <v>74</v>
      </c>
      <c r="BQ574" s="1" t="s">
        <v>74</v>
      </c>
      <c r="BR574" s="1" t="s">
        <v>102</v>
      </c>
      <c r="BS574" s="1" t="s">
        <v>11760</v>
      </c>
      <c r="BT574" s="1" t="str">
        <f>HYPERLINK("https%3A%2F%2Fwww.webofscience.com%2Fwos%2Fwoscc%2Ffull-record%2FWOS:001383345200004","View Full Record in Web of Science")</f>
        <v>View Full Record in Web of Science</v>
      </c>
    </row>
    <row r="575" ht="12.75" customHeight="1">
      <c r="A575" s="1" t="s">
        <v>132</v>
      </c>
      <c r="B575" s="1" t="s">
        <v>11761</v>
      </c>
      <c r="C575" s="1" t="s">
        <v>74</v>
      </c>
      <c r="D575" s="1" t="s">
        <v>74</v>
      </c>
      <c r="E575" s="1" t="s">
        <v>74</v>
      </c>
      <c r="F575" s="1" t="s">
        <v>11762</v>
      </c>
      <c r="G575" s="1" t="s">
        <v>74</v>
      </c>
      <c r="H575" s="1" t="s">
        <v>74</v>
      </c>
      <c r="I575" s="1" t="s">
        <v>11763</v>
      </c>
      <c r="J575" s="1" t="s">
        <v>11764</v>
      </c>
      <c r="K575" s="1" t="s">
        <v>74</v>
      </c>
      <c r="L575" s="1" t="s">
        <v>74</v>
      </c>
      <c r="M575" s="1" t="s">
        <v>80</v>
      </c>
      <c r="N575" s="1" t="s">
        <v>136</v>
      </c>
      <c r="O575" s="1" t="s">
        <v>74</v>
      </c>
      <c r="P575" s="1" t="s">
        <v>74</v>
      </c>
      <c r="Q575" s="1" t="s">
        <v>74</v>
      </c>
      <c r="R575" s="1" t="s">
        <v>74</v>
      </c>
      <c r="S575" s="1" t="s">
        <v>74</v>
      </c>
      <c r="T575" s="1" t="s">
        <v>11765</v>
      </c>
      <c r="U575" s="1" t="s">
        <v>11766</v>
      </c>
      <c r="V575" s="1" t="s">
        <v>11767</v>
      </c>
      <c r="W575" s="1" t="s">
        <v>11768</v>
      </c>
      <c r="X575" s="1" t="s">
        <v>11769</v>
      </c>
      <c r="Y575" s="1" t="s">
        <v>11770</v>
      </c>
      <c r="Z575" s="1" t="s">
        <v>11771</v>
      </c>
      <c r="AA575" s="1" t="s">
        <v>11772</v>
      </c>
      <c r="AB575" s="1" t="s">
        <v>11773</v>
      </c>
      <c r="AC575" s="1" t="s">
        <v>11774</v>
      </c>
      <c r="AD575" s="1" t="s">
        <v>11775</v>
      </c>
      <c r="AE575" s="1" t="s">
        <v>11776</v>
      </c>
      <c r="AF575" s="1" t="s">
        <v>74</v>
      </c>
      <c r="AG575" s="1">
        <v>132.0</v>
      </c>
      <c r="AH575" s="1">
        <v>6.0</v>
      </c>
      <c r="AI575" s="1">
        <v>6.0</v>
      </c>
      <c r="AJ575" s="1">
        <v>237.0</v>
      </c>
      <c r="AK575" s="1">
        <v>285.0</v>
      </c>
      <c r="AL575" s="1" t="s">
        <v>1089</v>
      </c>
      <c r="AM575" s="1" t="s">
        <v>1090</v>
      </c>
      <c r="AN575" s="1" t="s">
        <v>1091</v>
      </c>
      <c r="AO575" s="1" t="s">
        <v>11777</v>
      </c>
      <c r="AP575" s="1" t="s">
        <v>11778</v>
      </c>
      <c r="AQ575" s="1" t="s">
        <v>74</v>
      </c>
      <c r="AR575" s="1" t="s">
        <v>11779</v>
      </c>
      <c r="AS575" s="1" t="s">
        <v>11780</v>
      </c>
      <c r="AT575" s="1" t="s">
        <v>302</v>
      </c>
      <c r="AU575" s="1">
        <v>2024.0</v>
      </c>
      <c r="AV575" s="1">
        <v>217.0</v>
      </c>
      <c r="AW575" s="1" t="s">
        <v>74</v>
      </c>
      <c r="AX575" s="1" t="s">
        <v>74</v>
      </c>
      <c r="AY575" s="1" t="s">
        <v>74</v>
      </c>
      <c r="AZ575" s="1" t="s">
        <v>74</v>
      </c>
      <c r="BA575" s="1" t="s">
        <v>74</v>
      </c>
      <c r="BB575" s="1" t="s">
        <v>74</v>
      </c>
      <c r="BC575" s="1" t="s">
        <v>74</v>
      </c>
      <c r="BD575" s="1">
        <v>105071.0</v>
      </c>
      <c r="BE575" s="1" t="s">
        <v>11781</v>
      </c>
      <c r="BF575" s="2" t="str">
        <f>HYPERLINK("http://dx.doi.org/10.1016/j.compedu.2024.105071","http://dx.doi.org/10.1016/j.compedu.2024.105071")</f>
        <v>http://dx.doi.org/10.1016/j.compedu.2024.105071</v>
      </c>
      <c r="BG575" s="1" t="s">
        <v>74</v>
      </c>
      <c r="BH575" s="1" t="s">
        <v>3129</v>
      </c>
      <c r="BI575" s="1">
        <v>19.0</v>
      </c>
      <c r="BJ575" s="1" t="s">
        <v>11782</v>
      </c>
      <c r="BK575" s="1" t="s">
        <v>783</v>
      </c>
      <c r="BL575" s="1" t="s">
        <v>436</v>
      </c>
      <c r="BM575" s="1" t="s">
        <v>11783</v>
      </c>
      <c r="BN575" s="1" t="s">
        <v>74</v>
      </c>
      <c r="BO575" s="1" t="s">
        <v>74</v>
      </c>
      <c r="BP575" s="1" t="s">
        <v>74</v>
      </c>
      <c r="BQ575" s="1" t="s">
        <v>74</v>
      </c>
      <c r="BR575" s="1" t="s">
        <v>102</v>
      </c>
      <c r="BS575" s="1" t="s">
        <v>11784</v>
      </c>
      <c r="BT575" s="1" t="str">
        <f>HYPERLINK("https%3A%2F%2Fwww.webofscience.com%2Fwos%2Fwoscc%2Ffull-record%2FWOS:001241725800001","View Full Record in Web of Science")</f>
        <v>View Full Record in Web of Science</v>
      </c>
    </row>
    <row r="576" ht="12.75" customHeight="1">
      <c r="A576" s="1" t="s">
        <v>132</v>
      </c>
      <c r="B576" s="1" t="s">
        <v>11785</v>
      </c>
      <c r="C576" s="1" t="s">
        <v>74</v>
      </c>
      <c r="D576" s="1" t="s">
        <v>74</v>
      </c>
      <c r="E576" s="1" t="s">
        <v>74</v>
      </c>
      <c r="F576" s="1" t="s">
        <v>11786</v>
      </c>
      <c r="G576" s="1" t="s">
        <v>74</v>
      </c>
      <c r="H576" s="1" t="s">
        <v>74</v>
      </c>
      <c r="I576" s="1" t="s">
        <v>11787</v>
      </c>
      <c r="J576" s="1" t="s">
        <v>11788</v>
      </c>
      <c r="K576" s="1" t="s">
        <v>74</v>
      </c>
      <c r="L576" s="1" t="s">
        <v>74</v>
      </c>
      <c r="M576" s="1" t="s">
        <v>80</v>
      </c>
      <c r="N576" s="1" t="s">
        <v>136</v>
      </c>
      <c r="O576" s="1" t="s">
        <v>74</v>
      </c>
      <c r="P576" s="1" t="s">
        <v>74</v>
      </c>
      <c r="Q576" s="1" t="s">
        <v>74</v>
      </c>
      <c r="R576" s="1" t="s">
        <v>74</v>
      </c>
      <c r="S576" s="1" t="s">
        <v>74</v>
      </c>
      <c r="T576" s="1" t="s">
        <v>11789</v>
      </c>
      <c r="U576" s="1" t="s">
        <v>11790</v>
      </c>
      <c r="V576" s="1" t="s">
        <v>11791</v>
      </c>
      <c r="W576" s="1" t="s">
        <v>11792</v>
      </c>
      <c r="X576" s="1" t="s">
        <v>11793</v>
      </c>
      <c r="Y576" s="1" t="s">
        <v>11794</v>
      </c>
      <c r="Z576" s="1" t="s">
        <v>11795</v>
      </c>
      <c r="AA576" s="1" t="s">
        <v>11796</v>
      </c>
      <c r="AB576" s="1" t="s">
        <v>11797</v>
      </c>
      <c r="AC576" s="1" t="s">
        <v>74</v>
      </c>
      <c r="AD576" s="1" t="s">
        <v>74</v>
      </c>
      <c r="AE576" s="1" t="s">
        <v>74</v>
      </c>
      <c r="AF576" s="1" t="s">
        <v>74</v>
      </c>
      <c r="AG576" s="1">
        <v>140.0</v>
      </c>
      <c r="AH576" s="1">
        <v>22.0</v>
      </c>
      <c r="AI576" s="1">
        <v>22.0</v>
      </c>
      <c r="AJ576" s="1">
        <v>14.0</v>
      </c>
      <c r="AK576" s="1">
        <v>121.0</v>
      </c>
      <c r="AL576" s="1" t="s">
        <v>595</v>
      </c>
      <c r="AM576" s="1" t="s">
        <v>467</v>
      </c>
      <c r="AN576" s="1" t="s">
        <v>596</v>
      </c>
      <c r="AO576" s="1" t="s">
        <v>11798</v>
      </c>
      <c r="AP576" s="1" t="s">
        <v>11799</v>
      </c>
      <c r="AQ576" s="1" t="s">
        <v>74</v>
      </c>
      <c r="AR576" s="1" t="s">
        <v>11800</v>
      </c>
      <c r="AS576" s="1" t="s">
        <v>11801</v>
      </c>
      <c r="AT576" s="1" t="s">
        <v>6411</v>
      </c>
      <c r="AU576" s="1">
        <v>2021.0</v>
      </c>
      <c r="AV576" s="1">
        <v>30.0</v>
      </c>
      <c r="AW576" s="1">
        <v>1.0</v>
      </c>
      <c r="AX576" s="1" t="s">
        <v>74</v>
      </c>
      <c r="AY576" s="1" t="s">
        <v>74</v>
      </c>
      <c r="AZ576" s="1" t="s">
        <v>74</v>
      </c>
      <c r="BA576" s="1" t="s">
        <v>74</v>
      </c>
      <c r="BB576" s="1">
        <v>1.0</v>
      </c>
      <c r="BC576" s="1">
        <v>23.0</v>
      </c>
      <c r="BD576" s="1" t="s">
        <v>74</v>
      </c>
      <c r="BE576" s="1" t="s">
        <v>11802</v>
      </c>
      <c r="BF576" s="2" t="str">
        <f>HYPERLINK("http://dx.doi.org/10.1080/10438599.2020.1839173","http://dx.doi.org/10.1080/10438599.2020.1839173")</f>
        <v>http://dx.doi.org/10.1080/10438599.2020.1839173</v>
      </c>
      <c r="BG576" s="1" t="s">
        <v>74</v>
      </c>
      <c r="BH576" s="1" t="s">
        <v>11803</v>
      </c>
      <c r="BI576" s="1">
        <v>23.0</v>
      </c>
      <c r="BJ576" s="1" t="s">
        <v>202</v>
      </c>
      <c r="BK576" s="1" t="s">
        <v>203</v>
      </c>
      <c r="BL576" s="1" t="s">
        <v>204</v>
      </c>
      <c r="BM576" s="1" t="s">
        <v>11804</v>
      </c>
      <c r="BN576" s="1" t="s">
        <v>74</v>
      </c>
      <c r="BO576" s="1" t="s">
        <v>306</v>
      </c>
      <c r="BP576" s="1" t="s">
        <v>74</v>
      </c>
      <c r="BQ576" s="1" t="s">
        <v>74</v>
      </c>
      <c r="BR576" s="1" t="s">
        <v>102</v>
      </c>
      <c r="BS576" s="1" t="s">
        <v>11805</v>
      </c>
      <c r="BT576" s="1" t="str">
        <f>HYPERLINK("https%3A%2F%2Fwww.webofscience.com%2Fwos%2Fwoscc%2Ffull-record%2FWOS:000590808700001","View Full Record in Web of Science")</f>
        <v>View Full Record in Web of Science</v>
      </c>
    </row>
    <row r="577" ht="12.75" customHeight="1">
      <c r="A577" s="1" t="s">
        <v>132</v>
      </c>
      <c r="B577" s="1" t="s">
        <v>11806</v>
      </c>
      <c r="C577" s="1" t="s">
        <v>74</v>
      </c>
      <c r="D577" s="1" t="s">
        <v>74</v>
      </c>
      <c r="E577" s="1" t="s">
        <v>74</v>
      </c>
      <c r="F577" s="1" t="s">
        <v>11807</v>
      </c>
      <c r="G577" s="1" t="s">
        <v>74</v>
      </c>
      <c r="H577" s="1" t="s">
        <v>74</v>
      </c>
      <c r="I577" s="1" t="s">
        <v>11808</v>
      </c>
      <c r="J577" s="1" t="s">
        <v>11809</v>
      </c>
      <c r="K577" s="1" t="s">
        <v>74</v>
      </c>
      <c r="L577" s="1" t="s">
        <v>74</v>
      </c>
      <c r="M577" s="1" t="s">
        <v>2294</v>
      </c>
      <c r="N577" s="1" t="s">
        <v>136</v>
      </c>
      <c r="O577" s="1" t="s">
        <v>74</v>
      </c>
      <c r="P577" s="1" t="s">
        <v>74</v>
      </c>
      <c r="Q577" s="1" t="s">
        <v>74</v>
      </c>
      <c r="R577" s="1" t="s">
        <v>74</v>
      </c>
      <c r="S577" s="1" t="s">
        <v>74</v>
      </c>
      <c r="T577" s="1" t="s">
        <v>11810</v>
      </c>
      <c r="U577" s="1" t="s">
        <v>74</v>
      </c>
      <c r="V577" s="1" t="s">
        <v>11811</v>
      </c>
      <c r="W577" s="1" t="s">
        <v>11812</v>
      </c>
      <c r="X577" s="1" t="s">
        <v>11813</v>
      </c>
      <c r="Y577" s="1" t="s">
        <v>11814</v>
      </c>
      <c r="Z577" s="1" t="s">
        <v>11815</v>
      </c>
      <c r="AA577" s="1" t="s">
        <v>74</v>
      </c>
      <c r="AB577" s="1" t="s">
        <v>74</v>
      </c>
      <c r="AC577" s="1" t="s">
        <v>74</v>
      </c>
      <c r="AD577" s="1" t="s">
        <v>74</v>
      </c>
      <c r="AE577" s="1" t="s">
        <v>74</v>
      </c>
      <c r="AF577" s="1" t="s">
        <v>74</v>
      </c>
      <c r="AG577" s="1">
        <v>14.0</v>
      </c>
      <c r="AH577" s="1">
        <v>0.0</v>
      </c>
      <c r="AI577" s="1">
        <v>0.0</v>
      </c>
      <c r="AJ577" s="1">
        <v>9.0</v>
      </c>
      <c r="AK577" s="1">
        <v>17.0</v>
      </c>
      <c r="AL577" s="1" t="s">
        <v>11816</v>
      </c>
      <c r="AM577" s="1" t="s">
        <v>11817</v>
      </c>
      <c r="AN577" s="1" t="s">
        <v>11818</v>
      </c>
      <c r="AO577" s="1" t="s">
        <v>11819</v>
      </c>
      <c r="AP577" s="1" t="s">
        <v>11820</v>
      </c>
      <c r="AQ577" s="1" t="s">
        <v>74</v>
      </c>
      <c r="AR577" s="1" t="s">
        <v>11821</v>
      </c>
      <c r="AS577" s="1" t="s">
        <v>11822</v>
      </c>
      <c r="AT577" s="1" t="s">
        <v>74</v>
      </c>
      <c r="AU577" s="1">
        <v>2023.0</v>
      </c>
      <c r="AV577" s="1">
        <v>49.0</v>
      </c>
      <c r="AW577" s="1">
        <v>1.0</v>
      </c>
      <c r="AX577" s="1" t="s">
        <v>74</v>
      </c>
      <c r="AY577" s="1" t="s">
        <v>74</v>
      </c>
      <c r="AZ577" s="1" t="s">
        <v>74</v>
      </c>
      <c r="BA577" s="1" t="s">
        <v>74</v>
      </c>
      <c r="BB577" s="1" t="s">
        <v>74</v>
      </c>
      <c r="BC577" s="1" t="s">
        <v>74</v>
      </c>
      <c r="BD577" s="1" t="s">
        <v>74</v>
      </c>
      <c r="BE577" s="1" t="s">
        <v>74</v>
      </c>
      <c r="BF577" s="1" t="s">
        <v>74</v>
      </c>
      <c r="BG577" s="1" t="s">
        <v>74</v>
      </c>
      <c r="BH577" s="1" t="s">
        <v>74</v>
      </c>
      <c r="BI577" s="1">
        <v>9.0</v>
      </c>
      <c r="BJ577" s="1" t="s">
        <v>171</v>
      </c>
      <c r="BK577" s="1" t="s">
        <v>172</v>
      </c>
      <c r="BL577" s="1" t="s">
        <v>171</v>
      </c>
      <c r="BM577" s="1" t="s">
        <v>11823</v>
      </c>
      <c r="BN577" s="1" t="s">
        <v>74</v>
      </c>
      <c r="BO577" s="1" t="s">
        <v>74</v>
      </c>
      <c r="BP577" s="1" t="s">
        <v>74</v>
      </c>
      <c r="BQ577" s="1" t="s">
        <v>74</v>
      </c>
      <c r="BR577" s="1" t="s">
        <v>102</v>
      </c>
      <c r="BS577" s="1" t="s">
        <v>11824</v>
      </c>
      <c r="BT577" s="1" t="str">
        <f>HYPERLINK("https%3A%2F%2Fwww.webofscience.com%2Fwos%2Fwoscc%2Ffull-record%2FWOS:001156901900006","View Full Record in Web of Science")</f>
        <v>View Full Record in Web of Science</v>
      </c>
    </row>
    <row r="578" ht="12.75" customHeight="1">
      <c r="A578" s="1" t="s">
        <v>132</v>
      </c>
      <c r="B578" s="1" t="s">
        <v>11825</v>
      </c>
      <c r="C578" s="1" t="s">
        <v>74</v>
      </c>
      <c r="D578" s="1" t="s">
        <v>74</v>
      </c>
      <c r="E578" s="1" t="s">
        <v>74</v>
      </c>
      <c r="F578" s="1" t="s">
        <v>11826</v>
      </c>
      <c r="G578" s="1" t="s">
        <v>74</v>
      </c>
      <c r="H578" s="1" t="s">
        <v>74</v>
      </c>
      <c r="I578" s="1" t="s">
        <v>11827</v>
      </c>
      <c r="J578" s="1" t="s">
        <v>11828</v>
      </c>
      <c r="K578" s="1" t="s">
        <v>74</v>
      </c>
      <c r="L578" s="1" t="s">
        <v>74</v>
      </c>
      <c r="M578" s="1" t="s">
        <v>80</v>
      </c>
      <c r="N578" s="1" t="s">
        <v>136</v>
      </c>
      <c r="O578" s="1" t="s">
        <v>74</v>
      </c>
      <c r="P578" s="1" t="s">
        <v>74</v>
      </c>
      <c r="Q578" s="1" t="s">
        <v>74</v>
      </c>
      <c r="R578" s="1" t="s">
        <v>74</v>
      </c>
      <c r="S578" s="1" t="s">
        <v>74</v>
      </c>
      <c r="T578" s="1" t="s">
        <v>11829</v>
      </c>
      <c r="U578" s="1" t="s">
        <v>74</v>
      </c>
      <c r="V578" s="1" t="s">
        <v>11830</v>
      </c>
      <c r="W578" s="1" t="s">
        <v>11831</v>
      </c>
      <c r="X578" s="1" t="s">
        <v>11832</v>
      </c>
      <c r="Y578" s="1" t="s">
        <v>11833</v>
      </c>
      <c r="Z578" s="1" t="s">
        <v>11834</v>
      </c>
      <c r="AA578" s="1" t="s">
        <v>74</v>
      </c>
      <c r="AB578" s="1" t="s">
        <v>74</v>
      </c>
      <c r="AC578" s="1" t="s">
        <v>74</v>
      </c>
      <c r="AD578" s="1" t="s">
        <v>74</v>
      </c>
      <c r="AE578" s="1" t="s">
        <v>74</v>
      </c>
      <c r="AF578" s="1" t="s">
        <v>74</v>
      </c>
      <c r="AG578" s="1">
        <v>61.0</v>
      </c>
      <c r="AH578" s="1">
        <v>0.0</v>
      </c>
      <c r="AI578" s="1">
        <v>0.0</v>
      </c>
      <c r="AJ578" s="1">
        <v>9.0</v>
      </c>
      <c r="AK578" s="1">
        <v>9.0</v>
      </c>
      <c r="AL578" s="1" t="s">
        <v>680</v>
      </c>
      <c r="AM578" s="1" t="s">
        <v>681</v>
      </c>
      <c r="AN578" s="1" t="s">
        <v>2372</v>
      </c>
      <c r="AO578" s="1" t="s">
        <v>11835</v>
      </c>
      <c r="AP578" s="1" t="s">
        <v>11836</v>
      </c>
      <c r="AQ578" s="1" t="s">
        <v>74</v>
      </c>
      <c r="AR578" s="1" t="s">
        <v>11828</v>
      </c>
      <c r="AS578" s="1" t="s">
        <v>11837</v>
      </c>
      <c r="AT578" s="1" t="s">
        <v>2377</v>
      </c>
      <c r="AU578" s="1">
        <v>2024.0</v>
      </c>
      <c r="AV578" s="1">
        <v>57.0</v>
      </c>
      <c r="AW578" s="1">
        <v>4.0</v>
      </c>
      <c r="AX578" s="1" t="s">
        <v>74</v>
      </c>
      <c r="AY578" s="1" t="s">
        <v>74</v>
      </c>
      <c r="AZ578" s="1" t="s">
        <v>74</v>
      </c>
      <c r="BA578" s="1" t="s">
        <v>74</v>
      </c>
      <c r="BB578" s="1">
        <v>333.0</v>
      </c>
      <c r="BC578" s="1">
        <v>345.0</v>
      </c>
      <c r="BD578" s="1" t="s">
        <v>74</v>
      </c>
      <c r="BE578" s="1" t="s">
        <v>11838</v>
      </c>
      <c r="BF578" s="2" t="str">
        <f>HYPERLINK("http://dx.doi.org/10.2478/orga-2024-0024","http://dx.doi.org/10.2478/orga-2024-0024")</f>
        <v>http://dx.doi.org/10.2478/orga-2024-0024</v>
      </c>
      <c r="BG578" s="1" t="s">
        <v>74</v>
      </c>
      <c r="BH578" s="1" t="s">
        <v>74</v>
      </c>
      <c r="BI578" s="1">
        <v>13.0</v>
      </c>
      <c r="BJ578" s="1" t="s">
        <v>1776</v>
      </c>
      <c r="BK578" s="1" t="s">
        <v>172</v>
      </c>
      <c r="BL578" s="1" t="s">
        <v>204</v>
      </c>
      <c r="BM578" s="1" t="s">
        <v>11839</v>
      </c>
      <c r="BN578" s="1" t="s">
        <v>74</v>
      </c>
      <c r="BO578" s="1" t="s">
        <v>174</v>
      </c>
      <c r="BP578" s="1" t="s">
        <v>74</v>
      </c>
      <c r="BQ578" s="1" t="s">
        <v>74</v>
      </c>
      <c r="BR578" s="1" t="s">
        <v>102</v>
      </c>
      <c r="BS578" s="1" t="s">
        <v>11840</v>
      </c>
      <c r="BT578" s="1" t="str">
        <f>HYPERLINK("https%3A%2F%2Fwww.webofscience.com%2Fwos%2Fwoscc%2Ffull-record%2FWOS:001375572400004","View Full Record in Web of Science")</f>
        <v>View Full Record in Web of Science</v>
      </c>
    </row>
    <row r="579" ht="12.75" customHeight="1">
      <c r="A579" s="1" t="s">
        <v>132</v>
      </c>
      <c r="B579" s="1" t="s">
        <v>11841</v>
      </c>
      <c r="C579" s="1" t="s">
        <v>74</v>
      </c>
      <c r="D579" s="1" t="s">
        <v>74</v>
      </c>
      <c r="E579" s="1" t="s">
        <v>74</v>
      </c>
      <c r="F579" s="1" t="s">
        <v>11842</v>
      </c>
      <c r="G579" s="1" t="s">
        <v>74</v>
      </c>
      <c r="H579" s="1" t="s">
        <v>74</v>
      </c>
      <c r="I579" s="1" t="s">
        <v>11843</v>
      </c>
      <c r="J579" s="1" t="s">
        <v>11844</v>
      </c>
      <c r="K579" s="1" t="s">
        <v>74</v>
      </c>
      <c r="L579" s="1" t="s">
        <v>74</v>
      </c>
      <c r="M579" s="1" t="s">
        <v>80</v>
      </c>
      <c r="N579" s="1" t="s">
        <v>338</v>
      </c>
      <c r="O579" s="1" t="s">
        <v>74</v>
      </c>
      <c r="P579" s="1" t="s">
        <v>74</v>
      </c>
      <c r="Q579" s="1" t="s">
        <v>74</v>
      </c>
      <c r="R579" s="1" t="s">
        <v>74</v>
      </c>
      <c r="S579" s="1" t="s">
        <v>74</v>
      </c>
      <c r="T579" s="1" t="s">
        <v>11845</v>
      </c>
      <c r="U579" s="1" t="s">
        <v>11846</v>
      </c>
      <c r="V579" s="1" t="s">
        <v>11847</v>
      </c>
      <c r="W579" s="1" t="s">
        <v>11848</v>
      </c>
      <c r="X579" s="1" t="s">
        <v>11849</v>
      </c>
      <c r="Y579" s="1" t="s">
        <v>11850</v>
      </c>
      <c r="Z579" s="1" t="s">
        <v>11851</v>
      </c>
      <c r="AA579" s="1" t="s">
        <v>11852</v>
      </c>
      <c r="AB579" s="1" t="s">
        <v>11853</v>
      </c>
      <c r="AC579" s="1" t="s">
        <v>11854</v>
      </c>
      <c r="AD579" s="1" t="s">
        <v>11855</v>
      </c>
      <c r="AE579" s="1" t="s">
        <v>11856</v>
      </c>
      <c r="AF579" s="1" t="s">
        <v>74</v>
      </c>
      <c r="AG579" s="1">
        <v>53.0</v>
      </c>
      <c r="AH579" s="1">
        <v>0.0</v>
      </c>
      <c r="AI579" s="1">
        <v>0.0</v>
      </c>
      <c r="AJ579" s="1">
        <v>44.0</v>
      </c>
      <c r="AK579" s="1">
        <v>44.0</v>
      </c>
      <c r="AL579" s="1" t="s">
        <v>1357</v>
      </c>
      <c r="AM579" s="1" t="s">
        <v>1358</v>
      </c>
      <c r="AN579" s="1" t="s">
        <v>1359</v>
      </c>
      <c r="AO579" s="1" t="s">
        <v>11857</v>
      </c>
      <c r="AP579" s="1" t="s">
        <v>11858</v>
      </c>
      <c r="AQ579" s="1" t="s">
        <v>74</v>
      </c>
      <c r="AR579" s="1" t="s">
        <v>11859</v>
      </c>
      <c r="AS579" s="1" t="s">
        <v>11860</v>
      </c>
      <c r="AT579" s="1" t="s">
        <v>11861</v>
      </c>
      <c r="AU579" s="1">
        <v>2024.0</v>
      </c>
      <c r="AV579" s="1" t="s">
        <v>74</v>
      </c>
      <c r="AW579" s="1" t="s">
        <v>74</v>
      </c>
      <c r="AX579" s="1" t="s">
        <v>74</v>
      </c>
      <c r="AY579" s="1" t="s">
        <v>74</v>
      </c>
      <c r="AZ579" s="1" t="s">
        <v>74</v>
      </c>
      <c r="BA579" s="1" t="s">
        <v>74</v>
      </c>
      <c r="BB579" s="1" t="s">
        <v>74</v>
      </c>
      <c r="BC579" s="1" t="s">
        <v>74</v>
      </c>
      <c r="BD579" s="1" t="s">
        <v>74</v>
      </c>
      <c r="BE579" s="1" t="s">
        <v>11862</v>
      </c>
      <c r="BF579" s="2" t="str">
        <f>HYPERLINK("http://dx.doi.org/10.1002/csr.3017","http://dx.doi.org/10.1002/csr.3017")</f>
        <v>http://dx.doi.org/10.1002/csr.3017</v>
      </c>
      <c r="BG579" s="1" t="s">
        <v>74</v>
      </c>
      <c r="BH579" s="1" t="s">
        <v>2788</v>
      </c>
      <c r="BI579" s="1">
        <v>15.0</v>
      </c>
      <c r="BJ579" s="1" t="s">
        <v>11863</v>
      </c>
      <c r="BK579" s="1" t="s">
        <v>203</v>
      </c>
      <c r="BL579" s="1" t="s">
        <v>11864</v>
      </c>
      <c r="BM579" s="1" t="s">
        <v>11865</v>
      </c>
      <c r="BN579" s="1" t="s">
        <v>74</v>
      </c>
      <c r="BO579" s="1" t="s">
        <v>74</v>
      </c>
      <c r="BP579" s="1" t="s">
        <v>74</v>
      </c>
      <c r="BQ579" s="1" t="s">
        <v>74</v>
      </c>
      <c r="BR579" s="1" t="s">
        <v>102</v>
      </c>
      <c r="BS579" s="1" t="s">
        <v>11866</v>
      </c>
      <c r="BT579" s="1" t="str">
        <f>HYPERLINK("https%3A%2F%2Fwww.webofscience.com%2Fwos%2Fwoscc%2Ffull-record%2FWOS:001373972300001","View Full Record in Web of Science")</f>
        <v>View Full Record in Web of Science</v>
      </c>
    </row>
    <row r="580" ht="12.75" customHeight="1">
      <c r="A580" s="1" t="s">
        <v>132</v>
      </c>
      <c r="B580" s="1" t="s">
        <v>11867</v>
      </c>
      <c r="C580" s="1" t="s">
        <v>74</v>
      </c>
      <c r="D580" s="1" t="s">
        <v>74</v>
      </c>
      <c r="E580" s="1" t="s">
        <v>74</v>
      </c>
      <c r="F580" s="1" t="s">
        <v>11868</v>
      </c>
      <c r="G580" s="1" t="s">
        <v>74</v>
      </c>
      <c r="H580" s="1" t="s">
        <v>74</v>
      </c>
      <c r="I580" s="1" t="s">
        <v>11869</v>
      </c>
      <c r="J580" s="1" t="s">
        <v>8004</v>
      </c>
      <c r="K580" s="1" t="s">
        <v>74</v>
      </c>
      <c r="L580" s="1" t="s">
        <v>74</v>
      </c>
      <c r="M580" s="1" t="s">
        <v>80</v>
      </c>
      <c r="N580" s="1" t="s">
        <v>136</v>
      </c>
      <c r="O580" s="1" t="s">
        <v>74</v>
      </c>
      <c r="P580" s="1" t="s">
        <v>74</v>
      </c>
      <c r="Q580" s="1" t="s">
        <v>74</v>
      </c>
      <c r="R580" s="1" t="s">
        <v>74</v>
      </c>
      <c r="S580" s="1" t="s">
        <v>74</v>
      </c>
      <c r="T580" s="1" t="s">
        <v>11870</v>
      </c>
      <c r="U580" s="1" t="s">
        <v>11871</v>
      </c>
      <c r="V580" s="1" t="s">
        <v>11872</v>
      </c>
      <c r="W580" s="1" t="s">
        <v>11873</v>
      </c>
      <c r="X580" s="1" t="s">
        <v>11874</v>
      </c>
      <c r="Y580" s="1" t="s">
        <v>11875</v>
      </c>
      <c r="Z580" s="1" t="s">
        <v>11876</v>
      </c>
      <c r="AA580" s="1" t="s">
        <v>74</v>
      </c>
      <c r="AB580" s="1" t="s">
        <v>74</v>
      </c>
      <c r="AC580" s="1" t="s">
        <v>11877</v>
      </c>
      <c r="AD580" s="1" t="s">
        <v>11878</v>
      </c>
      <c r="AE580" s="1" t="s">
        <v>11879</v>
      </c>
      <c r="AF580" s="1" t="s">
        <v>74</v>
      </c>
      <c r="AG580" s="1">
        <v>54.0</v>
      </c>
      <c r="AH580" s="1">
        <v>1.0</v>
      </c>
      <c r="AI580" s="1">
        <v>1.0</v>
      </c>
      <c r="AJ580" s="1">
        <v>6.0</v>
      </c>
      <c r="AK580" s="1">
        <v>15.0</v>
      </c>
      <c r="AL580" s="1" t="s">
        <v>1970</v>
      </c>
      <c r="AM580" s="1" t="s">
        <v>1658</v>
      </c>
      <c r="AN580" s="1" t="s">
        <v>1971</v>
      </c>
      <c r="AO580" s="1" t="s">
        <v>8014</v>
      </c>
      <c r="AP580" s="1" t="s">
        <v>74</v>
      </c>
      <c r="AQ580" s="1" t="s">
        <v>74</v>
      </c>
      <c r="AR580" s="1" t="s">
        <v>8015</v>
      </c>
      <c r="AS580" s="1" t="s">
        <v>8016</v>
      </c>
      <c r="AT580" s="1" t="s">
        <v>1051</v>
      </c>
      <c r="AU580" s="1">
        <v>2021.0</v>
      </c>
      <c r="AV580" s="1">
        <v>9.0</v>
      </c>
      <c r="AW580" s="1">
        <v>4.0</v>
      </c>
      <c r="AX580" s="1" t="s">
        <v>74</v>
      </c>
      <c r="AY580" s="1" t="s">
        <v>74</v>
      </c>
      <c r="AZ580" s="1" t="s">
        <v>74</v>
      </c>
      <c r="BA580" s="1" t="s">
        <v>74</v>
      </c>
      <c r="BB580" s="1" t="s">
        <v>74</v>
      </c>
      <c r="BC580" s="1" t="s">
        <v>74</v>
      </c>
      <c r="BD580" s="1">
        <v>58.0</v>
      </c>
      <c r="BE580" s="1" t="s">
        <v>11880</v>
      </c>
      <c r="BF580" s="2" t="str">
        <f>HYPERLINK("http://dx.doi.org/10.3390/ijfs9040058","http://dx.doi.org/10.3390/ijfs9040058")</f>
        <v>http://dx.doi.org/10.3390/ijfs9040058</v>
      </c>
      <c r="BG580" s="1" t="s">
        <v>74</v>
      </c>
      <c r="BH580" s="1" t="s">
        <v>74</v>
      </c>
      <c r="BI580" s="1">
        <v>42.0</v>
      </c>
      <c r="BJ580" s="1" t="s">
        <v>3350</v>
      </c>
      <c r="BK580" s="1" t="s">
        <v>172</v>
      </c>
      <c r="BL580" s="1" t="s">
        <v>204</v>
      </c>
      <c r="BM580" s="1" t="s">
        <v>11881</v>
      </c>
      <c r="BN580" s="1" t="s">
        <v>74</v>
      </c>
      <c r="BO580" s="1" t="s">
        <v>11882</v>
      </c>
      <c r="BP580" s="1" t="s">
        <v>74</v>
      </c>
      <c r="BQ580" s="1" t="s">
        <v>74</v>
      </c>
      <c r="BR580" s="1" t="s">
        <v>102</v>
      </c>
      <c r="BS580" s="1" t="s">
        <v>11883</v>
      </c>
      <c r="BT580" s="1" t="str">
        <f>HYPERLINK("https%3A%2F%2Fwww.webofscience.com%2Fwos%2Fwoscc%2Ffull-record%2FWOS:000742715400001","View Full Record in Web of Science")</f>
        <v>View Full Record in Web of Science</v>
      </c>
    </row>
    <row r="581" ht="12.75" customHeight="1">
      <c r="A581" s="1" t="s">
        <v>132</v>
      </c>
      <c r="B581" s="1" t="s">
        <v>11884</v>
      </c>
      <c r="C581" s="1" t="s">
        <v>74</v>
      </c>
      <c r="D581" s="1" t="s">
        <v>74</v>
      </c>
      <c r="E581" s="1" t="s">
        <v>74</v>
      </c>
      <c r="F581" s="1" t="s">
        <v>11885</v>
      </c>
      <c r="G581" s="1" t="s">
        <v>74</v>
      </c>
      <c r="H581" s="1" t="s">
        <v>74</v>
      </c>
      <c r="I581" s="1" t="s">
        <v>11886</v>
      </c>
      <c r="J581" s="1" t="s">
        <v>11887</v>
      </c>
      <c r="K581" s="1" t="s">
        <v>74</v>
      </c>
      <c r="L581" s="1" t="s">
        <v>74</v>
      </c>
      <c r="M581" s="1" t="s">
        <v>80</v>
      </c>
      <c r="N581" s="1" t="s">
        <v>136</v>
      </c>
      <c r="O581" s="1" t="s">
        <v>74</v>
      </c>
      <c r="P581" s="1" t="s">
        <v>74</v>
      </c>
      <c r="Q581" s="1" t="s">
        <v>74</v>
      </c>
      <c r="R581" s="1" t="s">
        <v>74</v>
      </c>
      <c r="S581" s="1" t="s">
        <v>74</v>
      </c>
      <c r="T581" s="1" t="s">
        <v>11888</v>
      </c>
      <c r="U581" s="1" t="s">
        <v>74</v>
      </c>
      <c r="V581" s="1" t="s">
        <v>11889</v>
      </c>
      <c r="W581" s="1" t="s">
        <v>11890</v>
      </c>
      <c r="X581" s="1" t="s">
        <v>11891</v>
      </c>
      <c r="Y581" s="1" t="s">
        <v>11892</v>
      </c>
      <c r="Z581" s="1" t="s">
        <v>11893</v>
      </c>
      <c r="AA581" s="1" t="s">
        <v>74</v>
      </c>
      <c r="AB581" s="1" t="s">
        <v>11894</v>
      </c>
      <c r="AC581" s="1" t="s">
        <v>11895</v>
      </c>
      <c r="AD581" s="1" t="s">
        <v>11896</v>
      </c>
      <c r="AE581" s="1" t="s">
        <v>11897</v>
      </c>
      <c r="AF581" s="1" t="s">
        <v>74</v>
      </c>
      <c r="AG581" s="1">
        <v>3.0</v>
      </c>
      <c r="AH581" s="1">
        <v>3.0</v>
      </c>
      <c r="AI581" s="1">
        <v>3.0</v>
      </c>
      <c r="AJ581" s="1">
        <v>4.0</v>
      </c>
      <c r="AK581" s="1">
        <v>22.0</v>
      </c>
      <c r="AL581" s="1" t="s">
        <v>348</v>
      </c>
      <c r="AM581" s="1" t="s">
        <v>349</v>
      </c>
      <c r="AN581" s="1" t="s">
        <v>350</v>
      </c>
      <c r="AO581" s="1" t="s">
        <v>11898</v>
      </c>
      <c r="AP581" s="1" t="s">
        <v>11899</v>
      </c>
      <c r="AQ581" s="1" t="s">
        <v>74</v>
      </c>
      <c r="AR581" s="1" t="s">
        <v>11900</v>
      </c>
      <c r="AS581" s="1" t="s">
        <v>11901</v>
      </c>
      <c r="AT581" s="1" t="s">
        <v>1027</v>
      </c>
      <c r="AU581" s="1">
        <v>2022.0</v>
      </c>
      <c r="AV581" s="1">
        <v>47.0</v>
      </c>
      <c r="AW581" s="1">
        <v>1.0</v>
      </c>
      <c r="AX581" s="1" t="s">
        <v>74</v>
      </c>
      <c r="AY581" s="1" t="s">
        <v>74</v>
      </c>
      <c r="AZ581" s="1" t="s">
        <v>74</v>
      </c>
      <c r="BA581" s="1" t="s">
        <v>74</v>
      </c>
      <c r="BB581" s="1">
        <v>4.0</v>
      </c>
      <c r="BC581" s="1">
        <v>9.0</v>
      </c>
      <c r="BD581" s="1" t="s">
        <v>11902</v>
      </c>
      <c r="BE581" s="1" t="s">
        <v>11903</v>
      </c>
      <c r="BF581" s="2" t="str">
        <f>HYPERLINK("http://dx.doi.org/10.1177/1037969X211052339","http://dx.doi.org/10.1177/1037969X211052339")</f>
        <v>http://dx.doi.org/10.1177/1037969X211052339</v>
      </c>
      <c r="BG581" s="1" t="s">
        <v>74</v>
      </c>
      <c r="BH581" s="1" t="s">
        <v>4192</v>
      </c>
      <c r="BI581" s="1">
        <v>6.0</v>
      </c>
      <c r="BJ581" s="1" t="s">
        <v>915</v>
      </c>
      <c r="BK581" s="1" t="s">
        <v>172</v>
      </c>
      <c r="BL581" s="1" t="s">
        <v>916</v>
      </c>
      <c r="BM581" s="1" t="s">
        <v>11904</v>
      </c>
      <c r="BN581" s="1" t="s">
        <v>74</v>
      </c>
      <c r="BO581" s="1" t="s">
        <v>74</v>
      </c>
      <c r="BP581" s="1" t="s">
        <v>74</v>
      </c>
      <c r="BQ581" s="1" t="s">
        <v>74</v>
      </c>
      <c r="BR581" s="1" t="s">
        <v>102</v>
      </c>
      <c r="BS581" s="1" t="s">
        <v>11905</v>
      </c>
      <c r="BT581" s="1" t="str">
        <f>HYPERLINK("https%3A%2F%2Fwww.webofscience.com%2Fwos%2Fwoscc%2Ffull-record%2FWOS:000739452000001","View Full Record in Web of Science")</f>
        <v>View Full Record in Web of Science</v>
      </c>
    </row>
    <row r="582" ht="12.75" customHeight="1">
      <c r="A582" s="1" t="s">
        <v>132</v>
      </c>
      <c r="B582" s="1" t="s">
        <v>11906</v>
      </c>
      <c r="C582" s="1" t="s">
        <v>74</v>
      </c>
      <c r="D582" s="1" t="s">
        <v>74</v>
      </c>
      <c r="E582" s="1" t="s">
        <v>74</v>
      </c>
      <c r="F582" s="1" t="s">
        <v>11907</v>
      </c>
      <c r="G582" s="1" t="s">
        <v>74</v>
      </c>
      <c r="H582" s="1" t="s">
        <v>74</v>
      </c>
      <c r="I582" s="1" t="s">
        <v>11908</v>
      </c>
      <c r="J582" s="1" t="s">
        <v>6460</v>
      </c>
      <c r="K582" s="1" t="s">
        <v>74</v>
      </c>
      <c r="L582" s="1" t="s">
        <v>74</v>
      </c>
      <c r="M582" s="1" t="s">
        <v>80</v>
      </c>
      <c r="N582" s="1" t="s">
        <v>136</v>
      </c>
      <c r="O582" s="1" t="s">
        <v>74</v>
      </c>
      <c r="P582" s="1" t="s">
        <v>74</v>
      </c>
      <c r="Q582" s="1" t="s">
        <v>74</v>
      </c>
      <c r="R582" s="1" t="s">
        <v>74</v>
      </c>
      <c r="S582" s="1" t="s">
        <v>74</v>
      </c>
      <c r="T582" s="1" t="s">
        <v>11909</v>
      </c>
      <c r="U582" s="1" t="s">
        <v>74</v>
      </c>
      <c r="V582" s="1" t="s">
        <v>11910</v>
      </c>
      <c r="W582" s="1" t="s">
        <v>11911</v>
      </c>
      <c r="X582" s="1" t="s">
        <v>11912</v>
      </c>
      <c r="Y582" s="1" t="s">
        <v>11913</v>
      </c>
      <c r="Z582" s="1" t="s">
        <v>11914</v>
      </c>
      <c r="AA582" s="1" t="s">
        <v>11915</v>
      </c>
      <c r="AB582" s="1" t="s">
        <v>11916</v>
      </c>
      <c r="AC582" s="1" t="s">
        <v>74</v>
      </c>
      <c r="AD582" s="1" t="s">
        <v>74</v>
      </c>
      <c r="AE582" s="1" t="s">
        <v>74</v>
      </c>
      <c r="AF582" s="1" t="s">
        <v>74</v>
      </c>
      <c r="AG582" s="1">
        <v>24.0</v>
      </c>
      <c r="AH582" s="1">
        <v>104.0</v>
      </c>
      <c r="AI582" s="1">
        <v>111.0</v>
      </c>
      <c r="AJ582" s="1">
        <v>27.0</v>
      </c>
      <c r="AK582" s="1">
        <v>157.0</v>
      </c>
      <c r="AL582" s="1" t="s">
        <v>2616</v>
      </c>
      <c r="AM582" s="1" t="s">
        <v>2617</v>
      </c>
      <c r="AN582" s="1" t="s">
        <v>6473</v>
      </c>
      <c r="AO582" s="1" t="s">
        <v>6474</v>
      </c>
      <c r="AP582" s="1" t="s">
        <v>74</v>
      </c>
      <c r="AQ582" s="1" t="s">
        <v>74</v>
      </c>
      <c r="AR582" s="1" t="s">
        <v>6475</v>
      </c>
      <c r="AS582" s="1" t="s">
        <v>6476</v>
      </c>
      <c r="AT582" s="1" t="s">
        <v>11917</v>
      </c>
      <c r="AU582" s="1">
        <v>2020.0</v>
      </c>
      <c r="AV582" s="1">
        <v>22.0</v>
      </c>
      <c r="AW582" s="1">
        <v>5.0</v>
      </c>
      <c r="AX582" s="1" t="s">
        <v>74</v>
      </c>
      <c r="AY582" s="1" t="s">
        <v>74</v>
      </c>
      <c r="AZ582" s="1" t="s">
        <v>74</v>
      </c>
      <c r="BA582" s="1" t="s">
        <v>74</v>
      </c>
      <c r="BB582" s="1" t="s">
        <v>74</v>
      </c>
      <c r="BC582" s="1" t="s">
        <v>74</v>
      </c>
      <c r="BD582" s="1" t="s">
        <v>11918</v>
      </c>
      <c r="BE582" s="1" t="s">
        <v>11919</v>
      </c>
      <c r="BF582" s="2" t="str">
        <f>HYPERLINK("http://dx.doi.org/10.2196/17620","http://dx.doi.org/10.2196/17620")</f>
        <v>http://dx.doi.org/10.2196/17620</v>
      </c>
      <c r="BG582" s="1" t="s">
        <v>74</v>
      </c>
      <c r="BH582" s="1" t="s">
        <v>74</v>
      </c>
      <c r="BI582" s="1">
        <v>8.0</v>
      </c>
      <c r="BJ582" s="1" t="s">
        <v>3025</v>
      </c>
      <c r="BK582" s="1" t="s">
        <v>149</v>
      </c>
      <c r="BL582" s="1" t="s">
        <v>3025</v>
      </c>
      <c r="BM582" s="1" t="s">
        <v>11920</v>
      </c>
      <c r="BN582" s="1">
        <v>3.2406857E7</v>
      </c>
      <c r="BO582" s="1" t="s">
        <v>1161</v>
      </c>
      <c r="BP582" s="1" t="s">
        <v>74</v>
      </c>
      <c r="BQ582" s="1" t="s">
        <v>74</v>
      </c>
      <c r="BR582" s="1" t="s">
        <v>102</v>
      </c>
      <c r="BS582" s="1" t="s">
        <v>11921</v>
      </c>
      <c r="BT582" s="1" t="str">
        <f>HYPERLINK("https%3A%2F%2Fwww.webofscience.com%2Fwos%2Fwoscc%2Ffull-record%2FWOS:000532569200001","View Full Record in Web of Science")</f>
        <v>View Full Record in Web of Science</v>
      </c>
    </row>
    <row r="583" ht="12.75" customHeight="1">
      <c r="A583" s="1" t="s">
        <v>132</v>
      </c>
      <c r="B583" s="1" t="s">
        <v>11922</v>
      </c>
      <c r="C583" s="1" t="s">
        <v>74</v>
      </c>
      <c r="D583" s="1" t="s">
        <v>74</v>
      </c>
      <c r="E583" s="1" t="s">
        <v>74</v>
      </c>
      <c r="F583" s="1" t="s">
        <v>11923</v>
      </c>
      <c r="G583" s="1" t="s">
        <v>74</v>
      </c>
      <c r="H583" s="1" t="s">
        <v>74</v>
      </c>
      <c r="I583" s="1" t="s">
        <v>11924</v>
      </c>
      <c r="J583" s="1" t="s">
        <v>11925</v>
      </c>
      <c r="K583" s="1" t="s">
        <v>74</v>
      </c>
      <c r="L583" s="1" t="s">
        <v>74</v>
      </c>
      <c r="M583" s="1" t="s">
        <v>80</v>
      </c>
      <c r="N583" s="1" t="s">
        <v>136</v>
      </c>
      <c r="O583" s="1" t="s">
        <v>74</v>
      </c>
      <c r="P583" s="1" t="s">
        <v>74</v>
      </c>
      <c r="Q583" s="1" t="s">
        <v>74</v>
      </c>
      <c r="R583" s="1" t="s">
        <v>74</v>
      </c>
      <c r="S583" s="1" t="s">
        <v>74</v>
      </c>
      <c r="T583" s="1" t="s">
        <v>11926</v>
      </c>
      <c r="U583" s="1" t="s">
        <v>11927</v>
      </c>
      <c r="V583" s="1" t="s">
        <v>11928</v>
      </c>
      <c r="W583" s="1" t="s">
        <v>11929</v>
      </c>
      <c r="X583" s="1" t="s">
        <v>11930</v>
      </c>
      <c r="Y583" s="1" t="s">
        <v>11931</v>
      </c>
      <c r="Z583" s="1" t="s">
        <v>11932</v>
      </c>
      <c r="AA583" s="1" t="s">
        <v>74</v>
      </c>
      <c r="AB583" s="1" t="s">
        <v>74</v>
      </c>
      <c r="AC583" s="1" t="s">
        <v>11933</v>
      </c>
      <c r="AD583" s="1" t="s">
        <v>11934</v>
      </c>
      <c r="AE583" s="1" t="s">
        <v>11935</v>
      </c>
      <c r="AF583" s="1" t="s">
        <v>74</v>
      </c>
      <c r="AG583" s="1">
        <v>29.0</v>
      </c>
      <c r="AH583" s="1">
        <v>0.0</v>
      </c>
      <c r="AI583" s="1">
        <v>0.0</v>
      </c>
      <c r="AJ583" s="1">
        <v>29.0</v>
      </c>
      <c r="AK583" s="1">
        <v>54.0</v>
      </c>
      <c r="AL583" s="1" t="s">
        <v>321</v>
      </c>
      <c r="AM583" s="1" t="s">
        <v>322</v>
      </c>
      <c r="AN583" s="1" t="s">
        <v>323</v>
      </c>
      <c r="AO583" s="1" t="s">
        <v>11936</v>
      </c>
      <c r="AP583" s="1" t="s">
        <v>11937</v>
      </c>
      <c r="AQ583" s="1" t="s">
        <v>74</v>
      </c>
      <c r="AR583" s="1" t="s">
        <v>11938</v>
      </c>
      <c r="AS583" s="1" t="s">
        <v>11939</v>
      </c>
      <c r="AT583" s="1" t="s">
        <v>1301</v>
      </c>
      <c r="AU583" s="1">
        <v>2024.0</v>
      </c>
      <c r="AV583" s="1">
        <v>90.0</v>
      </c>
      <c r="AW583" s="1" t="s">
        <v>74</v>
      </c>
      <c r="AX583" s="1" t="s">
        <v>74</v>
      </c>
      <c r="AY583" s="1" t="s">
        <v>74</v>
      </c>
      <c r="AZ583" s="1" t="s">
        <v>74</v>
      </c>
      <c r="BA583" s="1" t="s">
        <v>74</v>
      </c>
      <c r="BB583" s="1" t="s">
        <v>74</v>
      </c>
      <c r="BC583" s="1" t="s">
        <v>74</v>
      </c>
      <c r="BD583" s="1">
        <v>101675.0</v>
      </c>
      <c r="BE583" s="1" t="s">
        <v>11940</v>
      </c>
      <c r="BF583" s="2" t="str">
        <f>HYPERLINK("http://dx.doi.org/10.1016/j.asieco.2023.101675","http://dx.doi.org/10.1016/j.asieco.2023.101675")</f>
        <v>http://dx.doi.org/10.1016/j.asieco.2023.101675</v>
      </c>
      <c r="BG583" s="1" t="s">
        <v>74</v>
      </c>
      <c r="BH583" s="1" t="s">
        <v>201</v>
      </c>
      <c r="BI583" s="1">
        <v>13.0</v>
      </c>
      <c r="BJ583" s="1" t="s">
        <v>202</v>
      </c>
      <c r="BK583" s="1" t="s">
        <v>203</v>
      </c>
      <c r="BL583" s="1" t="s">
        <v>204</v>
      </c>
      <c r="BM583" s="1" t="s">
        <v>11941</v>
      </c>
      <c r="BN583" s="1" t="s">
        <v>74</v>
      </c>
      <c r="BO583" s="1" t="s">
        <v>74</v>
      </c>
      <c r="BP583" s="1" t="s">
        <v>74</v>
      </c>
      <c r="BQ583" s="1" t="s">
        <v>74</v>
      </c>
      <c r="BR583" s="1" t="s">
        <v>102</v>
      </c>
      <c r="BS583" s="1" t="s">
        <v>11942</v>
      </c>
      <c r="BT583" s="1" t="str">
        <f>HYPERLINK("https%3A%2F%2Fwww.webofscience.com%2Fwos%2Fwoscc%2Ffull-record%2FWOS:001126349200001","View Full Record in Web of Science")</f>
        <v>View Full Record in Web of Science</v>
      </c>
    </row>
    <row r="584" ht="12.75" customHeight="1">
      <c r="A584" s="1" t="s">
        <v>132</v>
      </c>
      <c r="B584" s="1" t="s">
        <v>11943</v>
      </c>
      <c r="C584" s="1" t="s">
        <v>74</v>
      </c>
      <c r="D584" s="1" t="s">
        <v>74</v>
      </c>
      <c r="E584" s="1" t="s">
        <v>74</v>
      </c>
      <c r="F584" s="1" t="s">
        <v>11944</v>
      </c>
      <c r="G584" s="1" t="s">
        <v>74</v>
      </c>
      <c r="H584" s="1" t="s">
        <v>74</v>
      </c>
      <c r="I584" s="1" t="s">
        <v>11945</v>
      </c>
      <c r="J584" s="1" t="s">
        <v>11946</v>
      </c>
      <c r="K584" s="1" t="s">
        <v>74</v>
      </c>
      <c r="L584" s="1" t="s">
        <v>74</v>
      </c>
      <c r="M584" s="1" t="s">
        <v>80</v>
      </c>
      <c r="N584" s="1" t="s">
        <v>1010</v>
      </c>
      <c r="O584" s="1" t="s">
        <v>74</v>
      </c>
      <c r="P584" s="1" t="s">
        <v>74</v>
      </c>
      <c r="Q584" s="1" t="s">
        <v>74</v>
      </c>
      <c r="R584" s="1" t="s">
        <v>74</v>
      </c>
      <c r="S584" s="1" t="s">
        <v>74</v>
      </c>
      <c r="T584" s="1" t="s">
        <v>11947</v>
      </c>
      <c r="U584" s="1" t="s">
        <v>74</v>
      </c>
      <c r="V584" s="1" t="s">
        <v>11948</v>
      </c>
      <c r="W584" s="1" t="s">
        <v>11949</v>
      </c>
      <c r="X584" s="1" t="s">
        <v>11950</v>
      </c>
      <c r="Y584" s="1" t="s">
        <v>11951</v>
      </c>
      <c r="Z584" s="1" t="s">
        <v>11952</v>
      </c>
      <c r="AA584" s="1" t="s">
        <v>11953</v>
      </c>
      <c r="AB584" s="1" t="s">
        <v>11954</v>
      </c>
      <c r="AC584" s="1" t="s">
        <v>74</v>
      </c>
      <c r="AD584" s="1" t="s">
        <v>74</v>
      </c>
      <c r="AE584" s="1" t="s">
        <v>74</v>
      </c>
      <c r="AF584" s="1" t="s">
        <v>74</v>
      </c>
      <c r="AG584" s="1">
        <v>27.0</v>
      </c>
      <c r="AH584" s="1">
        <v>2.0</v>
      </c>
      <c r="AI584" s="1">
        <v>2.0</v>
      </c>
      <c r="AJ584" s="1">
        <v>4.0</v>
      </c>
      <c r="AK584" s="1">
        <v>5.0</v>
      </c>
      <c r="AL584" s="1" t="s">
        <v>11955</v>
      </c>
      <c r="AM584" s="1" t="s">
        <v>11956</v>
      </c>
      <c r="AN584" s="1" t="s">
        <v>11957</v>
      </c>
      <c r="AO584" s="1" t="s">
        <v>11958</v>
      </c>
      <c r="AP584" s="1" t="s">
        <v>11959</v>
      </c>
      <c r="AQ584" s="1" t="s">
        <v>74</v>
      </c>
      <c r="AR584" s="1" t="s">
        <v>11946</v>
      </c>
      <c r="AS584" s="1" t="s">
        <v>11960</v>
      </c>
      <c r="AT584" s="1" t="s">
        <v>843</v>
      </c>
      <c r="AU584" s="1">
        <v>2024.0</v>
      </c>
      <c r="AV584" s="1">
        <v>38.0</v>
      </c>
      <c r="AW584" s="1">
        <v>3.0</v>
      </c>
      <c r="AX584" s="1" t="s">
        <v>74</v>
      </c>
      <c r="AY584" s="1" t="s">
        <v>74</v>
      </c>
      <c r="AZ584" s="1" t="s">
        <v>74</v>
      </c>
      <c r="BA584" s="1" t="s">
        <v>74</v>
      </c>
      <c r="BB584" s="1">
        <v>1009.0</v>
      </c>
      <c r="BC584" s="1">
        <v>1015.0</v>
      </c>
      <c r="BD584" s="1" t="s">
        <v>74</v>
      </c>
      <c r="BE584" s="1" t="s">
        <v>11961</v>
      </c>
      <c r="BF584" s="2" t="str">
        <f>HYPERLINK("http://dx.doi.org/10.21873/invivo.13534","http://dx.doi.org/10.21873/invivo.13534")</f>
        <v>http://dx.doi.org/10.21873/invivo.13534</v>
      </c>
      <c r="BG584" s="1" t="s">
        <v>74</v>
      </c>
      <c r="BH584" s="1" t="s">
        <v>74</v>
      </c>
      <c r="BI584" s="1">
        <v>7.0</v>
      </c>
      <c r="BJ584" s="1" t="s">
        <v>11962</v>
      </c>
      <c r="BK584" s="1" t="s">
        <v>149</v>
      </c>
      <c r="BL584" s="1" t="s">
        <v>11963</v>
      </c>
      <c r="BM584" s="1" t="s">
        <v>11964</v>
      </c>
      <c r="BN584" s="1">
        <v>3.8688653E7</v>
      </c>
      <c r="BO584" s="1" t="s">
        <v>284</v>
      </c>
      <c r="BP584" s="1" t="s">
        <v>74</v>
      </c>
      <c r="BQ584" s="1" t="s">
        <v>74</v>
      </c>
      <c r="BR584" s="1" t="s">
        <v>102</v>
      </c>
      <c r="BS584" s="1" t="s">
        <v>11965</v>
      </c>
      <c r="BT584" s="1" t="str">
        <f>HYPERLINK("https%3A%2F%2Fwww.webofscience.com%2Fwos%2Fwoscc%2Ffull-record%2FWOS:001229960900041","View Full Record in Web of Science")</f>
        <v>View Full Record in Web of Science</v>
      </c>
    </row>
    <row r="585" ht="12.75" customHeight="1">
      <c r="A585" s="1" t="s">
        <v>132</v>
      </c>
      <c r="B585" s="1" t="s">
        <v>11966</v>
      </c>
      <c r="C585" s="1" t="s">
        <v>74</v>
      </c>
      <c r="D585" s="1" t="s">
        <v>74</v>
      </c>
      <c r="E585" s="1" t="s">
        <v>74</v>
      </c>
      <c r="F585" s="1" t="s">
        <v>11967</v>
      </c>
      <c r="G585" s="1" t="s">
        <v>74</v>
      </c>
      <c r="H585" s="1" t="s">
        <v>74</v>
      </c>
      <c r="I585" s="1" t="s">
        <v>11968</v>
      </c>
      <c r="J585" s="1" t="s">
        <v>11969</v>
      </c>
      <c r="K585" s="1" t="s">
        <v>74</v>
      </c>
      <c r="L585" s="1" t="s">
        <v>74</v>
      </c>
      <c r="M585" s="1" t="s">
        <v>80</v>
      </c>
      <c r="N585" s="1" t="s">
        <v>136</v>
      </c>
      <c r="O585" s="1" t="s">
        <v>74</v>
      </c>
      <c r="P585" s="1" t="s">
        <v>74</v>
      </c>
      <c r="Q585" s="1" t="s">
        <v>74</v>
      </c>
      <c r="R585" s="1" t="s">
        <v>74</v>
      </c>
      <c r="S585" s="1" t="s">
        <v>74</v>
      </c>
      <c r="T585" s="1" t="s">
        <v>11970</v>
      </c>
      <c r="U585" s="1" t="s">
        <v>74</v>
      </c>
      <c r="V585" s="1" t="s">
        <v>11971</v>
      </c>
      <c r="W585" s="1" t="s">
        <v>11972</v>
      </c>
      <c r="X585" s="1" t="s">
        <v>11973</v>
      </c>
      <c r="Y585" s="1" t="s">
        <v>11974</v>
      </c>
      <c r="Z585" s="1" t="s">
        <v>11975</v>
      </c>
      <c r="AA585" s="1" t="s">
        <v>11976</v>
      </c>
      <c r="AB585" s="1" t="s">
        <v>11977</v>
      </c>
      <c r="AC585" s="1" t="s">
        <v>74</v>
      </c>
      <c r="AD585" s="1" t="s">
        <v>74</v>
      </c>
      <c r="AE585" s="1" t="s">
        <v>74</v>
      </c>
      <c r="AF585" s="1" t="s">
        <v>74</v>
      </c>
      <c r="AG585" s="1">
        <v>46.0</v>
      </c>
      <c r="AH585" s="1">
        <v>1.0</v>
      </c>
      <c r="AI585" s="1">
        <v>1.0</v>
      </c>
      <c r="AJ585" s="1">
        <v>30.0</v>
      </c>
      <c r="AK585" s="1">
        <v>37.0</v>
      </c>
      <c r="AL585" s="1" t="s">
        <v>11978</v>
      </c>
      <c r="AM585" s="1" t="s">
        <v>11979</v>
      </c>
      <c r="AN585" s="1" t="s">
        <v>11980</v>
      </c>
      <c r="AO585" s="1" t="s">
        <v>11981</v>
      </c>
      <c r="AP585" s="1" t="s">
        <v>74</v>
      </c>
      <c r="AQ585" s="1" t="s">
        <v>74</v>
      </c>
      <c r="AR585" s="1" t="s">
        <v>11982</v>
      </c>
      <c r="AS585" s="1" t="s">
        <v>11983</v>
      </c>
      <c r="AT585" s="1" t="s">
        <v>74</v>
      </c>
      <c r="AU585" s="1">
        <v>2024.0</v>
      </c>
      <c r="AV585" s="1">
        <v>14.0</v>
      </c>
      <c r="AW585" s="1">
        <v>5.0</v>
      </c>
      <c r="AX585" s="1" t="s">
        <v>74</v>
      </c>
      <c r="AY585" s="1" t="s">
        <v>74</v>
      </c>
      <c r="AZ585" s="1" t="s">
        <v>74</v>
      </c>
      <c r="BA585" s="1" t="s">
        <v>74</v>
      </c>
      <c r="BB585" s="1" t="s">
        <v>74</v>
      </c>
      <c r="BC585" s="1" t="s">
        <v>74</v>
      </c>
      <c r="BD585" s="1" t="s">
        <v>74</v>
      </c>
      <c r="BE585" s="1" t="s">
        <v>11984</v>
      </c>
      <c r="BF585" s="2" t="str">
        <f>HYPERLINK("http://dx.doi.org/10.3991/ijep.v14i5.49995","http://dx.doi.org/10.3991/ijep.v14i5.49995")</f>
        <v>http://dx.doi.org/10.3991/ijep.v14i5.49995</v>
      </c>
      <c r="BG585" s="1" t="s">
        <v>74</v>
      </c>
      <c r="BH585" s="1" t="s">
        <v>74</v>
      </c>
      <c r="BI585" s="1">
        <v>12.0</v>
      </c>
      <c r="BJ585" s="1" t="s">
        <v>10040</v>
      </c>
      <c r="BK585" s="1" t="s">
        <v>172</v>
      </c>
      <c r="BL585" s="1" t="s">
        <v>171</v>
      </c>
      <c r="BM585" s="1" t="s">
        <v>11985</v>
      </c>
      <c r="BN585" s="1" t="s">
        <v>74</v>
      </c>
      <c r="BO585" s="1" t="s">
        <v>174</v>
      </c>
      <c r="BP585" s="1" t="s">
        <v>74</v>
      </c>
      <c r="BQ585" s="1" t="s">
        <v>74</v>
      </c>
      <c r="BR585" s="1" t="s">
        <v>102</v>
      </c>
      <c r="BS585" s="1" t="s">
        <v>11986</v>
      </c>
      <c r="BT585" s="1" t="str">
        <f>HYPERLINK("https%3A%2F%2Fwww.webofscience.com%2Fwos%2Fwoscc%2Ffull-record%2FWOS:001241510000010","View Full Record in Web of Science")</f>
        <v>View Full Record in Web of Science</v>
      </c>
    </row>
    <row r="586" ht="12.75" customHeight="1">
      <c r="A586" s="1" t="s">
        <v>132</v>
      </c>
      <c r="B586" s="1" t="s">
        <v>11987</v>
      </c>
      <c r="C586" s="1" t="s">
        <v>74</v>
      </c>
      <c r="D586" s="1" t="s">
        <v>74</v>
      </c>
      <c r="E586" s="1" t="s">
        <v>74</v>
      </c>
      <c r="F586" s="1" t="s">
        <v>11988</v>
      </c>
      <c r="G586" s="1" t="s">
        <v>74</v>
      </c>
      <c r="H586" s="1" t="s">
        <v>74</v>
      </c>
      <c r="I586" s="1" t="s">
        <v>11989</v>
      </c>
      <c r="J586" s="1" t="s">
        <v>11990</v>
      </c>
      <c r="K586" s="1" t="s">
        <v>74</v>
      </c>
      <c r="L586" s="1" t="s">
        <v>74</v>
      </c>
      <c r="M586" s="1" t="s">
        <v>80</v>
      </c>
      <c r="N586" s="1" t="s">
        <v>136</v>
      </c>
      <c r="O586" s="1" t="s">
        <v>74</v>
      </c>
      <c r="P586" s="1" t="s">
        <v>74</v>
      </c>
      <c r="Q586" s="1" t="s">
        <v>74</v>
      </c>
      <c r="R586" s="1" t="s">
        <v>74</v>
      </c>
      <c r="S586" s="1" t="s">
        <v>74</v>
      </c>
      <c r="T586" s="1" t="s">
        <v>11991</v>
      </c>
      <c r="U586" s="1" t="s">
        <v>74</v>
      </c>
      <c r="V586" s="1" t="s">
        <v>11992</v>
      </c>
      <c r="W586" s="1" t="s">
        <v>11993</v>
      </c>
      <c r="X586" s="1" t="s">
        <v>11994</v>
      </c>
      <c r="Y586" s="1" t="s">
        <v>11995</v>
      </c>
      <c r="Z586" s="1" t="s">
        <v>11996</v>
      </c>
      <c r="AA586" s="1" t="s">
        <v>74</v>
      </c>
      <c r="AB586" s="1" t="s">
        <v>74</v>
      </c>
      <c r="AC586" s="1" t="s">
        <v>74</v>
      </c>
      <c r="AD586" s="1" t="s">
        <v>74</v>
      </c>
      <c r="AE586" s="1" t="s">
        <v>74</v>
      </c>
      <c r="AF586" s="1" t="s">
        <v>74</v>
      </c>
      <c r="AG586" s="1">
        <v>54.0</v>
      </c>
      <c r="AH586" s="1">
        <v>0.0</v>
      </c>
      <c r="AI586" s="1">
        <v>0.0</v>
      </c>
      <c r="AJ586" s="1">
        <v>0.0</v>
      </c>
      <c r="AK586" s="1">
        <v>0.0</v>
      </c>
      <c r="AL586" s="1" t="s">
        <v>11997</v>
      </c>
      <c r="AM586" s="1" t="s">
        <v>10428</v>
      </c>
      <c r="AN586" s="1" t="s">
        <v>11998</v>
      </c>
      <c r="AO586" s="1" t="s">
        <v>11999</v>
      </c>
      <c r="AP586" s="1" t="s">
        <v>12000</v>
      </c>
      <c r="AQ586" s="1" t="s">
        <v>74</v>
      </c>
      <c r="AR586" s="1" t="s">
        <v>12001</v>
      </c>
      <c r="AS586" s="1" t="s">
        <v>12002</v>
      </c>
      <c r="AT586" s="1" t="s">
        <v>74</v>
      </c>
      <c r="AU586" s="1">
        <v>2024.0</v>
      </c>
      <c r="AV586" s="1">
        <v>33.0</v>
      </c>
      <c r="AW586" s="1">
        <v>4.0</v>
      </c>
      <c r="AX586" s="1" t="s">
        <v>74</v>
      </c>
      <c r="AY586" s="1" t="s">
        <v>74</v>
      </c>
      <c r="AZ586" s="1" t="s">
        <v>74</v>
      </c>
      <c r="BA586" s="1" t="s">
        <v>74</v>
      </c>
      <c r="BB586" s="1" t="s">
        <v>74</v>
      </c>
      <c r="BC586" s="1" t="s">
        <v>74</v>
      </c>
      <c r="BD586" s="1" t="s">
        <v>12003</v>
      </c>
      <c r="BE586" s="1" t="s">
        <v>12004</v>
      </c>
      <c r="BF586" s="2" t="str">
        <f>HYPERLINK("http://dx.doi.org/10.3145/epi.2024.0417","http://dx.doi.org/10.3145/epi.2024.0417")</f>
        <v>http://dx.doi.org/10.3145/epi.2024.0417</v>
      </c>
      <c r="BG586" s="1" t="s">
        <v>74</v>
      </c>
      <c r="BH586" s="1" t="s">
        <v>74</v>
      </c>
      <c r="BI586" s="1">
        <v>325.0</v>
      </c>
      <c r="BJ586" s="1" t="s">
        <v>2449</v>
      </c>
      <c r="BK586" s="1" t="s">
        <v>203</v>
      </c>
      <c r="BL586" s="1" t="s">
        <v>2449</v>
      </c>
      <c r="BM586" s="1" t="s">
        <v>12005</v>
      </c>
      <c r="BN586" s="1" t="s">
        <v>74</v>
      </c>
      <c r="BO586" s="1" t="s">
        <v>5977</v>
      </c>
      <c r="BP586" s="1" t="s">
        <v>74</v>
      </c>
      <c r="BQ586" s="1" t="s">
        <v>74</v>
      </c>
      <c r="BR586" s="1" t="s">
        <v>102</v>
      </c>
      <c r="BS586" s="1" t="s">
        <v>12006</v>
      </c>
      <c r="BT586" s="1" t="str">
        <f>HYPERLINK("https%3A%2F%2Fwww.webofscience.com%2Fwos%2Fwoscc%2Ffull-record%2FWOS:001400012100017","View Full Record in Web of Science")</f>
        <v>View Full Record in Web of Science</v>
      </c>
    </row>
    <row r="587" ht="12.75" customHeight="1">
      <c r="A587" s="1" t="s">
        <v>132</v>
      </c>
      <c r="B587" s="1" t="s">
        <v>12007</v>
      </c>
      <c r="C587" s="1" t="s">
        <v>74</v>
      </c>
      <c r="D587" s="1" t="s">
        <v>74</v>
      </c>
      <c r="E587" s="1" t="s">
        <v>74</v>
      </c>
      <c r="F587" s="1" t="s">
        <v>12008</v>
      </c>
      <c r="G587" s="1" t="s">
        <v>74</v>
      </c>
      <c r="H587" s="1" t="s">
        <v>74</v>
      </c>
      <c r="I587" s="1" t="s">
        <v>12009</v>
      </c>
      <c r="J587" s="1" t="s">
        <v>12010</v>
      </c>
      <c r="K587" s="1" t="s">
        <v>74</v>
      </c>
      <c r="L587" s="1" t="s">
        <v>74</v>
      </c>
      <c r="M587" s="1" t="s">
        <v>80</v>
      </c>
      <c r="N587" s="1" t="s">
        <v>136</v>
      </c>
      <c r="O587" s="1" t="s">
        <v>74</v>
      </c>
      <c r="P587" s="1" t="s">
        <v>74</v>
      </c>
      <c r="Q587" s="1" t="s">
        <v>74</v>
      </c>
      <c r="R587" s="1" t="s">
        <v>74</v>
      </c>
      <c r="S587" s="1" t="s">
        <v>74</v>
      </c>
      <c r="T587" s="1" t="s">
        <v>12011</v>
      </c>
      <c r="U587" s="1" t="s">
        <v>74</v>
      </c>
      <c r="V587" s="1" t="s">
        <v>12012</v>
      </c>
      <c r="W587" s="1" t="s">
        <v>12013</v>
      </c>
      <c r="X587" s="1" t="s">
        <v>12014</v>
      </c>
      <c r="Y587" s="1" t="s">
        <v>12015</v>
      </c>
      <c r="Z587" s="1" t="s">
        <v>12016</v>
      </c>
      <c r="AA587" s="1" t="s">
        <v>74</v>
      </c>
      <c r="AB587" s="1" t="s">
        <v>74</v>
      </c>
      <c r="AC587" s="1" t="s">
        <v>74</v>
      </c>
      <c r="AD587" s="1" t="s">
        <v>74</v>
      </c>
      <c r="AE587" s="1" t="s">
        <v>74</v>
      </c>
      <c r="AF587" s="1" t="s">
        <v>74</v>
      </c>
      <c r="AG587" s="1">
        <v>32.0</v>
      </c>
      <c r="AH587" s="1">
        <v>0.0</v>
      </c>
      <c r="AI587" s="1">
        <v>0.0</v>
      </c>
      <c r="AJ587" s="1">
        <v>13.0</v>
      </c>
      <c r="AK587" s="1">
        <v>13.0</v>
      </c>
      <c r="AL587" s="1" t="s">
        <v>12017</v>
      </c>
      <c r="AM587" s="1" t="s">
        <v>12018</v>
      </c>
      <c r="AN587" s="1" t="s">
        <v>12019</v>
      </c>
      <c r="AO587" s="1" t="s">
        <v>12020</v>
      </c>
      <c r="AP587" s="1" t="s">
        <v>12021</v>
      </c>
      <c r="AQ587" s="1" t="s">
        <v>74</v>
      </c>
      <c r="AR587" s="1" t="s">
        <v>12022</v>
      </c>
      <c r="AS587" s="1" t="s">
        <v>12023</v>
      </c>
      <c r="AT587" s="1" t="s">
        <v>3647</v>
      </c>
      <c r="AU587" s="1">
        <v>2024.0</v>
      </c>
      <c r="AV587" s="1" t="s">
        <v>74</v>
      </c>
      <c r="AW587" s="1">
        <v>41.0</v>
      </c>
      <c r="AX587" s="1" t="s">
        <v>74</v>
      </c>
      <c r="AY587" s="1" t="s">
        <v>74</v>
      </c>
      <c r="AZ587" s="1" t="s">
        <v>74</v>
      </c>
      <c r="BA587" s="1" t="s">
        <v>74</v>
      </c>
      <c r="BB587" s="1">
        <v>73.0</v>
      </c>
      <c r="BC587" s="1">
        <v>97.0</v>
      </c>
      <c r="BD587" s="1" t="s">
        <v>74</v>
      </c>
      <c r="BE587" s="1" t="s">
        <v>12024</v>
      </c>
      <c r="BF587" s="2" t="str">
        <f>HYPERLINK("http://dx.doi.org/10.17163/uni.n41.2024.03","http://dx.doi.org/10.17163/uni.n41.2024.03")</f>
        <v>http://dx.doi.org/10.17163/uni.n41.2024.03</v>
      </c>
      <c r="BG587" s="1" t="s">
        <v>74</v>
      </c>
      <c r="BH587" s="1" t="s">
        <v>74</v>
      </c>
      <c r="BI587" s="1">
        <v>25.0</v>
      </c>
      <c r="BJ587" s="1" t="s">
        <v>98</v>
      </c>
      <c r="BK587" s="1" t="s">
        <v>172</v>
      </c>
      <c r="BL587" s="1" t="s">
        <v>100</v>
      </c>
      <c r="BM587" s="1" t="s">
        <v>12025</v>
      </c>
      <c r="BN587" s="1" t="s">
        <v>74</v>
      </c>
      <c r="BO587" s="1" t="s">
        <v>174</v>
      </c>
      <c r="BP587" s="1" t="s">
        <v>74</v>
      </c>
      <c r="BQ587" s="1" t="s">
        <v>74</v>
      </c>
      <c r="BR587" s="1" t="s">
        <v>102</v>
      </c>
      <c r="BS587" s="1" t="s">
        <v>12026</v>
      </c>
      <c r="BT587" s="1" t="str">
        <f>HYPERLINK("https%3A%2F%2Fwww.webofscience.com%2Fwos%2Fwoscc%2Ffull-record%2FWOS:001320746900003","View Full Record in Web of Science")</f>
        <v>View Full Record in Web of Science</v>
      </c>
    </row>
    <row r="588" ht="12.75" customHeight="1">
      <c r="A588" s="1" t="s">
        <v>72</v>
      </c>
      <c r="B588" s="1" t="s">
        <v>12027</v>
      </c>
      <c r="C588" s="1" t="s">
        <v>74</v>
      </c>
      <c r="D588" s="1" t="s">
        <v>74</v>
      </c>
      <c r="E588" s="1" t="s">
        <v>236</v>
      </c>
      <c r="F588" s="1" t="s">
        <v>12028</v>
      </c>
      <c r="G588" s="1" t="s">
        <v>74</v>
      </c>
      <c r="H588" s="1" t="s">
        <v>74</v>
      </c>
      <c r="I588" s="1" t="s">
        <v>12029</v>
      </c>
      <c r="J588" s="1" t="s">
        <v>12030</v>
      </c>
      <c r="K588" s="1" t="s">
        <v>12031</v>
      </c>
      <c r="L588" s="1" t="s">
        <v>74</v>
      </c>
      <c r="M588" s="1" t="s">
        <v>80</v>
      </c>
      <c r="N588" s="1" t="s">
        <v>81</v>
      </c>
      <c r="O588" s="1" t="s">
        <v>12032</v>
      </c>
      <c r="P588" s="1" t="s">
        <v>12033</v>
      </c>
      <c r="Q588" s="1" t="s">
        <v>12034</v>
      </c>
      <c r="R588" s="1" t="s">
        <v>236</v>
      </c>
      <c r="S588" s="1" t="s">
        <v>74</v>
      </c>
      <c r="T588" s="1" t="s">
        <v>12035</v>
      </c>
      <c r="U588" s="1" t="s">
        <v>74</v>
      </c>
      <c r="V588" s="1" t="s">
        <v>12036</v>
      </c>
      <c r="W588" s="1" t="s">
        <v>12037</v>
      </c>
      <c r="X588" s="1" t="s">
        <v>12038</v>
      </c>
      <c r="Y588" s="1" t="s">
        <v>12039</v>
      </c>
      <c r="Z588" s="1" t="s">
        <v>12040</v>
      </c>
      <c r="AA588" s="1" t="s">
        <v>12041</v>
      </c>
      <c r="AB588" s="1" t="s">
        <v>74</v>
      </c>
      <c r="AC588" s="1" t="s">
        <v>74</v>
      </c>
      <c r="AD588" s="1" t="s">
        <v>74</v>
      </c>
      <c r="AE588" s="1" t="s">
        <v>74</v>
      </c>
      <c r="AF588" s="1" t="s">
        <v>74</v>
      </c>
      <c r="AG588" s="1">
        <v>0.0</v>
      </c>
      <c r="AH588" s="1">
        <v>0.0</v>
      </c>
      <c r="AI588" s="1">
        <v>0.0</v>
      </c>
      <c r="AJ588" s="1">
        <v>4.0</v>
      </c>
      <c r="AK588" s="1">
        <v>12.0</v>
      </c>
      <c r="AL588" s="1" t="s">
        <v>236</v>
      </c>
      <c r="AM588" s="1" t="s">
        <v>193</v>
      </c>
      <c r="AN588" s="1" t="s">
        <v>252</v>
      </c>
      <c r="AO588" s="1" t="s">
        <v>12042</v>
      </c>
      <c r="AP588" s="1" t="s">
        <v>74</v>
      </c>
      <c r="AQ588" s="1" t="s">
        <v>12043</v>
      </c>
      <c r="AR588" s="1" t="s">
        <v>12044</v>
      </c>
      <c r="AS588" s="1" t="s">
        <v>74</v>
      </c>
      <c r="AT588" s="1" t="s">
        <v>74</v>
      </c>
      <c r="AU588" s="1">
        <v>2022.0</v>
      </c>
      <c r="AV588" s="1" t="s">
        <v>74</v>
      </c>
      <c r="AW588" s="1" t="s">
        <v>74</v>
      </c>
      <c r="AX588" s="1" t="s">
        <v>74</v>
      </c>
      <c r="AY588" s="1" t="s">
        <v>74</v>
      </c>
      <c r="AZ588" s="1" t="s">
        <v>74</v>
      </c>
      <c r="BA588" s="1" t="s">
        <v>74</v>
      </c>
      <c r="BB588" s="1" t="s">
        <v>74</v>
      </c>
      <c r="BC588" s="1" t="s">
        <v>74</v>
      </c>
      <c r="BD588" s="1" t="s">
        <v>74</v>
      </c>
      <c r="BE588" s="1" t="s">
        <v>12045</v>
      </c>
      <c r="BF588" s="2" t="str">
        <f>HYPERLINK("http://dx.doi.org/10.1109/AIPR57179.2022.10092226","http://dx.doi.org/10.1109/AIPR57179.2022.10092226")</f>
        <v>http://dx.doi.org/10.1109/AIPR57179.2022.10092226</v>
      </c>
      <c r="BG588" s="1" t="s">
        <v>74</v>
      </c>
      <c r="BH588" s="1" t="s">
        <v>74</v>
      </c>
      <c r="BI588" s="1">
        <v>7.0</v>
      </c>
      <c r="BJ588" s="1" t="s">
        <v>12046</v>
      </c>
      <c r="BK588" s="1" t="s">
        <v>128</v>
      </c>
      <c r="BL588" s="1" t="s">
        <v>12047</v>
      </c>
      <c r="BM588" s="1" t="s">
        <v>12048</v>
      </c>
      <c r="BN588" s="1" t="s">
        <v>74</v>
      </c>
      <c r="BO588" s="1" t="s">
        <v>74</v>
      </c>
      <c r="BP588" s="1" t="s">
        <v>74</v>
      </c>
      <c r="BQ588" s="1" t="s">
        <v>74</v>
      </c>
      <c r="BR588" s="1" t="s">
        <v>102</v>
      </c>
      <c r="BS588" s="1" t="s">
        <v>12049</v>
      </c>
      <c r="BT588" s="1" t="str">
        <f>HYPERLINK("https%3A%2F%2Fwww.webofscience.com%2Fwos%2Fwoscc%2Ffull-record%2FWOS:000991969300028","View Full Record in Web of Science")</f>
        <v>View Full Record in Web of Science</v>
      </c>
    </row>
    <row r="589" ht="12.75" customHeight="1">
      <c r="A589" s="1" t="s">
        <v>132</v>
      </c>
      <c r="B589" s="1" t="s">
        <v>12050</v>
      </c>
      <c r="C589" s="1" t="s">
        <v>74</v>
      </c>
      <c r="D589" s="1" t="s">
        <v>74</v>
      </c>
      <c r="E589" s="1" t="s">
        <v>74</v>
      </c>
      <c r="F589" s="1" t="s">
        <v>12051</v>
      </c>
      <c r="G589" s="1" t="s">
        <v>74</v>
      </c>
      <c r="H589" s="1" t="s">
        <v>74</v>
      </c>
      <c r="I589" s="1" t="s">
        <v>12052</v>
      </c>
      <c r="J589" s="1" t="s">
        <v>3775</v>
      </c>
      <c r="K589" s="1" t="s">
        <v>74</v>
      </c>
      <c r="L589" s="1" t="s">
        <v>74</v>
      </c>
      <c r="M589" s="1" t="s">
        <v>638</v>
      </c>
      <c r="N589" s="1" t="s">
        <v>136</v>
      </c>
      <c r="O589" s="1" t="s">
        <v>74</v>
      </c>
      <c r="P589" s="1" t="s">
        <v>74</v>
      </c>
      <c r="Q589" s="1" t="s">
        <v>74</v>
      </c>
      <c r="R589" s="1" t="s">
        <v>74</v>
      </c>
      <c r="S589" s="1" t="s">
        <v>74</v>
      </c>
      <c r="T589" s="1" t="s">
        <v>12053</v>
      </c>
      <c r="U589" s="1" t="s">
        <v>74</v>
      </c>
      <c r="V589" s="1" t="s">
        <v>12054</v>
      </c>
      <c r="W589" s="1" t="s">
        <v>12055</v>
      </c>
      <c r="X589" s="1" t="s">
        <v>12056</v>
      </c>
      <c r="Y589" s="1" t="s">
        <v>12057</v>
      </c>
      <c r="Z589" s="1" t="s">
        <v>12058</v>
      </c>
      <c r="AA589" s="1" t="s">
        <v>12059</v>
      </c>
      <c r="AB589" s="1" t="s">
        <v>12060</v>
      </c>
      <c r="AC589" s="1" t="s">
        <v>74</v>
      </c>
      <c r="AD589" s="1" t="s">
        <v>74</v>
      </c>
      <c r="AE589" s="1" t="s">
        <v>74</v>
      </c>
      <c r="AF589" s="1" t="s">
        <v>74</v>
      </c>
      <c r="AG589" s="1">
        <v>20.0</v>
      </c>
      <c r="AH589" s="1">
        <v>0.0</v>
      </c>
      <c r="AI589" s="1">
        <v>0.0</v>
      </c>
      <c r="AJ589" s="1">
        <v>12.0</v>
      </c>
      <c r="AK589" s="1">
        <v>14.0</v>
      </c>
      <c r="AL589" s="1" t="s">
        <v>3781</v>
      </c>
      <c r="AM589" s="1" t="s">
        <v>3782</v>
      </c>
      <c r="AN589" s="1" t="s">
        <v>3783</v>
      </c>
      <c r="AO589" s="1" t="s">
        <v>3784</v>
      </c>
      <c r="AP589" s="1" t="s">
        <v>74</v>
      </c>
      <c r="AQ589" s="1" t="s">
        <v>74</v>
      </c>
      <c r="AR589" s="1" t="s">
        <v>3785</v>
      </c>
      <c r="AS589" s="1" t="s">
        <v>3786</v>
      </c>
      <c r="AT589" s="1" t="s">
        <v>6623</v>
      </c>
      <c r="AU589" s="1">
        <v>2024.0</v>
      </c>
      <c r="AV589" s="1">
        <v>16.0</v>
      </c>
      <c r="AW589" s="1">
        <v>4.0</v>
      </c>
      <c r="AX589" s="1" t="s">
        <v>74</v>
      </c>
      <c r="AY589" s="1" t="s">
        <v>74</v>
      </c>
      <c r="AZ589" s="1" t="s">
        <v>74</v>
      </c>
      <c r="BA589" s="1" t="s">
        <v>74</v>
      </c>
      <c r="BB589" s="1">
        <v>394.0</v>
      </c>
      <c r="BC589" s="1">
        <v>403.0</v>
      </c>
      <c r="BD589" s="1" t="s">
        <v>74</v>
      </c>
      <c r="BE589" s="1" t="s">
        <v>74</v>
      </c>
      <c r="BF589" s="1" t="s">
        <v>74</v>
      </c>
      <c r="BG589" s="1" t="s">
        <v>74</v>
      </c>
      <c r="BH589" s="1" t="s">
        <v>74</v>
      </c>
      <c r="BI589" s="1">
        <v>10.0</v>
      </c>
      <c r="BJ589" s="1" t="s">
        <v>98</v>
      </c>
      <c r="BK589" s="1" t="s">
        <v>172</v>
      </c>
      <c r="BL589" s="1" t="s">
        <v>100</v>
      </c>
      <c r="BM589" s="1" t="s">
        <v>12061</v>
      </c>
      <c r="BN589" s="1" t="s">
        <v>74</v>
      </c>
      <c r="BO589" s="1" t="s">
        <v>74</v>
      </c>
      <c r="BP589" s="1" t="s">
        <v>74</v>
      </c>
      <c r="BQ589" s="1" t="s">
        <v>74</v>
      </c>
      <c r="BR589" s="1" t="s">
        <v>102</v>
      </c>
      <c r="BS589" s="1" t="s">
        <v>12062</v>
      </c>
      <c r="BT589" s="1" t="str">
        <f>HYPERLINK("https%3A%2F%2Fwww.webofscience.com%2Fwos%2Fwoscc%2Ffull-record%2FWOS:001272562500040","View Full Record in Web of Science")</f>
        <v>View Full Record in Web of Science</v>
      </c>
    </row>
    <row r="590" ht="12.75" customHeight="1">
      <c r="A590" s="1" t="s">
        <v>132</v>
      </c>
      <c r="B590" s="1" t="s">
        <v>12063</v>
      </c>
      <c r="C590" s="1" t="s">
        <v>74</v>
      </c>
      <c r="D590" s="1" t="s">
        <v>74</v>
      </c>
      <c r="E590" s="1" t="s">
        <v>74</v>
      </c>
      <c r="F590" s="1" t="s">
        <v>12064</v>
      </c>
      <c r="G590" s="1" t="s">
        <v>74</v>
      </c>
      <c r="H590" s="1" t="s">
        <v>74</v>
      </c>
      <c r="I590" s="1" t="s">
        <v>12065</v>
      </c>
      <c r="J590" s="1" t="s">
        <v>12066</v>
      </c>
      <c r="K590" s="1" t="s">
        <v>74</v>
      </c>
      <c r="L590" s="1" t="s">
        <v>74</v>
      </c>
      <c r="M590" s="1" t="s">
        <v>80</v>
      </c>
      <c r="N590" s="1" t="s">
        <v>1563</v>
      </c>
      <c r="O590" s="1" t="s">
        <v>74</v>
      </c>
      <c r="P590" s="1" t="s">
        <v>74</v>
      </c>
      <c r="Q590" s="1" t="s">
        <v>74</v>
      </c>
      <c r="R590" s="1" t="s">
        <v>74</v>
      </c>
      <c r="S590" s="1" t="s">
        <v>74</v>
      </c>
      <c r="T590" s="1" t="s">
        <v>12067</v>
      </c>
      <c r="U590" s="1" t="s">
        <v>12068</v>
      </c>
      <c r="V590" s="1" t="s">
        <v>12069</v>
      </c>
      <c r="W590" s="1" t="s">
        <v>12070</v>
      </c>
      <c r="X590" s="1" t="s">
        <v>12071</v>
      </c>
      <c r="Y590" s="1" t="s">
        <v>12072</v>
      </c>
      <c r="Z590" s="1" t="s">
        <v>12073</v>
      </c>
      <c r="AA590" s="1" t="s">
        <v>12074</v>
      </c>
      <c r="AB590" s="1" t="s">
        <v>12075</v>
      </c>
      <c r="AC590" s="1" t="s">
        <v>12076</v>
      </c>
      <c r="AD590" s="1" t="s">
        <v>74</v>
      </c>
      <c r="AE590" s="1" t="s">
        <v>12077</v>
      </c>
      <c r="AF590" s="1" t="s">
        <v>74</v>
      </c>
      <c r="AG590" s="1">
        <v>24.0</v>
      </c>
      <c r="AH590" s="1">
        <v>4.0</v>
      </c>
      <c r="AI590" s="1">
        <v>4.0</v>
      </c>
      <c r="AJ590" s="1">
        <v>4.0</v>
      </c>
      <c r="AK590" s="1">
        <v>20.0</v>
      </c>
      <c r="AL590" s="1" t="s">
        <v>321</v>
      </c>
      <c r="AM590" s="1" t="s">
        <v>322</v>
      </c>
      <c r="AN590" s="1" t="s">
        <v>323</v>
      </c>
      <c r="AO590" s="1" t="s">
        <v>12078</v>
      </c>
      <c r="AP590" s="1" t="s">
        <v>12079</v>
      </c>
      <c r="AQ590" s="1" t="s">
        <v>74</v>
      </c>
      <c r="AR590" s="1" t="s">
        <v>12066</v>
      </c>
      <c r="AS590" s="1" t="s">
        <v>12080</v>
      </c>
      <c r="AT590" s="1" t="s">
        <v>1027</v>
      </c>
      <c r="AU590" s="1">
        <v>2022.0</v>
      </c>
      <c r="AV590" s="1">
        <v>89.0</v>
      </c>
      <c r="AW590" s="1" t="s">
        <v>74</v>
      </c>
      <c r="AX590" s="1" t="s">
        <v>74</v>
      </c>
      <c r="AY590" s="1" t="s">
        <v>74</v>
      </c>
      <c r="AZ590" s="1" t="s">
        <v>74</v>
      </c>
      <c r="BA590" s="1" t="s">
        <v>74</v>
      </c>
      <c r="BB590" s="1">
        <v>9.0</v>
      </c>
      <c r="BC590" s="1">
        <v>11.0</v>
      </c>
      <c r="BD590" s="1" t="s">
        <v>74</v>
      </c>
      <c r="BE590" s="1" t="s">
        <v>12081</v>
      </c>
      <c r="BF590" s="2" t="str">
        <f>HYPERLINK("http://dx.doi.org/10.1016/j.neuro.2021.12.007","http://dx.doi.org/10.1016/j.neuro.2021.12.007")</f>
        <v>http://dx.doi.org/10.1016/j.neuro.2021.12.007</v>
      </c>
      <c r="BG590" s="1" t="s">
        <v>74</v>
      </c>
      <c r="BH590" s="1" t="s">
        <v>74</v>
      </c>
      <c r="BI590" s="1">
        <v>3.0</v>
      </c>
      <c r="BJ590" s="1" t="s">
        <v>12082</v>
      </c>
      <c r="BK590" s="1" t="s">
        <v>149</v>
      </c>
      <c r="BL590" s="1" t="s">
        <v>12083</v>
      </c>
      <c r="BM590" s="1" t="s">
        <v>12084</v>
      </c>
      <c r="BN590" s="1">
        <v>3.4968636E7</v>
      </c>
      <c r="BO590" s="1" t="s">
        <v>74</v>
      </c>
      <c r="BP590" s="1" t="s">
        <v>74</v>
      </c>
      <c r="BQ590" s="1" t="s">
        <v>74</v>
      </c>
      <c r="BR590" s="1" t="s">
        <v>102</v>
      </c>
      <c r="BS590" s="1" t="s">
        <v>12085</v>
      </c>
      <c r="BT590" s="1" t="str">
        <f>HYPERLINK("https%3A%2F%2Fwww.webofscience.com%2Fwos%2Fwoscc%2Ffull-record%2FWOS:000819842300002","View Full Record in Web of Science")</f>
        <v>View Full Record in Web of Science</v>
      </c>
    </row>
    <row r="591" ht="12.75" customHeight="1">
      <c r="A591" s="1" t="s">
        <v>132</v>
      </c>
      <c r="B591" s="1" t="s">
        <v>12086</v>
      </c>
      <c r="C591" s="1" t="s">
        <v>74</v>
      </c>
      <c r="D591" s="1" t="s">
        <v>74</v>
      </c>
      <c r="E591" s="1" t="s">
        <v>74</v>
      </c>
      <c r="F591" s="1" t="s">
        <v>12087</v>
      </c>
      <c r="G591" s="1" t="s">
        <v>74</v>
      </c>
      <c r="H591" s="1" t="s">
        <v>74</v>
      </c>
      <c r="I591" s="1" t="s">
        <v>12088</v>
      </c>
      <c r="J591" s="1" t="s">
        <v>12089</v>
      </c>
      <c r="K591" s="1" t="s">
        <v>74</v>
      </c>
      <c r="L591" s="1" t="s">
        <v>74</v>
      </c>
      <c r="M591" s="1" t="s">
        <v>80</v>
      </c>
      <c r="N591" s="1" t="s">
        <v>338</v>
      </c>
      <c r="O591" s="1" t="s">
        <v>74</v>
      </c>
      <c r="P591" s="1" t="s">
        <v>74</v>
      </c>
      <c r="Q591" s="1" t="s">
        <v>74</v>
      </c>
      <c r="R591" s="1" t="s">
        <v>74</v>
      </c>
      <c r="S591" s="1" t="s">
        <v>74</v>
      </c>
      <c r="T591" s="1" t="s">
        <v>12090</v>
      </c>
      <c r="U591" s="1" t="s">
        <v>74</v>
      </c>
      <c r="V591" s="1" t="s">
        <v>12091</v>
      </c>
      <c r="W591" s="1" t="s">
        <v>12092</v>
      </c>
      <c r="X591" s="1" t="s">
        <v>12093</v>
      </c>
      <c r="Y591" s="1" t="s">
        <v>12094</v>
      </c>
      <c r="Z591" s="1" t="s">
        <v>74</v>
      </c>
      <c r="AA591" s="1" t="s">
        <v>12095</v>
      </c>
      <c r="AB591" s="1" t="s">
        <v>12096</v>
      </c>
      <c r="AC591" s="1" t="s">
        <v>74</v>
      </c>
      <c r="AD591" s="1" t="s">
        <v>74</v>
      </c>
      <c r="AE591" s="1" t="s">
        <v>74</v>
      </c>
      <c r="AF591" s="1" t="s">
        <v>74</v>
      </c>
      <c r="AG591" s="1">
        <v>39.0</v>
      </c>
      <c r="AH591" s="1">
        <v>0.0</v>
      </c>
      <c r="AI591" s="1">
        <v>0.0</v>
      </c>
      <c r="AJ591" s="1">
        <v>14.0</v>
      </c>
      <c r="AK591" s="1">
        <v>14.0</v>
      </c>
      <c r="AL591" s="1" t="s">
        <v>1357</v>
      </c>
      <c r="AM591" s="1" t="s">
        <v>1358</v>
      </c>
      <c r="AN591" s="1" t="s">
        <v>1359</v>
      </c>
      <c r="AO591" s="1" t="s">
        <v>12097</v>
      </c>
      <c r="AP591" s="1" t="s">
        <v>12098</v>
      </c>
      <c r="AQ591" s="1" t="s">
        <v>74</v>
      </c>
      <c r="AR591" s="1" t="s">
        <v>12099</v>
      </c>
      <c r="AS591" s="1" t="s">
        <v>12100</v>
      </c>
      <c r="AT591" s="1" t="s">
        <v>12101</v>
      </c>
      <c r="AU591" s="1">
        <v>2024.0</v>
      </c>
      <c r="AV591" s="1" t="s">
        <v>74</v>
      </c>
      <c r="AW591" s="1" t="s">
        <v>74</v>
      </c>
      <c r="AX591" s="1" t="s">
        <v>74</v>
      </c>
      <c r="AY591" s="1" t="s">
        <v>74</v>
      </c>
      <c r="AZ591" s="1" t="s">
        <v>74</v>
      </c>
      <c r="BA591" s="1" t="s">
        <v>74</v>
      </c>
      <c r="BB591" s="1" t="s">
        <v>74</v>
      </c>
      <c r="BC591" s="1" t="s">
        <v>74</v>
      </c>
      <c r="BD591" s="1" t="s">
        <v>74</v>
      </c>
      <c r="BE591" s="1" t="s">
        <v>12102</v>
      </c>
      <c r="BF591" s="2" t="str">
        <f>HYPERLINK("http://dx.doi.org/10.1111/jocn.17562","http://dx.doi.org/10.1111/jocn.17562")</f>
        <v>http://dx.doi.org/10.1111/jocn.17562</v>
      </c>
      <c r="BG591" s="1" t="s">
        <v>74</v>
      </c>
      <c r="BH591" s="1" t="s">
        <v>499</v>
      </c>
      <c r="BI591" s="1">
        <v>9.0</v>
      </c>
      <c r="BJ591" s="1" t="s">
        <v>1578</v>
      </c>
      <c r="BK591" s="1" t="s">
        <v>783</v>
      </c>
      <c r="BL591" s="1" t="s">
        <v>1578</v>
      </c>
      <c r="BM591" s="1" t="s">
        <v>12103</v>
      </c>
      <c r="BN591" s="1">
        <v>3.9558522E7</v>
      </c>
      <c r="BO591" s="1" t="s">
        <v>74</v>
      </c>
      <c r="BP591" s="1" t="s">
        <v>74</v>
      </c>
      <c r="BQ591" s="1" t="s">
        <v>74</v>
      </c>
      <c r="BR591" s="1" t="s">
        <v>102</v>
      </c>
      <c r="BS591" s="1" t="s">
        <v>12104</v>
      </c>
      <c r="BT591" s="1" t="str">
        <f>HYPERLINK("https%3A%2F%2Fwww.webofscience.com%2Fwos%2Fwoscc%2Ffull-record%2FWOS:001359170900001","View Full Record in Web of Science")</f>
        <v>View Full Record in Web of Science</v>
      </c>
    </row>
    <row r="592" ht="12.75" customHeight="1">
      <c r="A592" s="1" t="s">
        <v>132</v>
      </c>
      <c r="B592" s="1" t="s">
        <v>12105</v>
      </c>
      <c r="C592" s="1" t="s">
        <v>74</v>
      </c>
      <c r="D592" s="1" t="s">
        <v>74</v>
      </c>
      <c r="E592" s="1" t="s">
        <v>74</v>
      </c>
      <c r="F592" s="1" t="s">
        <v>12106</v>
      </c>
      <c r="G592" s="1" t="s">
        <v>74</v>
      </c>
      <c r="H592" s="1" t="s">
        <v>74</v>
      </c>
      <c r="I592" s="1" t="s">
        <v>12107</v>
      </c>
      <c r="J592" s="1" t="s">
        <v>12108</v>
      </c>
      <c r="K592" s="1" t="s">
        <v>74</v>
      </c>
      <c r="L592" s="1" t="s">
        <v>74</v>
      </c>
      <c r="M592" s="1" t="s">
        <v>80</v>
      </c>
      <c r="N592" s="1" t="s">
        <v>136</v>
      </c>
      <c r="O592" s="1" t="s">
        <v>74</v>
      </c>
      <c r="P592" s="1" t="s">
        <v>74</v>
      </c>
      <c r="Q592" s="1" t="s">
        <v>74</v>
      </c>
      <c r="R592" s="1" t="s">
        <v>74</v>
      </c>
      <c r="S592" s="1" t="s">
        <v>74</v>
      </c>
      <c r="T592" s="1" t="s">
        <v>12109</v>
      </c>
      <c r="U592" s="1" t="s">
        <v>12110</v>
      </c>
      <c r="V592" s="1" t="s">
        <v>12111</v>
      </c>
      <c r="W592" s="1" t="s">
        <v>12112</v>
      </c>
      <c r="X592" s="1" t="s">
        <v>12113</v>
      </c>
      <c r="Y592" s="1" t="s">
        <v>12114</v>
      </c>
      <c r="Z592" s="1" t="s">
        <v>12115</v>
      </c>
      <c r="AA592" s="1" t="s">
        <v>12116</v>
      </c>
      <c r="AB592" s="1" t="s">
        <v>12117</v>
      </c>
      <c r="AC592" s="1" t="s">
        <v>12118</v>
      </c>
      <c r="AD592" s="1" t="s">
        <v>12119</v>
      </c>
      <c r="AE592" s="1" t="s">
        <v>12120</v>
      </c>
      <c r="AF592" s="1" t="s">
        <v>74</v>
      </c>
      <c r="AG592" s="1">
        <v>207.0</v>
      </c>
      <c r="AH592" s="1">
        <v>22.0</v>
      </c>
      <c r="AI592" s="1">
        <v>22.0</v>
      </c>
      <c r="AJ592" s="1">
        <v>8.0</v>
      </c>
      <c r="AK592" s="1">
        <v>79.0</v>
      </c>
      <c r="AL592" s="1" t="s">
        <v>1089</v>
      </c>
      <c r="AM592" s="1" t="s">
        <v>1090</v>
      </c>
      <c r="AN592" s="1" t="s">
        <v>1091</v>
      </c>
      <c r="AO592" s="1" t="s">
        <v>12121</v>
      </c>
      <c r="AP592" s="1" t="s">
        <v>12122</v>
      </c>
      <c r="AQ592" s="1" t="s">
        <v>74</v>
      </c>
      <c r="AR592" s="1" t="s">
        <v>12123</v>
      </c>
      <c r="AS592" s="1" t="s">
        <v>12124</v>
      </c>
      <c r="AT592" s="1" t="s">
        <v>1279</v>
      </c>
      <c r="AU592" s="1">
        <v>2022.0</v>
      </c>
      <c r="AV592" s="1">
        <v>163.0</v>
      </c>
      <c r="AW592" s="1" t="s">
        <v>74</v>
      </c>
      <c r="AX592" s="1" t="s">
        <v>74</v>
      </c>
      <c r="AY592" s="1" t="s">
        <v>74</v>
      </c>
      <c r="AZ592" s="1" t="s">
        <v>74</v>
      </c>
      <c r="BA592" s="1" t="s">
        <v>74</v>
      </c>
      <c r="BB592" s="1" t="s">
        <v>74</v>
      </c>
      <c r="BC592" s="1" t="s">
        <v>74</v>
      </c>
      <c r="BD592" s="1">
        <v>112459.0</v>
      </c>
      <c r="BE592" s="1" t="s">
        <v>12125</v>
      </c>
      <c r="BF592" s="2" t="str">
        <f>HYPERLINK("http://dx.doi.org/10.1016/j.rser.2022.112459","http://dx.doi.org/10.1016/j.rser.2022.112459")</f>
        <v>http://dx.doi.org/10.1016/j.rser.2022.112459</v>
      </c>
      <c r="BG592" s="1" t="s">
        <v>74</v>
      </c>
      <c r="BH592" s="1" t="s">
        <v>1366</v>
      </c>
      <c r="BI592" s="1">
        <v>18.0</v>
      </c>
      <c r="BJ592" s="1" t="s">
        <v>12126</v>
      </c>
      <c r="BK592" s="1" t="s">
        <v>149</v>
      </c>
      <c r="BL592" s="1" t="s">
        <v>12127</v>
      </c>
      <c r="BM592" s="1" t="s">
        <v>12128</v>
      </c>
      <c r="BN592" s="1" t="s">
        <v>74</v>
      </c>
      <c r="BO592" s="1" t="s">
        <v>3027</v>
      </c>
      <c r="BP592" s="1" t="s">
        <v>74</v>
      </c>
      <c r="BQ592" s="1" t="s">
        <v>74</v>
      </c>
      <c r="BR592" s="1" t="s">
        <v>102</v>
      </c>
      <c r="BS592" s="1" t="s">
        <v>12129</v>
      </c>
      <c r="BT592" s="1" t="str">
        <f>HYPERLINK("https%3A%2F%2Fwww.webofscience.com%2Fwos%2Fwoscc%2Ffull-record%2FWOS:000798469500001","View Full Record in Web of Science")</f>
        <v>View Full Record in Web of Science</v>
      </c>
    </row>
    <row r="593" ht="12.75" customHeight="1">
      <c r="A593" s="1" t="s">
        <v>132</v>
      </c>
      <c r="B593" s="1" t="s">
        <v>12130</v>
      </c>
      <c r="C593" s="1" t="s">
        <v>74</v>
      </c>
      <c r="D593" s="1" t="s">
        <v>74</v>
      </c>
      <c r="E593" s="1" t="s">
        <v>74</v>
      </c>
      <c r="F593" s="1" t="s">
        <v>12131</v>
      </c>
      <c r="G593" s="1" t="s">
        <v>74</v>
      </c>
      <c r="H593" s="1" t="s">
        <v>74</v>
      </c>
      <c r="I593" s="1" t="s">
        <v>12132</v>
      </c>
      <c r="J593" s="1" t="s">
        <v>12133</v>
      </c>
      <c r="K593" s="1" t="s">
        <v>74</v>
      </c>
      <c r="L593" s="1" t="s">
        <v>74</v>
      </c>
      <c r="M593" s="1" t="s">
        <v>80</v>
      </c>
      <c r="N593" s="1" t="s">
        <v>136</v>
      </c>
      <c r="O593" s="1" t="s">
        <v>74</v>
      </c>
      <c r="P593" s="1" t="s">
        <v>74</v>
      </c>
      <c r="Q593" s="1" t="s">
        <v>74</v>
      </c>
      <c r="R593" s="1" t="s">
        <v>74</v>
      </c>
      <c r="S593" s="1" t="s">
        <v>74</v>
      </c>
      <c r="T593" s="1" t="s">
        <v>12134</v>
      </c>
      <c r="U593" s="1" t="s">
        <v>12135</v>
      </c>
      <c r="V593" s="1" t="s">
        <v>12136</v>
      </c>
      <c r="W593" s="1" t="s">
        <v>12137</v>
      </c>
      <c r="X593" s="1" t="s">
        <v>12138</v>
      </c>
      <c r="Y593" s="1" t="s">
        <v>12139</v>
      </c>
      <c r="Z593" s="1" t="s">
        <v>12140</v>
      </c>
      <c r="AA593" s="1" t="s">
        <v>12141</v>
      </c>
      <c r="AB593" s="1" t="s">
        <v>74</v>
      </c>
      <c r="AC593" s="1" t="s">
        <v>74</v>
      </c>
      <c r="AD593" s="1" t="s">
        <v>74</v>
      </c>
      <c r="AE593" s="1" t="s">
        <v>74</v>
      </c>
      <c r="AF593" s="1" t="s">
        <v>74</v>
      </c>
      <c r="AG593" s="1">
        <v>59.0</v>
      </c>
      <c r="AH593" s="1">
        <v>4.0</v>
      </c>
      <c r="AI593" s="1">
        <v>4.0</v>
      </c>
      <c r="AJ593" s="1">
        <v>5.0</v>
      </c>
      <c r="AK593" s="1">
        <v>33.0</v>
      </c>
      <c r="AL593" s="1" t="s">
        <v>595</v>
      </c>
      <c r="AM593" s="1" t="s">
        <v>467</v>
      </c>
      <c r="AN593" s="1" t="s">
        <v>596</v>
      </c>
      <c r="AO593" s="1" t="s">
        <v>12142</v>
      </c>
      <c r="AP593" s="1" t="s">
        <v>12143</v>
      </c>
      <c r="AQ593" s="1" t="s">
        <v>74</v>
      </c>
      <c r="AR593" s="1" t="s">
        <v>12144</v>
      </c>
      <c r="AS593" s="1" t="s">
        <v>12145</v>
      </c>
      <c r="AT593" s="1" t="s">
        <v>6411</v>
      </c>
      <c r="AU593" s="1">
        <v>2021.0</v>
      </c>
      <c r="AV593" s="1">
        <v>15.0</v>
      </c>
      <c r="AW593" s="1">
        <v>1.0</v>
      </c>
      <c r="AX593" s="1" t="s">
        <v>74</v>
      </c>
      <c r="AY593" s="1" t="s">
        <v>74</v>
      </c>
      <c r="AZ593" s="1" t="s">
        <v>74</v>
      </c>
      <c r="BA593" s="1" t="s">
        <v>74</v>
      </c>
      <c r="BB593" s="1">
        <v>27.0</v>
      </c>
      <c r="BC593" s="1">
        <v>45.0</v>
      </c>
      <c r="BD593" s="1" t="s">
        <v>74</v>
      </c>
      <c r="BE593" s="1" t="s">
        <v>12146</v>
      </c>
      <c r="BF593" s="2" t="str">
        <f>HYPERLINK("http://dx.doi.org/10.1080/09737766.2021.1938742","http://dx.doi.org/10.1080/09737766.2021.1938742")</f>
        <v>http://dx.doi.org/10.1080/09737766.2021.1938742</v>
      </c>
      <c r="BG593" s="1" t="s">
        <v>74</v>
      </c>
      <c r="BH593" s="1" t="s">
        <v>74</v>
      </c>
      <c r="BI593" s="1">
        <v>19.0</v>
      </c>
      <c r="BJ593" s="1" t="s">
        <v>358</v>
      </c>
      <c r="BK593" s="1" t="s">
        <v>172</v>
      </c>
      <c r="BL593" s="1" t="s">
        <v>358</v>
      </c>
      <c r="BM593" s="1" t="s">
        <v>12147</v>
      </c>
      <c r="BN593" s="1" t="s">
        <v>74</v>
      </c>
      <c r="BO593" s="1" t="s">
        <v>74</v>
      </c>
      <c r="BP593" s="1" t="s">
        <v>74</v>
      </c>
      <c r="BQ593" s="1" t="s">
        <v>74</v>
      </c>
      <c r="BR593" s="1" t="s">
        <v>102</v>
      </c>
      <c r="BS593" s="1" t="s">
        <v>12148</v>
      </c>
      <c r="BT593" s="1" t="str">
        <f>HYPERLINK("https%3A%2F%2Fwww.webofscience.com%2Fwos%2Fwoscc%2Ffull-record%2FWOS:000673096200003","View Full Record in Web of Science")</f>
        <v>View Full Record in Web of Science</v>
      </c>
    </row>
    <row r="594" ht="12.75" customHeight="1">
      <c r="A594" s="1" t="s">
        <v>132</v>
      </c>
      <c r="B594" s="1" t="s">
        <v>12149</v>
      </c>
      <c r="C594" s="1" t="s">
        <v>74</v>
      </c>
      <c r="D594" s="1" t="s">
        <v>74</v>
      </c>
      <c r="E594" s="1" t="s">
        <v>74</v>
      </c>
      <c r="F594" s="1" t="s">
        <v>12150</v>
      </c>
      <c r="G594" s="1" t="s">
        <v>74</v>
      </c>
      <c r="H594" s="1" t="s">
        <v>74</v>
      </c>
      <c r="I594" s="1" t="s">
        <v>12151</v>
      </c>
      <c r="J594" s="1" t="s">
        <v>12152</v>
      </c>
      <c r="K594" s="1" t="s">
        <v>74</v>
      </c>
      <c r="L594" s="1" t="s">
        <v>74</v>
      </c>
      <c r="M594" s="1" t="s">
        <v>80</v>
      </c>
      <c r="N594" s="1" t="s">
        <v>136</v>
      </c>
      <c r="O594" s="1" t="s">
        <v>74</v>
      </c>
      <c r="P594" s="1" t="s">
        <v>74</v>
      </c>
      <c r="Q594" s="1" t="s">
        <v>74</v>
      </c>
      <c r="R594" s="1" t="s">
        <v>74</v>
      </c>
      <c r="S594" s="1" t="s">
        <v>74</v>
      </c>
      <c r="T594" s="1" t="s">
        <v>12153</v>
      </c>
      <c r="U594" s="1" t="s">
        <v>74</v>
      </c>
      <c r="V594" s="1" t="s">
        <v>12154</v>
      </c>
      <c r="W594" s="1" t="s">
        <v>12155</v>
      </c>
      <c r="X594" s="1" t="s">
        <v>12156</v>
      </c>
      <c r="Y594" s="1" t="s">
        <v>12157</v>
      </c>
      <c r="Z594" s="1" t="s">
        <v>12158</v>
      </c>
      <c r="AA594" s="1" t="s">
        <v>12159</v>
      </c>
      <c r="AB594" s="1" t="s">
        <v>74</v>
      </c>
      <c r="AC594" s="1" t="s">
        <v>74</v>
      </c>
      <c r="AD594" s="1" t="s">
        <v>74</v>
      </c>
      <c r="AE594" s="1" t="s">
        <v>74</v>
      </c>
      <c r="AF594" s="1" t="s">
        <v>74</v>
      </c>
      <c r="AG594" s="1">
        <v>40.0</v>
      </c>
      <c r="AH594" s="1">
        <v>0.0</v>
      </c>
      <c r="AI594" s="1">
        <v>0.0</v>
      </c>
      <c r="AJ594" s="1">
        <v>11.0</v>
      </c>
      <c r="AK594" s="1">
        <v>11.0</v>
      </c>
      <c r="AL594" s="1" t="s">
        <v>12160</v>
      </c>
      <c r="AM594" s="1" t="s">
        <v>12161</v>
      </c>
      <c r="AN594" s="1" t="s">
        <v>12162</v>
      </c>
      <c r="AO594" s="1" t="s">
        <v>12163</v>
      </c>
      <c r="AP594" s="1" t="s">
        <v>74</v>
      </c>
      <c r="AQ594" s="1" t="s">
        <v>74</v>
      </c>
      <c r="AR594" s="1" t="s">
        <v>12164</v>
      </c>
      <c r="AS594" s="1" t="s">
        <v>12165</v>
      </c>
      <c r="AT594" s="1" t="s">
        <v>74</v>
      </c>
      <c r="AU594" s="1">
        <v>2024.0</v>
      </c>
      <c r="AV594" s="1">
        <v>71.0</v>
      </c>
      <c r="AW594" s="1">
        <v>3.0</v>
      </c>
      <c r="AX594" s="1" t="s">
        <v>74</v>
      </c>
      <c r="AY594" s="1" t="s">
        <v>74</v>
      </c>
      <c r="AZ594" s="1" t="s">
        <v>74</v>
      </c>
      <c r="BA594" s="1" t="s">
        <v>74</v>
      </c>
      <c r="BB594" s="1">
        <v>957.0</v>
      </c>
      <c r="BC594" s="1">
        <v>971.0</v>
      </c>
      <c r="BD594" s="1" t="s">
        <v>74</v>
      </c>
      <c r="BE594" s="1" t="s">
        <v>12166</v>
      </c>
      <c r="BF594" s="2" t="str">
        <f>HYPERLINK("http://dx.doi.org/10.59267/ekoPolj2403957S","http://dx.doi.org/10.59267/ekoPolj2403957S")</f>
        <v>http://dx.doi.org/10.59267/ekoPolj2403957S</v>
      </c>
      <c r="BG594" s="1" t="s">
        <v>74</v>
      </c>
      <c r="BH594" s="1" t="s">
        <v>74</v>
      </c>
      <c r="BI594" s="1">
        <v>15.0</v>
      </c>
      <c r="BJ594" s="1" t="s">
        <v>12167</v>
      </c>
      <c r="BK594" s="1" t="s">
        <v>172</v>
      </c>
      <c r="BL594" s="1" t="s">
        <v>10870</v>
      </c>
      <c r="BM594" s="1" t="s">
        <v>12168</v>
      </c>
      <c r="BN594" s="1" t="s">
        <v>74</v>
      </c>
      <c r="BO594" s="1" t="s">
        <v>174</v>
      </c>
      <c r="BP594" s="1" t="s">
        <v>74</v>
      </c>
      <c r="BQ594" s="1" t="s">
        <v>74</v>
      </c>
      <c r="BR594" s="1" t="s">
        <v>102</v>
      </c>
      <c r="BS594" s="1" t="s">
        <v>12169</v>
      </c>
      <c r="BT594" s="1" t="str">
        <f>HYPERLINK("https%3A%2F%2Fwww.webofscience.com%2Fwos%2Fwoscc%2Ffull-record%2FWOS:001333591700014","View Full Record in Web of Science")</f>
        <v>View Full Record in Web of Science</v>
      </c>
    </row>
    <row r="595" ht="12.75" customHeight="1">
      <c r="A595" s="1" t="s">
        <v>72</v>
      </c>
      <c r="B595" s="1" t="s">
        <v>12170</v>
      </c>
      <c r="C595" s="1" t="s">
        <v>74</v>
      </c>
      <c r="D595" s="1" t="s">
        <v>12171</v>
      </c>
      <c r="E595" s="1" t="s">
        <v>74</v>
      </c>
      <c r="F595" s="1" t="s">
        <v>12172</v>
      </c>
      <c r="G595" s="1" t="s">
        <v>74</v>
      </c>
      <c r="H595" s="1" t="s">
        <v>74</v>
      </c>
      <c r="I595" s="1" t="s">
        <v>12173</v>
      </c>
      <c r="J595" s="1" t="s">
        <v>12174</v>
      </c>
      <c r="K595" s="1" t="s">
        <v>212</v>
      </c>
      <c r="L595" s="1" t="s">
        <v>74</v>
      </c>
      <c r="M595" s="1" t="s">
        <v>80</v>
      </c>
      <c r="N595" s="1" t="s">
        <v>81</v>
      </c>
      <c r="O595" s="1" t="s">
        <v>12175</v>
      </c>
      <c r="P595" s="1" t="s">
        <v>12176</v>
      </c>
      <c r="Q595" s="1" t="s">
        <v>12177</v>
      </c>
      <c r="R595" s="1" t="s">
        <v>74</v>
      </c>
      <c r="S595" s="1" t="s">
        <v>74</v>
      </c>
      <c r="T595" s="1" t="s">
        <v>12178</v>
      </c>
      <c r="U595" s="1" t="s">
        <v>74</v>
      </c>
      <c r="V595" s="1" t="s">
        <v>12179</v>
      </c>
      <c r="W595" s="1" t="s">
        <v>12180</v>
      </c>
      <c r="X595" s="1" t="s">
        <v>12181</v>
      </c>
      <c r="Y595" s="1" t="s">
        <v>12182</v>
      </c>
      <c r="Z595" s="1" t="s">
        <v>12183</v>
      </c>
      <c r="AA595" s="1" t="s">
        <v>74</v>
      </c>
      <c r="AB595" s="1" t="s">
        <v>74</v>
      </c>
      <c r="AC595" s="1" t="s">
        <v>74</v>
      </c>
      <c r="AD595" s="1" t="s">
        <v>74</v>
      </c>
      <c r="AE595" s="1" t="s">
        <v>74</v>
      </c>
      <c r="AF595" s="1" t="s">
        <v>74</v>
      </c>
      <c r="AG595" s="1">
        <v>13.0</v>
      </c>
      <c r="AH595" s="1">
        <v>3.0</v>
      </c>
      <c r="AI595" s="1">
        <v>4.0</v>
      </c>
      <c r="AJ595" s="1">
        <v>1.0</v>
      </c>
      <c r="AK595" s="1">
        <v>11.0</v>
      </c>
      <c r="AL595" s="1" t="s">
        <v>9605</v>
      </c>
      <c r="AM595" s="1" t="s">
        <v>822</v>
      </c>
      <c r="AN595" s="1" t="s">
        <v>9606</v>
      </c>
      <c r="AO595" s="1" t="s">
        <v>226</v>
      </c>
      <c r="AP595" s="1" t="s">
        <v>227</v>
      </c>
      <c r="AQ595" s="1" t="s">
        <v>12184</v>
      </c>
      <c r="AR595" s="1" t="s">
        <v>4988</v>
      </c>
      <c r="AS595" s="1" t="s">
        <v>74</v>
      </c>
      <c r="AT595" s="1" t="s">
        <v>74</v>
      </c>
      <c r="AU595" s="1">
        <v>2015.0</v>
      </c>
      <c r="AV595" s="1">
        <v>347.0</v>
      </c>
      <c r="AW595" s="1" t="s">
        <v>74</v>
      </c>
      <c r="AX595" s="1" t="s">
        <v>74</v>
      </c>
      <c r="AY595" s="1" t="s">
        <v>74</v>
      </c>
      <c r="AZ595" s="1" t="s">
        <v>74</v>
      </c>
      <c r="BA595" s="1" t="s">
        <v>74</v>
      </c>
      <c r="BB595" s="1">
        <v>215.0</v>
      </c>
      <c r="BC595" s="1">
        <v>224.0</v>
      </c>
      <c r="BD595" s="1" t="s">
        <v>74</v>
      </c>
      <c r="BE595" s="1" t="s">
        <v>12185</v>
      </c>
      <c r="BF595" s="2" t="str">
        <f>HYPERLINK("http://dx.doi.org/10.1007/978-3-319-18476-0_22","http://dx.doi.org/10.1007/978-3-319-18476-0_22")</f>
        <v>http://dx.doi.org/10.1007/978-3-319-18476-0_22</v>
      </c>
      <c r="BG595" s="1" t="s">
        <v>74</v>
      </c>
      <c r="BH595" s="1" t="s">
        <v>74</v>
      </c>
      <c r="BI595" s="1">
        <v>10.0</v>
      </c>
      <c r="BJ595" s="1" t="s">
        <v>231</v>
      </c>
      <c r="BK595" s="1" t="s">
        <v>128</v>
      </c>
      <c r="BL595" s="1" t="s">
        <v>232</v>
      </c>
      <c r="BM595" s="1" t="s">
        <v>12186</v>
      </c>
      <c r="BN595" s="1" t="s">
        <v>74</v>
      </c>
      <c r="BO595" s="1" t="s">
        <v>74</v>
      </c>
      <c r="BP595" s="1" t="s">
        <v>74</v>
      </c>
      <c r="BQ595" s="1" t="s">
        <v>74</v>
      </c>
      <c r="BR595" s="1" t="s">
        <v>102</v>
      </c>
      <c r="BS595" s="1" t="s">
        <v>12187</v>
      </c>
      <c r="BT595" s="1" t="str">
        <f>HYPERLINK("https%3A%2F%2Fwww.webofscience.com%2Fwos%2Fwoscc%2Ffull-record%2FWOS:000371407800022","View Full Record in Web of Science")</f>
        <v>View Full Record in Web of Science</v>
      </c>
    </row>
    <row r="596" ht="12.75" customHeight="1">
      <c r="A596" s="1" t="s">
        <v>132</v>
      </c>
      <c r="B596" s="1" t="s">
        <v>12188</v>
      </c>
      <c r="C596" s="1" t="s">
        <v>74</v>
      </c>
      <c r="D596" s="1" t="s">
        <v>74</v>
      </c>
      <c r="E596" s="1" t="s">
        <v>74</v>
      </c>
      <c r="F596" s="1" t="s">
        <v>12189</v>
      </c>
      <c r="G596" s="1" t="s">
        <v>74</v>
      </c>
      <c r="H596" s="1" t="s">
        <v>74</v>
      </c>
      <c r="I596" s="1" t="s">
        <v>12190</v>
      </c>
      <c r="J596" s="1" t="s">
        <v>5960</v>
      </c>
      <c r="K596" s="1" t="s">
        <v>74</v>
      </c>
      <c r="L596" s="1" t="s">
        <v>74</v>
      </c>
      <c r="M596" s="1" t="s">
        <v>80</v>
      </c>
      <c r="N596" s="1" t="s">
        <v>136</v>
      </c>
      <c r="O596" s="1" t="s">
        <v>74</v>
      </c>
      <c r="P596" s="1" t="s">
        <v>74</v>
      </c>
      <c r="Q596" s="1" t="s">
        <v>74</v>
      </c>
      <c r="R596" s="1" t="s">
        <v>74</v>
      </c>
      <c r="S596" s="1" t="s">
        <v>74</v>
      </c>
      <c r="T596" s="1" t="s">
        <v>12191</v>
      </c>
      <c r="U596" s="1" t="s">
        <v>12192</v>
      </c>
      <c r="V596" s="1" t="s">
        <v>12193</v>
      </c>
      <c r="W596" s="1" t="s">
        <v>12194</v>
      </c>
      <c r="X596" s="1" t="s">
        <v>12195</v>
      </c>
      <c r="Y596" s="1" t="s">
        <v>12196</v>
      </c>
      <c r="Z596" s="1" t="s">
        <v>12197</v>
      </c>
      <c r="AA596" s="1" t="s">
        <v>74</v>
      </c>
      <c r="AB596" s="1" t="s">
        <v>12198</v>
      </c>
      <c r="AC596" s="1" t="s">
        <v>74</v>
      </c>
      <c r="AD596" s="1" t="s">
        <v>74</v>
      </c>
      <c r="AE596" s="1" t="s">
        <v>74</v>
      </c>
      <c r="AF596" s="1" t="s">
        <v>74</v>
      </c>
      <c r="AG596" s="1">
        <v>80.0</v>
      </c>
      <c r="AH596" s="1">
        <v>26.0</v>
      </c>
      <c r="AI596" s="1">
        <v>27.0</v>
      </c>
      <c r="AJ596" s="1">
        <v>30.0</v>
      </c>
      <c r="AK596" s="1">
        <v>156.0</v>
      </c>
      <c r="AL596" s="1" t="s">
        <v>2745</v>
      </c>
      <c r="AM596" s="1" t="s">
        <v>2746</v>
      </c>
      <c r="AN596" s="1" t="s">
        <v>2747</v>
      </c>
      <c r="AO596" s="1" t="s">
        <v>5971</v>
      </c>
      <c r="AP596" s="1" t="s">
        <v>5972</v>
      </c>
      <c r="AQ596" s="1" t="s">
        <v>74</v>
      </c>
      <c r="AR596" s="1" t="s">
        <v>5960</v>
      </c>
      <c r="AS596" s="1" t="s">
        <v>5973</v>
      </c>
      <c r="AT596" s="1" t="s">
        <v>1301</v>
      </c>
      <c r="AU596" s="1">
        <v>2022.0</v>
      </c>
      <c r="AV596" s="1">
        <v>136.0</v>
      </c>
      <c r="AW596" s="1" t="s">
        <v>74</v>
      </c>
      <c r="AX596" s="1" t="s">
        <v>74</v>
      </c>
      <c r="AY596" s="1" t="s">
        <v>74</v>
      </c>
      <c r="AZ596" s="1" t="s">
        <v>74</v>
      </c>
      <c r="BA596" s="1" t="s">
        <v>74</v>
      </c>
      <c r="BB596" s="1" t="s">
        <v>74</v>
      </c>
      <c r="BC596" s="1" t="s">
        <v>74</v>
      </c>
      <c r="BD596" s="1">
        <v>102886.0</v>
      </c>
      <c r="BE596" s="1" t="s">
        <v>12199</v>
      </c>
      <c r="BF596" s="2" t="str">
        <f>HYPERLINK("http://dx.doi.org/10.1016/j.futures.2021.102886","http://dx.doi.org/10.1016/j.futures.2021.102886")</f>
        <v>http://dx.doi.org/10.1016/j.futures.2021.102886</v>
      </c>
      <c r="BG596" s="1" t="s">
        <v>74</v>
      </c>
      <c r="BH596" s="1" t="s">
        <v>4192</v>
      </c>
      <c r="BI596" s="1">
        <v>11.0</v>
      </c>
      <c r="BJ596" s="1" t="s">
        <v>5975</v>
      </c>
      <c r="BK596" s="1" t="s">
        <v>203</v>
      </c>
      <c r="BL596" s="1" t="s">
        <v>4615</v>
      </c>
      <c r="BM596" s="1" t="s">
        <v>12200</v>
      </c>
      <c r="BN596" s="1" t="s">
        <v>74</v>
      </c>
      <c r="BO596" s="1" t="s">
        <v>74</v>
      </c>
      <c r="BP596" s="1" t="s">
        <v>74</v>
      </c>
      <c r="BQ596" s="1" t="s">
        <v>74</v>
      </c>
      <c r="BR596" s="1" t="s">
        <v>102</v>
      </c>
      <c r="BS596" s="1" t="s">
        <v>12201</v>
      </c>
      <c r="BT596" s="1" t="str">
        <f>HYPERLINK("https%3A%2F%2Fwww.webofscience.com%2Fwos%2Fwoscc%2Ffull-record%2FWOS:000736568200003","View Full Record in Web of Science")</f>
        <v>View Full Record in Web of Science</v>
      </c>
    </row>
    <row r="597" ht="12.75" customHeight="1">
      <c r="A597" s="1" t="s">
        <v>132</v>
      </c>
      <c r="B597" s="1" t="s">
        <v>12202</v>
      </c>
      <c r="C597" s="1" t="s">
        <v>74</v>
      </c>
      <c r="D597" s="1" t="s">
        <v>74</v>
      </c>
      <c r="E597" s="1" t="s">
        <v>74</v>
      </c>
      <c r="F597" s="1" t="s">
        <v>12203</v>
      </c>
      <c r="G597" s="1" t="s">
        <v>74</v>
      </c>
      <c r="H597" s="1" t="s">
        <v>74</v>
      </c>
      <c r="I597" s="1" t="s">
        <v>12204</v>
      </c>
      <c r="J597" s="1" t="s">
        <v>263</v>
      </c>
      <c r="K597" s="1" t="s">
        <v>74</v>
      </c>
      <c r="L597" s="1" t="s">
        <v>74</v>
      </c>
      <c r="M597" s="1" t="s">
        <v>80</v>
      </c>
      <c r="N597" s="1" t="s">
        <v>1010</v>
      </c>
      <c r="O597" s="1" t="s">
        <v>74</v>
      </c>
      <c r="P597" s="1" t="s">
        <v>74</v>
      </c>
      <c r="Q597" s="1" t="s">
        <v>74</v>
      </c>
      <c r="R597" s="1" t="s">
        <v>74</v>
      </c>
      <c r="S597" s="1" t="s">
        <v>74</v>
      </c>
      <c r="T597" s="1" t="s">
        <v>12205</v>
      </c>
      <c r="U597" s="1" t="s">
        <v>12206</v>
      </c>
      <c r="V597" s="1" t="s">
        <v>12207</v>
      </c>
      <c r="W597" s="1" t="s">
        <v>12208</v>
      </c>
      <c r="X597" s="1" t="s">
        <v>12209</v>
      </c>
      <c r="Y597" s="1" t="s">
        <v>12210</v>
      </c>
      <c r="Z597" s="1" t="s">
        <v>10017</v>
      </c>
      <c r="AA597" s="1" t="s">
        <v>12211</v>
      </c>
      <c r="AB597" s="1" t="s">
        <v>12212</v>
      </c>
      <c r="AC597" s="1" t="s">
        <v>12213</v>
      </c>
      <c r="AD597" s="1" t="s">
        <v>12214</v>
      </c>
      <c r="AE597" s="1" t="s">
        <v>12215</v>
      </c>
      <c r="AF597" s="1" t="s">
        <v>74</v>
      </c>
      <c r="AG597" s="1">
        <v>85.0</v>
      </c>
      <c r="AH597" s="1">
        <v>33.0</v>
      </c>
      <c r="AI597" s="1">
        <v>34.0</v>
      </c>
      <c r="AJ597" s="1">
        <v>11.0</v>
      </c>
      <c r="AK597" s="1">
        <v>68.0</v>
      </c>
      <c r="AL597" s="1" t="s">
        <v>275</v>
      </c>
      <c r="AM597" s="1" t="s">
        <v>276</v>
      </c>
      <c r="AN597" s="1" t="s">
        <v>277</v>
      </c>
      <c r="AO597" s="1" t="s">
        <v>74</v>
      </c>
      <c r="AP597" s="1" t="s">
        <v>278</v>
      </c>
      <c r="AQ597" s="1" t="s">
        <v>74</v>
      </c>
      <c r="AR597" s="1" t="s">
        <v>279</v>
      </c>
      <c r="AS597" s="1" t="s">
        <v>280</v>
      </c>
      <c r="AT597" s="1" t="s">
        <v>74</v>
      </c>
      <c r="AU597" s="1">
        <v>2021.0</v>
      </c>
      <c r="AV597" s="1">
        <v>4.0</v>
      </c>
      <c r="AW597" s="1" t="s">
        <v>74</v>
      </c>
      <c r="AX597" s="1" t="s">
        <v>74</v>
      </c>
      <c r="AY597" s="1" t="s">
        <v>74</v>
      </c>
      <c r="AZ597" s="1" t="s">
        <v>74</v>
      </c>
      <c r="BA597" s="1" t="s">
        <v>74</v>
      </c>
      <c r="BB597" s="1" t="s">
        <v>74</v>
      </c>
      <c r="BC597" s="1" t="s">
        <v>74</v>
      </c>
      <c r="BD597" s="1">
        <v>736697.0</v>
      </c>
      <c r="BE597" s="1" t="s">
        <v>12216</v>
      </c>
      <c r="BF597" s="2" t="str">
        <f>HYPERLINK("http://dx.doi.org/10.3389/frai.2021.736697","http://dx.doi.org/10.3389/frai.2021.736697")</f>
        <v>http://dx.doi.org/10.3389/frai.2021.736697</v>
      </c>
      <c r="BG597" s="1" t="s">
        <v>74</v>
      </c>
      <c r="BH597" s="1" t="s">
        <v>74</v>
      </c>
      <c r="BI597" s="1">
        <v>16.0</v>
      </c>
      <c r="BJ597" s="1" t="s">
        <v>282</v>
      </c>
      <c r="BK597" s="1" t="s">
        <v>172</v>
      </c>
      <c r="BL597" s="1" t="s">
        <v>232</v>
      </c>
      <c r="BM597" s="1" t="s">
        <v>283</v>
      </c>
      <c r="BN597" s="1">
        <v>3.4796318E7</v>
      </c>
      <c r="BO597" s="1" t="s">
        <v>1161</v>
      </c>
      <c r="BP597" s="1" t="s">
        <v>74</v>
      </c>
      <c r="BQ597" s="1" t="s">
        <v>74</v>
      </c>
      <c r="BR597" s="1" t="s">
        <v>102</v>
      </c>
      <c r="BS597" s="1" t="s">
        <v>12217</v>
      </c>
      <c r="BT597" s="1" t="str">
        <f>HYPERLINK("https%3A%2F%2Fwww.webofscience.com%2Fwos%2Fwoscc%2Ffull-record%2FWOS:000751704800151","View Full Record in Web of Science")</f>
        <v>View Full Record in Web of Science</v>
      </c>
    </row>
    <row r="598" ht="12.75" customHeight="1">
      <c r="A598" s="1" t="s">
        <v>132</v>
      </c>
      <c r="B598" s="1" t="s">
        <v>12218</v>
      </c>
      <c r="C598" s="1" t="s">
        <v>74</v>
      </c>
      <c r="D598" s="1" t="s">
        <v>74</v>
      </c>
      <c r="E598" s="1" t="s">
        <v>74</v>
      </c>
      <c r="F598" s="1" t="s">
        <v>12219</v>
      </c>
      <c r="G598" s="1" t="s">
        <v>74</v>
      </c>
      <c r="H598" s="1" t="s">
        <v>74</v>
      </c>
      <c r="I598" s="1" t="s">
        <v>12220</v>
      </c>
      <c r="J598" s="1" t="s">
        <v>12221</v>
      </c>
      <c r="K598" s="1" t="s">
        <v>74</v>
      </c>
      <c r="L598" s="1" t="s">
        <v>74</v>
      </c>
      <c r="M598" s="1" t="s">
        <v>80</v>
      </c>
      <c r="N598" s="1" t="s">
        <v>136</v>
      </c>
      <c r="O598" s="1" t="s">
        <v>74</v>
      </c>
      <c r="P598" s="1" t="s">
        <v>74</v>
      </c>
      <c r="Q598" s="1" t="s">
        <v>74</v>
      </c>
      <c r="R598" s="1" t="s">
        <v>74</v>
      </c>
      <c r="S598" s="1" t="s">
        <v>74</v>
      </c>
      <c r="T598" s="1" t="s">
        <v>12222</v>
      </c>
      <c r="U598" s="1" t="s">
        <v>12223</v>
      </c>
      <c r="V598" s="1" t="s">
        <v>12224</v>
      </c>
      <c r="W598" s="1" t="s">
        <v>12225</v>
      </c>
      <c r="X598" s="1" t="s">
        <v>12226</v>
      </c>
      <c r="Y598" s="1" t="s">
        <v>12227</v>
      </c>
      <c r="Z598" s="1" t="s">
        <v>12228</v>
      </c>
      <c r="AA598" s="1" t="s">
        <v>74</v>
      </c>
      <c r="AB598" s="1" t="s">
        <v>12229</v>
      </c>
      <c r="AC598" s="1" t="s">
        <v>74</v>
      </c>
      <c r="AD598" s="1" t="s">
        <v>74</v>
      </c>
      <c r="AE598" s="1" t="s">
        <v>12230</v>
      </c>
      <c r="AF598" s="1" t="s">
        <v>74</v>
      </c>
      <c r="AG598" s="1">
        <v>84.0</v>
      </c>
      <c r="AH598" s="1">
        <v>8.0</v>
      </c>
      <c r="AI598" s="1">
        <v>8.0</v>
      </c>
      <c r="AJ598" s="1">
        <v>3.0</v>
      </c>
      <c r="AK598" s="1">
        <v>4.0</v>
      </c>
      <c r="AL598" s="1" t="s">
        <v>1571</v>
      </c>
      <c r="AM598" s="1" t="s">
        <v>1572</v>
      </c>
      <c r="AN598" s="1" t="s">
        <v>1573</v>
      </c>
      <c r="AO598" s="1" t="s">
        <v>12231</v>
      </c>
      <c r="AP598" s="1" t="s">
        <v>74</v>
      </c>
      <c r="AQ598" s="1" t="s">
        <v>74</v>
      </c>
      <c r="AR598" s="1" t="s">
        <v>12232</v>
      </c>
      <c r="AS598" s="1" t="s">
        <v>12233</v>
      </c>
      <c r="AT598" s="1" t="s">
        <v>74</v>
      </c>
      <c r="AU598" s="1">
        <v>2022.0</v>
      </c>
      <c r="AV598" s="1">
        <v>3.0</v>
      </c>
      <c r="AW598" s="1" t="s">
        <v>74</v>
      </c>
      <c r="AX598" s="1" t="s">
        <v>74</v>
      </c>
      <c r="AY598" s="1" t="s">
        <v>74</v>
      </c>
      <c r="AZ598" s="1" t="s">
        <v>74</v>
      </c>
      <c r="BA598" s="1" t="s">
        <v>74</v>
      </c>
      <c r="BB598" s="1" t="s">
        <v>74</v>
      </c>
      <c r="BC598" s="1" t="s">
        <v>74</v>
      </c>
      <c r="BD598" s="1">
        <v>2.633489522111203E16</v>
      </c>
      <c r="BE598" s="1" t="s">
        <v>12234</v>
      </c>
      <c r="BF598" s="2" t="str">
        <f>HYPERLINK("http://dx.doi.org/10.1177/26334895221112033","http://dx.doi.org/10.1177/26334895221112033")</f>
        <v>http://dx.doi.org/10.1177/26334895221112033</v>
      </c>
      <c r="BG598" s="1" t="s">
        <v>74</v>
      </c>
      <c r="BH598" s="1" t="s">
        <v>74</v>
      </c>
      <c r="BI598" s="1">
        <v>10.0</v>
      </c>
      <c r="BJ598" s="1" t="s">
        <v>12235</v>
      </c>
      <c r="BK598" s="1" t="s">
        <v>172</v>
      </c>
      <c r="BL598" s="1" t="s">
        <v>12236</v>
      </c>
      <c r="BM598" s="1" t="s">
        <v>12237</v>
      </c>
      <c r="BN598" s="1">
        <v>3.709111E7</v>
      </c>
      <c r="BO598" s="1" t="s">
        <v>284</v>
      </c>
      <c r="BP598" s="1" t="s">
        <v>74</v>
      </c>
      <c r="BQ598" s="1" t="s">
        <v>74</v>
      </c>
      <c r="BR598" s="1" t="s">
        <v>102</v>
      </c>
      <c r="BS598" s="1" t="s">
        <v>12238</v>
      </c>
      <c r="BT598" s="1" t="str">
        <f>HYPERLINK("https%3A%2F%2Fwww.webofscience.com%2Fwos%2Fwoscc%2Ffull-record%2FWOS:001241183400028","View Full Record in Web of Science")</f>
        <v>View Full Record in Web of Science</v>
      </c>
    </row>
    <row r="599" ht="12.75" customHeight="1">
      <c r="A599" s="1" t="s">
        <v>132</v>
      </c>
      <c r="B599" s="1" t="s">
        <v>12239</v>
      </c>
      <c r="C599" s="1" t="s">
        <v>74</v>
      </c>
      <c r="D599" s="1" t="s">
        <v>74</v>
      </c>
      <c r="E599" s="1" t="s">
        <v>74</v>
      </c>
      <c r="F599" s="1" t="s">
        <v>12240</v>
      </c>
      <c r="G599" s="1" t="s">
        <v>74</v>
      </c>
      <c r="H599" s="1" t="s">
        <v>74</v>
      </c>
      <c r="I599" s="1" t="s">
        <v>12241</v>
      </c>
      <c r="J599" s="1" t="s">
        <v>12242</v>
      </c>
      <c r="K599" s="1" t="s">
        <v>74</v>
      </c>
      <c r="L599" s="1" t="s">
        <v>74</v>
      </c>
      <c r="M599" s="1" t="s">
        <v>80</v>
      </c>
      <c r="N599" s="1" t="s">
        <v>1010</v>
      </c>
      <c r="O599" s="1" t="s">
        <v>74</v>
      </c>
      <c r="P599" s="1" t="s">
        <v>74</v>
      </c>
      <c r="Q599" s="1" t="s">
        <v>74</v>
      </c>
      <c r="R599" s="1" t="s">
        <v>74</v>
      </c>
      <c r="S599" s="1" t="s">
        <v>74</v>
      </c>
      <c r="T599" s="1" t="s">
        <v>12243</v>
      </c>
      <c r="U599" s="1" t="s">
        <v>12244</v>
      </c>
      <c r="V599" s="1" t="s">
        <v>12245</v>
      </c>
      <c r="W599" s="1" t="s">
        <v>12246</v>
      </c>
      <c r="X599" s="1" t="s">
        <v>12247</v>
      </c>
      <c r="Y599" s="1" t="s">
        <v>12248</v>
      </c>
      <c r="Z599" s="1" t="s">
        <v>12249</v>
      </c>
      <c r="AA599" s="1" t="s">
        <v>74</v>
      </c>
      <c r="AB599" s="1" t="s">
        <v>12250</v>
      </c>
      <c r="AC599" s="1" t="s">
        <v>12251</v>
      </c>
      <c r="AD599" s="1" t="s">
        <v>12251</v>
      </c>
      <c r="AE599" s="1" t="s">
        <v>12252</v>
      </c>
      <c r="AF599" s="1" t="s">
        <v>74</v>
      </c>
      <c r="AG599" s="1">
        <v>63.0</v>
      </c>
      <c r="AH599" s="1">
        <v>12.0</v>
      </c>
      <c r="AI599" s="1">
        <v>12.0</v>
      </c>
      <c r="AJ599" s="1">
        <v>2.0</v>
      </c>
      <c r="AK599" s="1">
        <v>13.0</v>
      </c>
      <c r="AL599" s="1" t="s">
        <v>1571</v>
      </c>
      <c r="AM599" s="1" t="s">
        <v>1572</v>
      </c>
      <c r="AN599" s="1" t="s">
        <v>1573</v>
      </c>
      <c r="AO599" s="1" t="s">
        <v>12253</v>
      </c>
      <c r="AP599" s="1" t="s">
        <v>74</v>
      </c>
      <c r="AQ599" s="1" t="s">
        <v>74</v>
      </c>
      <c r="AR599" s="1" t="s">
        <v>12254</v>
      </c>
      <c r="AS599" s="1" t="s">
        <v>12255</v>
      </c>
      <c r="AT599" s="1" t="s">
        <v>12256</v>
      </c>
      <c r="AU599" s="1">
        <v>2022.0</v>
      </c>
      <c r="AV599" s="1">
        <v>51.0</v>
      </c>
      <c r="AW599" s="1">
        <v>1.0</v>
      </c>
      <c r="AX599" s="1" t="s">
        <v>74</v>
      </c>
      <c r="AY599" s="1" t="s">
        <v>74</v>
      </c>
      <c r="AZ599" s="1" t="s">
        <v>74</v>
      </c>
      <c r="BA599" s="1" t="s">
        <v>74</v>
      </c>
      <c r="BB599" s="1" t="s">
        <v>74</v>
      </c>
      <c r="BC599" s="1" t="s">
        <v>74</v>
      </c>
      <c r="BD599" s="1">
        <v>16.0</v>
      </c>
      <c r="BE599" s="1" t="s">
        <v>12257</v>
      </c>
      <c r="BF599" s="2" t="str">
        <f>HYPERLINK("http://dx.doi.org/10.1186/s40463-022-00566-w","http://dx.doi.org/10.1186/s40463-022-00566-w")</f>
        <v>http://dx.doi.org/10.1186/s40463-022-00566-w</v>
      </c>
      <c r="BG599" s="1" t="s">
        <v>74</v>
      </c>
      <c r="BH599" s="1" t="s">
        <v>74</v>
      </c>
      <c r="BI599" s="1">
        <v>9.0</v>
      </c>
      <c r="BJ599" s="1" t="s">
        <v>10708</v>
      </c>
      <c r="BK599" s="1" t="s">
        <v>149</v>
      </c>
      <c r="BL599" s="1" t="s">
        <v>10708</v>
      </c>
      <c r="BM599" s="1" t="s">
        <v>12258</v>
      </c>
      <c r="BN599" s="1">
        <v>3.5468865E7</v>
      </c>
      <c r="BO599" s="1" t="s">
        <v>1161</v>
      </c>
      <c r="BP599" s="1" t="s">
        <v>74</v>
      </c>
      <c r="BQ599" s="1" t="s">
        <v>74</v>
      </c>
      <c r="BR599" s="1" t="s">
        <v>102</v>
      </c>
      <c r="BS599" s="1" t="s">
        <v>12259</v>
      </c>
      <c r="BT599" s="1" t="str">
        <f>HYPERLINK("https%3A%2F%2Fwww.webofscience.com%2Fwos%2Fwoscc%2Ffull-record%2FWOS:000787310900002","View Full Record in Web of Science")</f>
        <v>View Full Record in Web of Science</v>
      </c>
    </row>
    <row r="600" ht="12.75" customHeight="1">
      <c r="A600" s="1" t="s">
        <v>72</v>
      </c>
      <c r="B600" s="1" t="s">
        <v>12260</v>
      </c>
      <c r="C600" s="1" t="s">
        <v>74</v>
      </c>
      <c r="D600" s="1" t="s">
        <v>12261</v>
      </c>
      <c r="E600" s="1" t="s">
        <v>74</v>
      </c>
      <c r="F600" s="1" t="s">
        <v>12262</v>
      </c>
      <c r="G600" s="1" t="s">
        <v>74</v>
      </c>
      <c r="H600" s="1" t="s">
        <v>74</v>
      </c>
      <c r="I600" s="1" t="s">
        <v>12263</v>
      </c>
      <c r="J600" s="1" t="s">
        <v>12264</v>
      </c>
      <c r="K600" s="1" t="s">
        <v>74</v>
      </c>
      <c r="L600" s="1" t="s">
        <v>74</v>
      </c>
      <c r="M600" s="1" t="s">
        <v>80</v>
      </c>
      <c r="N600" s="1" t="s">
        <v>81</v>
      </c>
      <c r="O600" s="1" t="s">
        <v>12265</v>
      </c>
      <c r="P600" s="1" t="s">
        <v>12266</v>
      </c>
      <c r="Q600" s="1" t="s">
        <v>12267</v>
      </c>
      <c r="R600" s="1" t="s">
        <v>12268</v>
      </c>
      <c r="S600" s="1" t="s">
        <v>74</v>
      </c>
      <c r="T600" s="1" t="s">
        <v>12269</v>
      </c>
      <c r="U600" s="1" t="s">
        <v>12270</v>
      </c>
      <c r="V600" s="1" t="s">
        <v>12271</v>
      </c>
      <c r="W600" s="1" t="s">
        <v>12272</v>
      </c>
      <c r="X600" s="1" t="s">
        <v>12273</v>
      </c>
      <c r="Y600" s="1" t="s">
        <v>12274</v>
      </c>
      <c r="Z600" s="1" t="s">
        <v>12275</v>
      </c>
      <c r="AA600" s="1" t="s">
        <v>12276</v>
      </c>
      <c r="AB600" s="1" t="s">
        <v>12277</v>
      </c>
      <c r="AC600" s="1" t="s">
        <v>74</v>
      </c>
      <c r="AD600" s="1" t="s">
        <v>74</v>
      </c>
      <c r="AE600" s="1" t="s">
        <v>74</v>
      </c>
      <c r="AF600" s="1" t="s">
        <v>74</v>
      </c>
      <c r="AG600" s="1">
        <v>67.0</v>
      </c>
      <c r="AH600" s="1">
        <v>4.0</v>
      </c>
      <c r="AI600" s="1">
        <v>4.0</v>
      </c>
      <c r="AJ600" s="1">
        <v>8.0</v>
      </c>
      <c r="AK600" s="1">
        <v>17.0</v>
      </c>
      <c r="AL600" s="1" t="s">
        <v>1426</v>
      </c>
      <c r="AM600" s="1" t="s">
        <v>193</v>
      </c>
      <c r="AN600" s="1" t="s">
        <v>1427</v>
      </c>
      <c r="AO600" s="1" t="s">
        <v>74</v>
      </c>
      <c r="AP600" s="1" t="s">
        <v>74</v>
      </c>
      <c r="AQ600" s="1" t="s">
        <v>12278</v>
      </c>
      <c r="AR600" s="1" t="s">
        <v>74</v>
      </c>
      <c r="AS600" s="1" t="s">
        <v>74</v>
      </c>
      <c r="AT600" s="1" t="s">
        <v>74</v>
      </c>
      <c r="AU600" s="1">
        <v>2022.0</v>
      </c>
      <c r="AV600" s="1" t="s">
        <v>74</v>
      </c>
      <c r="AW600" s="1" t="s">
        <v>74</v>
      </c>
      <c r="AX600" s="1" t="s">
        <v>74</v>
      </c>
      <c r="AY600" s="1" t="s">
        <v>74</v>
      </c>
      <c r="AZ600" s="1" t="s">
        <v>74</v>
      </c>
      <c r="BA600" s="1" t="s">
        <v>74</v>
      </c>
      <c r="BB600" s="1">
        <v>10.0</v>
      </c>
      <c r="BC600" s="1">
        <v>18.0</v>
      </c>
      <c r="BD600" s="1" t="s">
        <v>74</v>
      </c>
      <c r="BE600" s="1" t="s">
        <v>12279</v>
      </c>
      <c r="BF600" s="2" t="str">
        <f>HYPERLINK("http://dx.doi.org/10.1145/3560107.3560110","http://dx.doi.org/10.1145/3560107.3560110")</f>
        <v>http://dx.doi.org/10.1145/3560107.3560110</v>
      </c>
      <c r="BG600" s="1" t="s">
        <v>74</v>
      </c>
      <c r="BH600" s="1" t="s">
        <v>74</v>
      </c>
      <c r="BI600" s="1">
        <v>9.0</v>
      </c>
      <c r="BJ600" s="1" t="s">
        <v>12280</v>
      </c>
      <c r="BK600" s="1" t="s">
        <v>405</v>
      </c>
      <c r="BL600" s="1" t="s">
        <v>12281</v>
      </c>
      <c r="BM600" s="1" t="s">
        <v>12282</v>
      </c>
      <c r="BN600" s="1" t="s">
        <v>74</v>
      </c>
      <c r="BO600" s="1" t="s">
        <v>74</v>
      </c>
      <c r="BP600" s="1" t="s">
        <v>74</v>
      </c>
      <c r="BQ600" s="1" t="s">
        <v>74</v>
      </c>
      <c r="BR600" s="1" t="s">
        <v>102</v>
      </c>
      <c r="BS600" s="1" t="s">
        <v>12283</v>
      </c>
      <c r="BT600" s="1" t="str">
        <f>HYPERLINK("https%3A%2F%2Fwww.webofscience.com%2Fwos%2Fwoscc%2Ffull-record%2FWOS:001098408200002","View Full Record in Web of Science")</f>
        <v>View Full Record in Web of Science</v>
      </c>
    </row>
    <row r="601" ht="12.75" customHeight="1">
      <c r="A601" s="1" t="s">
        <v>132</v>
      </c>
      <c r="B601" s="1" t="s">
        <v>12284</v>
      </c>
      <c r="C601" s="1" t="s">
        <v>74</v>
      </c>
      <c r="D601" s="1" t="s">
        <v>74</v>
      </c>
      <c r="E601" s="1" t="s">
        <v>74</v>
      </c>
      <c r="F601" s="1" t="s">
        <v>12285</v>
      </c>
      <c r="G601" s="1" t="s">
        <v>74</v>
      </c>
      <c r="H601" s="1" t="s">
        <v>74</v>
      </c>
      <c r="I601" s="1" t="s">
        <v>12286</v>
      </c>
      <c r="J601" s="1" t="s">
        <v>12287</v>
      </c>
      <c r="K601" s="1" t="s">
        <v>74</v>
      </c>
      <c r="L601" s="1" t="s">
        <v>74</v>
      </c>
      <c r="M601" s="1" t="s">
        <v>80</v>
      </c>
      <c r="N601" s="1" t="s">
        <v>136</v>
      </c>
      <c r="O601" s="1" t="s">
        <v>74</v>
      </c>
      <c r="P601" s="1" t="s">
        <v>74</v>
      </c>
      <c r="Q601" s="1" t="s">
        <v>74</v>
      </c>
      <c r="R601" s="1" t="s">
        <v>74</v>
      </c>
      <c r="S601" s="1" t="s">
        <v>74</v>
      </c>
      <c r="T601" s="1" t="s">
        <v>12288</v>
      </c>
      <c r="U601" s="1" t="s">
        <v>12289</v>
      </c>
      <c r="V601" s="1" t="s">
        <v>12290</v>
      </c>
      <c r="W601" s="1" t="s">
        <v>12291</v>
      </c>
      <c r="X601" s="1" t="s">
        <v>12292</v>
      </c>
      <c r="Y601" s="1" t="s">
        <v>12293</v>
      </c>
      <c r="Z601" s="1" t="s">
        <v>12294</v>
      </c>
      <c r="AA601" s="1" t="s">
        <v>12295</v>
      </c>
      <c r="AB601" s="1" t="s">
        <v>12296</v>
      </c>
      <c r="AC601" s="1" t="s">
        <v>74</v>
      </c>
      <c r="AD601" s="1" t="s">
        <v>74</v>
      </c>
      <c r="AE601" s="1" t="s">
        <v>74</v>
      </c>
      <c r="AF601" s="1" t="s">
        <v>74</v>
      </c>
      <c r="AG601" s="1">
        <v>28.0</v>
      </c>
      <c r="AH601" s="1">
        <v>20.0</v>
      </c>
      <c r="AI601" s="1">
        <v>20.0</v>
      </c>
      <c r="AJ601" s="1">
        <v>5.0</v>
      </c>
      <c r="AK601" s="1">
        <v>21.0</v>
      </c>
      <c r="AL601" s="1" t="s">
        <v>12297</v>
      </c>
      <c r="AM601" s="1" t="s">
        <v>1021</v>
      </c>
      <c r="AN601" s="1" t="s">
        <v>12298</v>
      </c>
      <c r="AO601" s="1" t="s">
        <v>12299</v>
      </c>
      <c r="AP601" s="1" t="s">
        <v>12300</v>
      </c>
      <c r="AQ601" s="1" t="s">
        <v>74</v>
      </c>
      <c r="AR601" s="1" t="s">
        <v>12301</v>
      </c>
      <c r="AS601" s="1" t="s">
        <v>12302</v>
      </c>
      <c r="AT601" s="1" t="s">
        <v>1835</v>
      </c>
      <c r="AU601" s="1">
        <v>2023.0</v>
      </c>
      <c r="AV601" s="1">
        <v>41.0</v>
      </c>
      <c r="AW601" s="1">
        <v>17.0</v>
      </c>
      <c r="AX601" s="1" t="s">
        <v>74</v>
      </c>
      <c r="AY601" s="1" t="s">
        <v>74</v>
      </c>
      <c r="AZ601" s="1" t="s">
        <v>74</v>
      </c>
      <c r="BA601" s="1" t="s">
        <v>74</v>
      </c>
      <c r="BB601" s="1">
        <v>8629.0</v>
      </c>
      <c r="BC601" s="1">
        <v>8633.0</v>
      </c>
      <c r="BD601" s="1" t="s">
        <v>74</v>
      </c>
      <c r="BE601" s="1" t="s">
        <v>12303</v>
      </c>
      <c r="BF601" s="2" t="str">
        <f>HYPERLINK("http://dx.doi.org/10.1080/07391102.2022.2134214","http://dx.doi.org/10.1080/07391102.2022.2134214")</f>
        <v>http://dx.doi.org/10.1080/07391102.2022.2134214</v>
      </c>
      <c r="BG601" s="1" t="s">
        <v>74</v>
      </c>
      <c r="BH601" s="1" t="s">
        <v>9035</v>
      </c>
      <c r="BI601" s="1">
        <v>5.0</v>
      </c>
      <c r="BJ601" s="1" t="s">
        <v>12304</v>
      </c>
      <c r="BK601" s="1" t="s">
        <v>149</v>
      </c>
      <c r="BL601" s="1" t="s">
        <v>12304</v>
      </c>
      <c r="BM601" s="1" t="s">
        <v>12305</v>
      </c>
      <c r="BN601" s="1">
        <v>3.6218112E7</v>
      </c>
      <c r="BO601" s="1" t="s">
        <v>1997</v>
      </c>
      <c r="BP601" s="1" t="s">
        <v>74</v>
      </c>
      <c r="BQ601" s="1" t="s">
        <v>74</v>
      </c>
      <c r="BR601" s="1" t="s">
        <v>102</v>
      </c>
      <c r="BS601" s="1" t="s">
        <v>12306</v>
      </c>
      <c r="BT601" s="1" t="str">
        <f>HYPERLINK("https%3A%2F%2Fwww.webofscience.com%2Fwos%2Fwoscc%2Ffull-record%2FWOS:000866036600001","View Full Record in Web of Science")</f>
        <v>View Full Record in Web of Science</v>
      </c>
    </row>
    <row r="602" ht="12.75" customHeight="1">
      <c r="A602" s="1" t="s">
        <v>132</v>
      </c>
      <c r="B602" s="1" t="s">
        <v>12307</v>
      </c>
      <c r="C602" s="1" t="s">
        <v>74</v>
      </c>
      <c r="D602" s="1" t="s">
        <v>74</v>
      </c>
      <c r="E602" s="1" t="s">
        <v>74</v>
      </c>
      <c r="F602" s="1" t="s">
        <v>12308</v>
      </c>
      <c r="G602" s="1" t="s">
        <v>74</v>
      </c>
      <c r="H602" s="1" t="s">
        <v>74</v>
      </c>
      <c r="I602" s="1" t="s">
        <v>12309</v>
      </c>
      <c r="J602" s="1" t="s">
        <v>12310</v>
      </c>
      <c r="K602" s="1" t="s">
        <v>74</v>
      </c>
      <c r="L602" s="1" t="s">
        <v>74</v>
      </c>
      <c r="M602" s="1" t="s">
        <v>80</v>
      </c>
      <c r="N602" s="1" t="s">
        <v>338</v>
      </c>
      <c r="O602" s="1" t="s">
        <v>74</v>
      </c>
      <c r="P602" s="1" t="s">
        <v>74</v>
      </c>
      <c r="Q602" s="1" t="s">
        <v>74</v>
      </c>
      <c r="R602" s="1" t="s">
        <v>74</v>
      </c>
      <c r="S602" s="1" t="s">
        <v>74</v>
      </c>
      <c r="T602" s="1" t="s">
        <v>12311</v>
      </c>
      <c r="U602" s="1" t="s">
        <v>74</v>
      </c>
      <c r="V602" s="1" t="s">
        <v>12312</v>
      </c>
      <c r="W602" s="1" t="s">
        <v>12313</v>
      </c>
      <c r="X602" s="1" t="s">
        <v>12314</v>
      </c>
      <c r="Y602" s="1" t="s">
        <v>12315</v>
      </c>
      <c r="Z602" s="1" t="s">
        <v>12316</v>
      </c>
      <c r="AA602" s="1" t="s">
        <v>74</v>
      </c>
      <c r="AB602" s="1" t="s">
        <v>74</v>
      </c>
      <c r="AC602" s="1" t="s">
        <v>12317</v>
      </c>
      <c r="AD602" s="1" t="s">
        <v>12317</v>
      </c>
      <c r="AE602" s="1" t="s">
        <v>12317</v>
      </c>
      <c r="AF602" s="1" t="s">
        <v>74</v>
      </c>
      <c r="AG602" s="1">
        <v>17.0</v>
      </c>
      <c r="AH602" s="1">
        <v>1.0</v>
      </c>
      <c r="AI602" s="1">
        <v>1.0</v>
      </c>
      <c r="AJ602" s="1">
        <v>9.0</v>
      </c>
      <c r="AK602" s="1">
        <v>32.0</v>
      </c>
      <c r="AL602" s="1" t="s">
        <v>348</v>
      </c>
      <c r="AM602" s="1" t="s">
        <v>349</v>
      </c>
      <c r="AN602" s="1" t="s">
        <v>350</v>
      </c>
      <c r="AO602" s="1" t="s">
        <v>12318</v>
      </c>
      <c r="AP602" s="1" t="s">
        <v>12319</v>
      </c>
      <c r="AQ602" s="1" t="s">
        <v>74</v>
      </c>
      <c r="AR602" s="1" t="s">
        <v>12320</v>
      </c>
      <c r="AS602" s="1" t="s">
        <v>12321</v>
      </c>
      <c r="AT602" s="1" t="s">
        <v>12322</v>
      </c>
      <c r="AU602" s="1">
        <v>2023.0</v>
      </c>
      <c r="AV602" s="1" t="s">
        <v>74</v>
      </c>
      <c r="AW602" s="1" t="s">
        <v>74</v>
      </c>
      <c r="AX602" s="1" t="s">
        <v>74</v>
      </c>
      <c r="AY602" s="1" t="s">
        <v>74</v>
      </c>
      <c r="AZ602" s="1" t="s">
        <v>74</v>
      </c>
      <c r="BA602" s="1" t="s">
        <v>74</v>
      </c>
      <c r="BB602" s="1" t="s">
        <v>74</v>
      </c>
      <c r="BC602" s="1" t="s">
        <v>74</v>
      </c>
      <c r="BD602" s="1" t="s">
        <v>74</v>
      </c>
      <c r="BE602" s="1" t="s">
        <v>12323</v>
      </c>
      <c r="BF602" s="2" t="str">
        <f>HYPERLINK("http://dx.doi.org/10.1177/09721509231193803","http://dx.doi.org/10.1177/09721509231193803")</f>
        <v>http://dx.doi.org/10.1177/09721509231193803</v>
      </c>
      <c r="BG602" s="1" t="s">
        <v>74</v>
      </c>
      <c r="BH602" s="1" t="s">
        <v>357</v>
      </c>
      <c r="BI602" s="1">
        <v>15.0</v>
      </c>
      <c r="BJ602" s="1" t="s">
        <v>1509</v>
      </c>
      <c r="BK602" s="1" t="s">
        <v>172</v>
      </c>
      <c r="BL602" s="1" t="s">
        <v>204</v>
      </c>
      <c r="BM602" s="1" t="s">
        <v>12324</v>
      </c>
      <c r="BN602" s="1" t="s">
        <v>74</v>
      </c>
      <c r="BO602" s="1" t="s">
        <v>74</v>
      </c>
      <c r="BP602" s="1" t="s">
        <v>74</v>
      </c>
      <c r="BQ602" s="1" t="s">
        <v>74</v>
      </c>
      <c r="BR602" s="1" t="s">
        <v>102</v>
      </c>
      <c r="BS602" s="1" t="s">
        <v>12325</v>
      </c>
      <c r="BT602" s="1" t="str">
        <f>HYPERLINK("https%3A%2F%2Fwww.webofscience.com%2Fwos%2Fwoscc%2Ffull-record%2FWOS:001067650100001","View Full Record in Web of Science")</f>
        <v>View Full Record in Web of Science</v>
      </c>
    </row>
    <row r="603" ht="12.75" customHeight="1">
      <c r="A603" s="1" t="s">
        <v>132</v>
      </c>
      <c r="B603" s="1" t="s">
        <v>12326</v>
      </c>
      <c r="C603" s="1" t="s">
        <v>74</v>
      </c>
      <c r="D603" s="1" t="s">
        <v>74</v>
      </c>
      <c r="E603" s="1" t="s">
        <v>74</v>
      </c>
      <c r="F603" s="1" t="s">
        <v>12327</v>
      </c>
      <c r="G603" s="1" t="s">
        <v>74</v>
      </c>
      <c r="H603" s="1" t="s">
        <v>74</v>
      </c>
      <c r="I603" s="1" t="s">
        <v>12328</v>
      </c>
      <c r="J603" s="1" t="s">
        <v>7543</v>
      </c>
      <c r="K603" s="1" t="s">
        <v>74</v>
      </c>
      <c r="L603" s="1" t="s">
        <v>74</v>
      </c>
      <c r="M603" s="1" t="s">
        <v>80</v>
      </c>
      <c r="N603" s="1" t="s">
        <v>136</v>
      </c>
      <c r="O603" s="1" t="s">
        <v>74</v>
      </c>
      <c r="P603" s="1" t="s">
        <v>74</v>
      </c>
      <c r="Q603" s="1" t="s">
        <v>74</v>
      </c>
      <c r="R603" s="1" t="s">
        <v>74</v>
      </c>
      <c r="S603" s="1" t="s">
        <v>74</v>
      </c>
      <c r="T603" s="1" t="s">
        <v>12329</v>
      </c>
      <c r="U603" s="1" t="s">
        <v>12330</v>
      </c>
      <c r="V603" s="1" t="s">
        <v>12331</v>
      </c>
      <c r="W603" s="1" t="s">
        <v>12332</v>
      </c>
      <c r="X603" s="1" t="s">
        <v>12333</v>
      </c>
      <c r="Y603" s="1" t="s">
        <v>12334</v>
      </c>
      <c r="Z603" s="1" t="s">
        <v>12335</v>
      </c>
      <c r="AA603" s="1" t="s">
        <v>12336</v>
      </c>
      <c r="AB603" s="1" t="s">
        <v>12337</v>
      </c>
      <c r="AC603" s="1" t="s">
        <v>12338</v>
      </c>
      <c r="AD603" s="1" t="s">
        <v>12338</v>
      </c>
      <c r="AE603" s="1" t="s">
        <v>12339</v>
      </c>
      <c r="AF603" s="1" t="s">
        <v>74</v>
      </c>
      <c r="AG603" s="1">
        <v>69.0</v>
      </c>
      <c r="AH603" s="1">
        <v>4.0</v>
      </c>
      <c r="AI603" s="1">
        <v>4.0</v>
      </c>
      <c r="AJ603" s="1">
        <v>23.0</v>
      </c>
      <c r="AK603" s="1">
        <v>85.0</v>
      </c>
      <c r="AL603" s="1" t="s">
        <v>1970</v>
      </c>
      <c r="AM603" s="1" t="s">
        <v>1658</v>
      </c>
      <c r="AN603" s="1" t="s">
        <v>1971</v>
      </c>
      <c r="AO603" s="1" t="s">
        <v>74</v>
      </c>
      <c r="AP603" s="1" t="s">
        <v>7552</v>
      </c>
      <c r="AQ603" s="1" t="s">
        <v>74</v>
      </c>
      <c r="AR603" s="1" t="s">
        <v>7553</v>
      </c>
      <c r="AS603" s="1" t="s">
        <v>7554</v>
      </c>
      <c r="AT603" s="1" t="s">
        <v>1027</v>
      </c>
      <c r="AU603" s="1">
        <v>2023.0</v>
      </c>
      <c r="AV603" s="1">
        <v>12.0</v>
      </c>
      <c r="AW603" s="1">
        <v>6.0</v>
      </c>
      <c r="AX603" s="1" t="s">
        <v>74</v>
      </c>
      <c r="AY603" s="1" t="s">
        <v>74</v>
      </c>
      <c r="AZ603" s="1" t="s">
        <v>74</v>
      </c>
      <c r="BA603" s="1" t="s">
        <v>74</v>
      </c>
      <c r="BB603" s="1" t="s">
        <v>74</v>
      </c>
      <c r="BC603" s="1" t="s">
        <v>74</v>
      </c>
      <c r="BD603" s="1">
        <v>1462.0</v>
      </c>
      <c r="BE603" s="1" t="s">
        <v>12340</v>
      </c>
      <c r="BF603" s="2" t="str">
        <f>HYPERLINK("http://dx.doi.org/10.3390/electronics12061462","http://dx.doi.org/10.3390/electronics12061462")</f>
        <v>http://dx.doi.org/10.3390/electronics12061462</v>
      </c>
      <c r="BG603" s="1" t="s">
        <v>74</v>
      </c>
      <c r="BH603" s="1" t="s">
        <v>74</v>
      </c>
      <c r="BI603" s="1">
        <v>19.0</v>
      </c>
      <c r="BJ603" s="1" t="s">
        <v>7556</v>
      </c>
      <c r="BK603" s="1" t="s">
        <v>149</v>
      </c>
      <c r="BL603" s="1" t="s">
        <v>7557</v>
      </c>
      <c r="BM603" s="1" t="s">
        <v>12341</v>
      </c>
      <c r="BN603" s="1" t="s">
        <v>74</v>
      </c>
      <c r="BO603" s="1" t="s">
        <v>174</v>
      </c>
      <c r="BP603" s="1" t="s">
        <v>74</v>
      </c>
      <c r="BQ603" s="1" t="s">
        <v>74</v>
      </c>
      <c r="BR603" s="1" t="s">
        <v>102</v>
      </c>
      <c r="BS603" s="1" t="s">
        <v>12342</v>
      </c>
      <c r="BT603" s="1" t="str">
        <f>HYPERLINK("https%3A%2F%2Fwww.webofscience.com%2Fwos%2Fwoscc%2Ffull-record%2FWOS:000968378500001","View Full Record in Web of Science")</f>
        <v>View Full Record in Web of Science</v>
      </c>
    </row>
    <row r="604" ht="12.75" customHeight="1">
      <c r="A604" s="1" t="s">
        <v>132</v>
      </c>
      <c r="B604" s="1" t="s">
        <v>12343</v>
      </c>
      <c r="C604" s="1" t="s">
        <v>74</v>
      </c>
      <c r="D604" s="1" t="s">
        <v>74</v>
      </c>
      <c r="E604" s="1" t="s">
        <v>74</v>
      </c>
      <c r="F604" s="1" t="s">
        <v>12344</v>
      </c>
      <c r="G604" s="1" t="s">
        <v>74</v>
      </c>
      <c r="H604" s="1" t="s">
        <v>74</v>
      </c>
      <c r="I604" s="1" t="s">
        <v>12345</v>
      </c>
      <c r="J604" s="1" t="s">
        <v>12346</v>
      </c>
      <c r="K604" s="1" t="s">
        <v>74</v>
      </c>
      <c r="L604" s="1" t="s">
        <v>74</v>
      </c>
      <c r="M604" s="1" t="s">
        <v>80</v>
      </c>
      <c r="N604" s="1" t="s">
        <v>1010</v>
      </c>
      <c r="O604" s="1" t="s">
        <v>74</v>
      </c>
      <c r="P604" s="1" t="s">
        <v>74</v>
      </c>
      <c r="Q604" s="1" t="s">
        <v>74</v>
      </c>
      <c r="R604" s="1" t="s">
        <v>74</v>
      </c>
      <c r="S604" s="1" t="s">
        <v>74</v>
      </c>
      <c r="T604" s="1" t="s">
        <v>12347</v>
      </c>
      <c r="U604" s="1" t="s">
        <v>12348</v>
      </c>
      <c r="V604" s="1" t="s">
        <v>12349</v>
      </c>
      <c r="W604" s="1" t="s">
        <v>12350</v>
      </c>
      <c r="X604" s="1" t="s">
        <v>12351</v>
      </c>
      <c r="Y604" s="1" t="s">
        <v>12352</v>
      </c>
      <c r="Z604" s="1" t="s">
        <v>12353</v>
      </c>
      <c r="AA604" s="1" t="s">
        <v>12354</v>
      </c>
      <c r="AB604" s="1" t="s">
        <v>74</v>
      </c>
      <c r="AC604" s="1" t="s">
        <v>74</v>
      </c>
      <c r="AD604" s="1" t="s">
        <v>74</v>
      </c>
      <c r="AE604" s="1" t="s">
        <v>74</v>
      </c>
      <c r="AF604" s="1" t="s">
        <v>74</v>
      </c>
      <c r="AG604" s="1">
        <v>43.0</v>
      </c>
      <c r="AH604" s="1">
        <v>0.0</v>
      </c>
      <c r="AI604" s="1">
        <v>0.0</v>
      </c>
      <c r="AJ604" s="1">
        <v>1.0</v>
      </c>
      <c r="AK604" s="1">
        <v>1.0</v>
      </c>
      <c r="AL604" s="1" t="s">
        <v>3800</v>
      </c>
      <c r="AM604" s="1" t="s">
        <v>349</v>
      </c>
      <c r="AN604" s="1" t="s">
        <v>3801</v>
      </c>
      <c r="AO604" s="1" t="s">
        <v>74</v>
      </c>
      <c r="AP604" s="1" t="s">
        <v>12355</v>
      </c>
      <c r="AQ604" s="1" t="s">
        <v>74</v>
      </c>
      <c r="AR604" s="1" t="s">
        <v>12356</v>
      </c>
      <c r="AS604" s="1" t="s">
        <v>12357</v>
      </c>
      <c r="AT604" s="1" t="s">
        <v>12358</v>
      </c>
      <c r="AU604" s="1">
        <v>2025.0</v>
      </c>
      <c r="AV604" s="1">
        <v>5.0</v>
      </c>
      <c r="AW604" s="1">
        <v>1.0</v>
      </c>
      <c r="AX604" s="1" t="s">
        <v>74</v>
      </c>
      <c r="AY604" s="1" t="s">
        <v>74</v>
      </c>
      <c r="AZ604" s="1" t="s">
        <v>74</v>
      </c>
      <c r="BA604" s="1" t="s">
        <v>74</v>
      </c>
      <c r="BB604" s="1" t="s">
        <v>74</v>
      </c>
      <c r="BC604" s="1" t="s">
        <v>74</v>
      </c>
      <c r="BD604" s="1">
        <v>2.0</v>
      </c>
      <c r="BE604" s="1" t="s">
        <v>12359</v>
      </c>
      <c r="BF604" s="2" t="str">
        <f>HYPERLINK("http://dx.doi.org/10.1007/s44187-025-00273-1","http://dx.doi.org/10.1007/s44187-025-00273-1")</f>
        <v>http://dx.doi.org/10.1007/s44187-025-00273-1</v>
      </c>
      <c r="BG604" s="1" t="s">
        <v>74</v>
      </c>
      <c r="BH604" s="1" t="s">
        <v>74</v>
      </c>
      <c r="BI604" s="1">
        <v>9.0</v>
      </c>
      <c r="BJ604" s="1" t="s">
        <v>12360</v>
      </c>
      <c r="BK604" s="1" t="s">
        <v>172</v>
      </c>
      <c r="BL604" s="1" t="s">
        <v>12360</v>
      </c>
      <c r="BM604" s="1" t="s">
        <v>12361</v>
      </c>
      <c r="BN604" s="1" t="s">
        <v>74</v>
      </c>
      <c r="BO604" s="1" t="s">
        <v>74</v>
      </c>
      <c r="BP604" s="1" t="s">
        <v>74</v>
      </c>
      <c r="BQ604" s="1" t="s">
        <v>74</v>
      </c>
      <c r="BR604" s="1" t="s">
        <v>102</v>
      </c>
      <c r="BS604" s="1" t="s">
        <v>12362</v>
      </c>
      <c r="BT604" s="1" t="str">
        <f>HYPERLINK("https%3A%2F%2Fwww.webofscience.com%2Fwos%2Fwoscc%2Ffull-record%2FWOS:001391634300001","View Full Record in Web of Science")</f>
        <v>View Full Record in Web of Science</v>
      </c>
    </row>
    <row r="605" ht="12.75" customHeight="1">
      <c r="A605" s="1" t="s">
        <v>72</v>
      </c>
      <c r="B605" s="1" t="s">
        <v>12363</v>
      </c>
      <c r="C605" s="1" t="s">
        <v>74</v>
      </c>
      <c r="D605" s="1" t="s">
        <v>74</v>
      </c>
      <c r="E605" s="1" t="s">
        <v>1411</v>
      </c>
      <c r="F605" s="1" t="s">
        <v>12364</v>
      </c>
      <c r="G605" s="1" t="s">
        <v>74</v>
      </c>
      <c r="H605" s="1" t="s">
        <v>74</v>
      </c>
      <c r="I605" s="1" t="s">
        <v>12365</v>
      </c>
      <c r="J605" s="1" t="s">
        <v>12366</v>
      </c>
      <c r="K605" s="1" t="s">
        <v>74</v>
      </c>
      <c r="L605" s="1" t="s">
        <v>74</v>
      </c>
      <c r="M605" s="1" t="s">
        <v>80</v>
      </c>
      <c r="N605" s="1" t="s">
        <v>81</v>
      </c>
      <c r="O605" s="1" t="s">
        <v>12367</v>
      </c>
      <c r="P605" s="1" t="s">
        <v>12368</v>
      </c>
      <c r="Q605" s="1" t="s">
        <v>12369</v>
      </c>
      <c r="R605" s="1" t="s">
        <v>12370</v>
      </c>
      <c r="S605" s="1" t="s">
        <v>74</v>
      </c>
      <c r="T605" s="1" t="s">
        <v>12371</v>
      </c>
      <c r="U605" s="1" t="s">
        <v>74</v>
      </c>
      <c r="V605" s="1" t="s">
        <v>12372</v>
      </c>
      <c r="W605" s="1" t="s">
        <v>12373</v>
      </c>
      <c r="X605" s="1" t="s">
        <v>74</v>
      </c>
      <c r="Y605" s="1" t="s">
        <v>12374</v>
      </c>
      <c r="Z605" s="1" t="s">
        <v>12375</v>
      </c>
      <c r="AA605" s="1" t="s">
        <v>74</v>
      </c>
      <c r="AB605" s="1" t="s">
        <v>74</v>
      </c>
      <c r="AC605" s="1" t="s">
        <v>74</v>
      </c>
      <c r="AD605" s="1" t="s">
        <v>74</v>
      </c>
      <c r="AE605" s="1" t="s">
        <v>74</v>
      </c>
      <c r="AF605" s="1" t="s">
        <v>74</v>
      </c>
      <c r="AG605" s="1">
        <v>0.0</v>
      </c>
      <c r="AH605" s="1">
        <v>1.0</v>
      </c>
      <c r="AI605" s="1">
        <v>2.0</v>
      </c>
      <c r="AJ605" s="1">
        <v>7.0</v>
      </c>
      <c r="AK605" s="1">
        <v>41.0</v>
      </c>
      <c r="AL605" s="1" t="s">
        <v>1426</v>
      </c>
      <c r="AM605" s="1" t="s">
        <v>193</v>
      </c>
      <c r="AN605" s="1" t="s">
        <v>1427</v>
      </c>
      <c r="AO605" s="1" t="s">
        <v>74</v>
      </c>
      <c r="AP605" s="1" t="s">
        <v>74</v>
      </c>
      <c r="AQ605" s="1" t="s">
        <v>12376</v>
      </c>
      <c r="AR605" s="1" t="s">
        <v>74</v>
      </c>
      <c r="AS605" s="1" t="s">
        <v>74</v>
      </c>
      <c r="AT605" s="1" t="s">
        <v>74</v>
      </c>
      <c r="AU605" s="1">
        <v>2018.0</v>
      </c>
      <c r="AV605" s="1" t="s">
        <v>74</v>
      </c>
      <c r="AW605" s="1" t="s">
        <v>74</v>
      </c>
      <c r="AX605" s="1" t="s">
        <v>74</v>
      </c>
      <c r="AY605" s="1" t="s">
        <v>74</v>
      </c>
      <c r="AZ605" s="1" t="s">
        <v>74</v>
      </c>
      <c r="BA605" s="1" t="s">
        <v>74</v>
      </c>
      <c r="BB605" s="1">
        <v>1919.0</v>
      </c>
      <c r="BC605" s="1">
        <v>1920.0</v>
      </c>
      <c r="BD605" s="1" t="s">
        <v>74</v>
      </c>
      <c r="BE605" s="1" t="s">
        <v>12377</v>
      </c>
      <c r="BF605" s="2" t="str">
        <f>HYPERLINK("http://dx.doi.org/10.1145/3240508.3267341","http://dx.doi.org/10.1145/3240508.3267341")</f>
        <v>http://dx.doi.org/10.1145/3240508.3267341</v>
      </c>
      <c r="BG605" s="1" t="s">
        <v>74</v>
      </c>
      <c r="BH605" s="1" t="s">
        <v>74</v>
      </c>
      <c r="BI605" s="1">
        <v>2.0</v>
      </c>
      <c r="BJ605" s="1" t="s">
        <v>12378</v>
      </c>
      <c r="BK605" s="1" t="s">
        <v>128</v>
      </c>
      <c r="BL605" s="1" t="s">
        <v>1325</v>
      </c>
      <c r="BM605" s="1" t="s">
        <v>12379</v>
      </c>
      <c r="BN605" s="1" t="s">
        <v>74</v>
      </c>
      <c r="BO605" s="1" t="s">
        <v>74</v>
      </c>
      <c r="BP605" s="1" t="s">
        <v>74</v>
      </c>
      <c r="BQ605" s="1" t="s">
        <v>74</v>
      </c>
      <c r="BR605" s="1" t="s">
        <v>102</v>
      </c>
      <c r="BS605" s="1" t="s">
        <v>12380</v>
      </c>
      <c r="BT605" s="1" t="str">
        <f>HYPERLINK("https%3A%2F%2Fwww.webofscience.com%2Fwos%2Fwoscc%2Ffull-record%2FWOS:000509665700236","View Full Record in Web of Science")</f>
        <v>View Full Record in Web of Science</v>
      </c>
    </row>
    <row r="606" ht="12.75" customHeight="1">
      <c r="A606" s="1" t="s">
        <v>132</v>
      </c>
      <c r="B606" s="1" t="s">
        <v>12381</v>
      </c>
      <c r="C606" s="1" t="s">
        <v>74</v>
      </c>
      <c r="D606" s="1" t="s">
        <v>74</v>
      </c>
      <c r="E606" s="1" t="s">
        <v>74</v>
      </c>
      <c r="F606" s="1" t="s">
        <v>12382</v>
      </c>
      <c r="G606" s="1" t="s">
        <v>74</v>
      </c>
      <c r="H606" s="1" t="s">
        <v>74</v>
      </c>
      <c r="I606" s="1" t="s">
        <v>12383</v>
      </c>
      <c r="J606" s="1" t="s">
        <v>12384</v>
      </c>
      <c r="K606" s="1" t="s">
        <v>74</v>
      </c>
      <c r="L606" s="1" t="s">
        <v>74</v>
      </c>
      <c r="M606" s="1" t="s">
        <v>80</v>
      </c>
      <c r="N606" s="1" t="s">
        <v>1010</v>
      </c>
      <c r="O606" s="1" t="s">
        <v>74</v>
      </c>
      <c r="P606" s="1" t="s">
        <v>74</v>
      </c>
      <c r="Q606" s="1" t="s">
        <v>74</v>
      </c>
      <c r="R606" s="1" t="s">
        <v>74</v>
      </c>
      <c r="S606" s="1" t="s">
        <v>74</v>
      </c>
      <c r="T606" s="1" t="s">
        <v>12385</v>
      </c>
      <c r="U606" s="1" t="s">
        <v>74</v>
      </c>
      <c r="V606" s="1" t="s">
        <v>12386</v>
      </c>
      <c r="W606" s="1" t="s">
        <v>12387</v>
      </c>
      <c r="X606" s="1" t="s">
        <v>12388</v>
      </c>
      <c r="Y606" s="1" t="s">
        <v>12389</v>
      </c>
      <c r="Z606" s="1" t="s">
        <v>74</v>
      </c>
      <c r="AA606" s="1" t="s">
        <v>12390</v>
      </c>
      <c r="AB606" s="1" t="s">
        <v>12391</v>
      </c>
      <c r="AC606" s="1" t="s">
        <v>74</v>
      </c>
      <c r="AD606" s="1" t="s">
        <v>74</v>
      </c>
      <c r="AE606" s="1" t="s">
        <v>74</v>
      </c>
      <c r="AF606" s="1" t="s">
        <v>74</v>
      </c>
      <c r="AG606" s="1">
        <v>53.0</v>
      </c>
      <c r="AH606" s="1">
        <v>11.0</v>
      </c>
      <c r="AI606" s="1">
        <v>13.0</v>
      </c>
      <c r="AJ606" s="1">
        <v>6.0</v>
      </c>
      <c r="AK606" s="1">
        <v>55.0</v>
      </c>
      <c r="AL606" s="1" t="s">
        <v>4583</v>
      </c>
      <c r="AM606" s="1" t="s">
        <v>4584</v>
      </c>
      <c r="AN606" s="1" t="s">
        <v>4585</v>
      </c>
      <c r="AO606" s="1" t="s">
        <v>12392</v>
      </c>
      <c r="AP606" s="1" t="s">
        <v>12393</v>
      </c>
      <c r="AQ606" s="1" t="s">
        <v>74</v>
      </c>
      <c r="AR606" s="1" t="s">
        <v>12394</v>
      </c>
      <c r="AS606" s="1" t="s">
        <v>12395</v>
      </c>
      <c r="AT606" s="1" t="s">
        <v>328</v>
      </c>
      <c r="AU606" s="1">
        <v>2020.0</v>
      </c>
      <c r="AV606" s="1">
        <v>20.0</v>
      </c>
      <c r="AW606" s="1">
        <v>2.0</v>
      </c>
      <c r="AX606" s="1" t="s">
        <v>74</v>
      </c>
      <c r="AY606" s="1" t="s">
        <v>74</v>
      </c>
      <c r="AZ606" s="1" t="s">
        <v>74</v>
      </c>
      <c r="BA606" s="1" t="s">
        <v>74</v>
      </c>
      <c r="BB606" s="1">
        <v>74.0</v>
      </c>
      <c r="BC606" s="1">
        <v>84.0</v>
      </c>
      <c r="BD606" s="1" t="s">
        <v>12396</v>
      </c>
      <c r="BE606" s="1" t="s">
        <v>12397</v>
      </c>
      <c r="BF606" s="2" t="str">
        <f>HYPERLINK("http://dx.doi.org/10.1017/S1472669620000183","http://dx.doi.org/10.1017/S1472669620000183")</f>
        <v>http://dx.doi.org/10.1017/S1472669620000183</v>
      </c>
      <c r="BG606" s="1" t="s">
        <v>74</v>
      </c>
      <c r="BH606" s="1" t="s">
        <v>74</v>
      </c>
      <c r="BI606" s="1">
        <v>11.0</v>
      </c>
      <c r="BJ606" s="1" t="s">
        <v>915</v>
      </c>
      <c r="BK606" s="1" t="s">
        <v>172</v>
      </c>
      <c r="BL606" s="1" t="s">
        <v>916</v>
      </c>
      <c r="BM606" s="1" t="s">
        <v>12398</v>
      </c>
      <c r="BN606" s="1" t="s">
        <v>74</v>
      </c>
      <c r="BO606" s="1" t="s">
        <v>74</v>
      </c>
      <c r="BP606" s="1" t="s">
        <v>74</v>
      </c>
      <c r="BQ606" s="1" t="s">
        <v>74</v>
      </c>
      <c r="BR606" s="1" t="s">
        <v>102</v>
      </c>
      <c r="BS606" s="1" t="s">
        <v>12399</v>
      </c>
      <c r="BT606" s="1" t="str">
        <f>HYPERLINK("https%3A%2F%2Fwww.webofscience.com%2Fwos%2Fwoscc%2Ffull-record%2FWOS:000569874800004","View Full Record in Web of Science")</f>
        <v>View Full Record in Web of Science</v>
      </c>
    </row>
    <row r="607" ht="12.75" customHeight="1">
      <c r="A607" s="1" t="s">
        <v>132</v>
      </c>
      <c r="B607" s="1" t="s">
        <v>12400</v>
      </c>
      <c r="C607" s="1" t="s">
        <v>74</v>
      </c>
      <c r="D607" s="1" t="s">
        <v>74</v>
      </c>
      <c r="E607" s="1" t="s">
        <v>74</v>
      </c>
      <c r="F607" s="1" t="s">
        <v>12401</v>
      </c>
      <c r="G607" s="1" t="s">
        <v>74</v>
      </c>
      <c r="H607" s="1" t="s">
        <v>74</v>
      </c>
      <c r="I607" s="1" t="s">
        <v>12402</v>
      </c>
      <c r="J607" s="1" t="s">
        <v>12403</v>
      </c>
      <c r="K607" s="1" t="s">
        <v>74</v>
      </c>
      <c r="L607" s="1" t="s">
        <v>74</v>
      </c>
      <c r="M607" s="1" t="s">
        <v>80</v>
      </c>
      <c r="N607" s="1" t="s">
        <v>136</v>
      </c>
      <c r="O607" s="1" t="s">
        <v>74</v>
      </c>
      <c r="P607" s="1" t="s">
        <v>74</v>
      </c>
      <c r="Q607" s="1" t="s">
        <v>74</v>
      </c>
      <c r="R607" s="1" t="s">
        <v>74</v>
      </c>
      <c r="S607" s="1" t="s">
        <v>74</v>
      </c>
      <c r="T607" s="1" t="s">
        <v>12404</v>
      </c>
      <c r="U607" s="1" t="s">
        <v>12405</v>
      </c>
      <c r="V607" s="1" t="s">
        <v>12406</v>
      </c>
      <c r="W607" s="1" t="s">
        <v>12407</v>
      </c>
      <c r="X607" s="1" t="s">
        <v>12408</v>
      </c>
      <c r="Y607" s="1" t="s">
        <v>12409</v>
      </c>
      <c r="Z607" s="1" t="s">
        <v>12410</v>
      </c>
      <c r="AA607" s="1" t="s">
        <v>74</v>
      </c>
      <c r="AB607" s="1" t="s">
        <v>12411</v>
      </c>
      <c r="AC607" s="1" t="s">
        <v>12412</v>
      </c>
      <c r="AD607" s="1" t="s">
        <v>12412</v>
      </c>
      <c r="AE607" s="1" t="s">
        <v>12413</v>
      </c>
      <c r="AF607" s="1" t="s">
        <v>74</v>
      </c>
      <c r="AG607" s="1">
        <v>66.0</v>
      </c>
      <c r="AH607" s="1">
        <v>50.0</v>
      </c>
      <c r="AI607" s="1">
        <v>50.0</v>
      </c>
      <c r="AJ607" s="1">
        <v>8.0</v>
      </c>
      <c r="AK607" s="1">
        <v>63.0</v>
      </c>
      <c r="AL607" s="1" t="s">
        <v>192</v>
      </c>
      <c r="AM607" s="1" t="s">
        <v>193</v>
      </c>
      <c r="AN607" s="1" t="s">
        <v>194</v>
      </c>
      <c r="AO607" s="1" t="s">
        <v>12414</v>
      </c>
      <c r="AP607" s="1" t="s">
        <v>12415</v>
      </c>
      <c r="AQ607" s="1" t="s">
        <v>74</v>
      </c>
      <c r="AR607" s="1" t="s">
        <v>12416</v>
      </c>
      <c r="AS607" s="1" t="s">
        <v>12417</v>
      </c>
      <c r="AT607" s="1" t="s">
        <v>1051</v>
      </c>
      <c r="AU607" s="1">
        <v>2023.0</v>
      </c>
      <c r="AV607" s="1">
        <v>38.0</v>
      </c>
      <c r="AW607" s="1">
        <v>6.0</v>
      </c>
      <c r="AX607" s="1" t="s">
        <v>74</v>
      </c>
      <c r="AY607" s="1" t="s">
        <v>74</v>
      </c>
      <c r="AZ607" s="1" t="s">
        <v>474</v>
      </c>
      <c r="BA607" s="1" t="s">
        <v>74</v>
      </c>
      <c r="BB607" s="1">
        <v>2473.0</v>
      </c>
      <c r="BC607" s="1">
        <v>2485.0</v>
      </c>
      <c r="BD607" s="1" t="s">
        <v>74</v>
      </c>
      <c r="BE607" s="1" t="s">
        <v>12418</v>
      </c>
      <c r="BF607" s="2" t="str">
        <f>HYPERLINK("http://dx.doi.org/10.1007/s00146-021-01377-9","http://dx.doi.org/10.1007/s00146-021-01377-9")</f>
        <v>http://dx.doi.org/10.1007/s00146-021-01377-9</v>
      </c>
      <c r="BG607" s="1" t="s">
        <v>74</v>
      </c>
      <c r="BH607" s="1" t="s">
        <v>8249</v>
      </c>
      <c r="BI607" s="1">
        <v>13.0</v>
      </c>
      <c r="BJ607" s="1" t="s">
        <v>1214</v>
      </c>
      <c r="BK607" s="1" t="s">
        <v>172</v>
      </c>
      <c r="BL607" s="1" t="s">
        <v>232</v>
      </c>
      <c r="BM607" s="1" t="s">
        <v>12419</v>
      </c>
      <c r="BN607" s="1" t="s">
        <v>74</v>
      </c>
      <c r="BO607" s="1" t="s">
        <v>306</v>
      </c>
      <c r="BP607" s="1" t="s">
        <v>74</v>
      </c>
      <c r="BQ607" s="1" t="s">
        <v>74</v>
      </c>
      <c r="BR607" s="1" t="s">
        <v>102</v>
      </c>
      <c r="BS607" s="1" t="s">
        <v>12420</v>
      </c>
      <c r="BT607" s="1" t="str">
        <f>HYPERLINK("https%3A%2F%2Fwww.webofscience.com%2Fwos%2Fwoscc%2Ffull-record%2FWOS:000737750900001","View Full Record in Web of Science")</f>
        <v>View Full Record in Web of Science</v>
      </c>
    </row>
    <row r="608" ht="12.75" customHeight="1">
      <c r="A608" s="1" t="s">
        <v>132</v>
      </c>
      <c r="B608" s="1" t="s">
        <v>12421</v>
      </c>
      <c r="C608" s="1" t="s">
        <v>74</v>
      </c>
      <c r="D608" s="1" t="s">
        <v>74</v>
      </c>
      <c r="E608" s="1" t="s">
        <v>74</v>
      </c>
      <c r="F608" s="1" t="s">
        <v>12422</v>
      </c>
      <c r="G608" s="1" t="s">
        <v>74</v>
      </c>
      <c r="H608" s="1" t="s">
        <v>74</v>
      </c>
      <c r="I608" s="1" t="s">
        <v>12423</v>
      </c>
      <c r="J608" s="1" t="s">
        <v>12424</v>
      </c>
      <c r="K608" s="1" t="s">
        <v>74</v>
      </c>
      <c r="L608" s="1" t="s">
        <v>74</v>
      </c>
      <c r="M608" s="1" t="s">
        <v>80</v>
      </c>
      <c r="N608" s="1" t="s">
        <v>136</v>
      </c>
      <c r="O608" s="1" t="s">
        <v>74</v>
      </c>
      <c r="P608" s="1" t="s">
        <v>74</v>
      </c>
      <c r="Q608" s="1" t="s">
        <v>74</v>
      </c>
      <c r="R608" s="1" t="s">
        <v>74</v>
      </c>
      <c r="S608" s="1" t="s">
        <v>74</v>
      </c>
      <c r="T608" s="1" t="s">
        <v>12425</v>
      </c>
      <c r="U608" s="1" t="s">
        <v>12426</v>
      </c>
      <c r="V608" s="1" t="s">
        <v>12427</v>
      </c>
      <c r="W608" s="1" t="s">
        <v>12428</v>
      </c>
      <c r="X608" s="1" t="s">
        <v>74</v>
      </c>
      <c r="Y608" s="1" t="s">
        <v>12429</v>
      </c>
      <c r="Z608" s="1" t="s">
        <v>12430</v>
      </c>
      <c r="AA608" s="1" t="s">
        <v>74</v>
      </c>
      <c r="AB608" s="1" t="s">
        <v>12431</v>
      </c>
      <c r="AC608" s="1" t="s">
        <v>12432</v>
      </c>
      <c r="AD608" s="1" t="s">
        <v>12433</v>
      </c>
      <c r="AE608" s="1" t="s">
        <v>12434</v>
      </c>
      <c r="AF608" s="1" t="s">
        <v>74</v>
      </c>
      <c r="AG608" s="1">
        <v>97.0</v>
      </c>
      <c r="AH608" s="1">
        <v>963.0</v>
      </c>
      <c r="AI608" s="1">
        <v>1024.0</v>
      </c>
      <c r="AJ608" s="1">
        <v>36.0</v>
      </c>
      <c r="AK608" s="1">
        <v>235.0</v>
      </c>
      <c r="AL608" s="1" t="s">
        <v>1831</v>
      </c>
      <c r="AM608" s="1" t="s">
        <v>349</v>
      </c>
      <c r="AN608" s="1" t="s">
        <v>1832</v>
      </c>
      <c r="AO608" s="1" t="s">
        <v>12435</v>
      </c>
      <c r="AP608" s="1" t="s">
        <v>74</v>
      </c>
      <c r="AQ608" s="1" t="s">
        <v>74</v>
      </c>
      <c r="AR608" s="1" t="s">
        <v>12436</v>
      </c>
      <c r="AS608" s="1" t="s">
        <v>12437</v>
      </c>
      <c r="AT608" s="1" t="s">
        <v>12438</v>
      </c>
      <c r="AU608" s="1">
        <v>2019.0</v>
      </c>
      <c r="AV608" s="1">
        <v>17.0</v>
      </c>
      <c r="AW608" s="1">
        <v>1.0</v>
      </c>
      <c r="AX608" s="1" t="s">
        <v>74</v>
      </c>
      <c r="AY608" s="1" t="s">
        <v>74</v>
      </c>
      <c r="AZ608" s="1" t="s">
        <v>74</v>
      </c>
      <c r="BA608" s="1" t="s">
        <v>74</v>
      </c>
      <c r="BB608" s="1" t="s">
        <v>74</v>
      </c>
      <c r="BC608" s="1" t="s">
        <v>74</v>
      </c>
      <c r="BD608" s="1">
        <v>195.0</v>
      </c>
      <c r="BE608" s="1" t="s">
        <v>12439</v>
      </c>
      <c r="BF608" s="2" t="str">
        <f>HYPERLINK("http://dx.doi.org/10.1186/s12916-019-1426-2","http://dx.doi.org/10.1186/s12916-019-1426-2")</f>
        <v>http://dx.doi.org/10.1186/s12916-019-1426-2</v>
      </c>
      <c r="BG608" s="1" t="s">
        <v>74</v>
      </c>
      <c r="BH608" s="1" t="s">
        <v>74</v>
      </c>
      <c r="BI608" s="1">
        <v>9.0</v>
      </c>
      <c r="BJ608" s="1" t="s">
        <v>1158</v>
      </c>
      <c r="BK608" s="1" t="s">
        <v>783</v>
      </c>
      <c r="BL608" s="1" t="s">
        <v>1159</v>
      </c>
      <c r="BM608" s="1" t="s">
        <v>12440</v>
      </c>
      <c r="BN608" s="1">
        <v>3.1665002E7</v>
      </c>
      <c r="BO608" s="1" t="s">
        <v>284</v>
      </c>
      <c r="BP608" s="1" t="s">
        <v>74</v>
      </c>
      <c r="BQ608" s="1" t="s">
        <v>74</v>
      </c>
      <c r="BR608" s="1" t="s">
        <v>102</v>
      </c>
      <c r="BS608" s="1" t="s">
        <v>12441</v>
      </c>
      <c r="BT608" s="1" t="str">
        <f>HYPERLINK("https%3A%2F%2Fwww.webofscience.com%2Fwos%2Fwoscc%2Ffull-record%2FWOS:000508420300001","View Full Record in Web of Science")</f>
        <v>View Full Record in Web of Science</v>
      </c>
    </row>
    <row r="609" ht="12.75" customHeight="1">
      <c r="A609" s="1" t="s">
        <v>132</v>
      </c>
      <c r="B609" s="1" t="s">
        <v>12442</v>
      </c>
      <c r="C609" s="1" t="s">
        <v>74</v>
      </c>
      <c r="D609" s="1" t="s">
        <v>74</v>
      </c>
      <c r="E609" s="1" t="s">
        <v>74</v>
      </c>
      <c r="F609" s="1" t="s">
        <v>12443</v>
      </c>
      <c r="G609" s="1" t="s">
        <v>74</v>
      </c>
      <c r="H609" s="1" t="s">
        <v>74</v>
      </c>
      <c r="I609" s="1" t="s">
        <v>12444</v>
      </c>
      <c r="J609" s="1" t="s">
        <v>12445</v>
      </c>
      <c r="K609" s="1" t="s">
        <v>74</v>
      </c>
      <c r="L609" s="1" t="s">
        <v>74</v>
      </c>
      <c r="M609" s="1" t="s">
        <v>80</v>
      </c>
      <c r="N609" s="1" t="s">
        <v>136</v>
      </c>
      <c r="O609" s="1" t="s">
        <v>74</v>
      </c>
      <c r="P609" s="1" t="s">
        <v>74</v>
      </c>
      <c r="Q609" s="1" t="s">
        <v>74</v>
      </c>
      <c r="R609" s="1" t="s">
        <v>74</v>
      </c>
      <c r="S609" s="1" t="s">
        <v>74</v>
      </c>
      <c r="T609" s="1" t="s">
        <v>12446</v>
      </c>
      <c r="U609" s="1" t="s">
        <v>12447</v>
      </c>
      <c r="V609" s="1" t="s">
        <v>12448</v>
      </c>
      <c r="W609" s="1" t="s">
        <v>12449</v>
      </c>
      <c r="X609" s="1" t="s">
        <v>12450</v>
      </c>
      <c r="Y609" s="1" t="s">
        <v>12451</v>
      </c>
      <c r="Z609" s="1" t="s">
        <v>12452</v>
      </c>
      <c r="AA609" s="1" t="s">
        <v>12453</v>
      </c>
      <c r="AB609" s="1" t="s">
        <v>74</v>
      </c>
      <c r="AC609" s="1" t="s">
        <v>74</v>
      </c>
      <c r="AD609" s="1" t="s">
        <v>74</v>
      </c>
      <c r="AE609" s="1" t="s">
        <v>74</v>
      </c>
      <c r="AF609" s="1" t="s">
        <v>74</v>
      </c>
      <c r="AG609" s="1">
        <v>46.0</v>
      </c>
      <c r="AH609" s="1">
        <v>39.0</v>
      </c>
      <c r="AI609" s="1">
        <v>44.0</v>
      </c>
      <c r="AJ609" s="1">
        <v>4.0</v>
      </c>
      <c r="AK609" s="1">
        <v>72.0</v>
      </c>
      <c r="AL609" s="1" t="s">
        <v>12454</v>
      </c>
      <c r="AM609" s="1" t="s">
        <v>12455</v>
      </c>
      <c r="AN609" s="1" t="s">
        <v>12456</v>
      </c>
      <c r="AO609" s="1" t="s">
        <v>12457</v>
      </c>
      <c r="AP609" s="1" t="s">
        <v>12458</v>
      </c>
      <c r="AQ609" s="1" t="s">
        <v>74</v>
      </c>
      <c r="AR609" s="1" t="s">
        <v>12445</v>
      </c>
      <c r="AS609" s="1" t="s">
        <v>12459</v>
      </c>
      <c r="AT609" s="1" t="s">
        <v>1253</v>
      </c>
      <c r="AU609" s="1">
        <v>2020.0</v>
      </c>
      <c r="AV609" s="1">
        <v>50.0</v>
      </c>
      <c r="AW609" s="1" t="s">
        <v>74</v>
      </c>
      <c r="AX609" s="1" t="s">
        <v>74</v>
      </c>
      <c r="AY609" s="1" t="s">
        <v>74</v>
      </c>
      <c r="AZ609" s="1" t="s">
        <v>74</v>
      </c>
      <c r="BA609" s="1" t="s">
        <v>74</v>
      </c>
      <c r="BB609" s="1">
        <v>49.0</v>
      </c>
      <c r="BC609" s="1">
        <v>55.0</v>
      </c>
      <c r="BD609" s="1" t="s">
        <v>74</v>
      </c>
      <c r="BE609" s="1" t="s">
        <v>12460</v>
      </c>
      <c r="BF609" s="2" t="str">
        <f>HYPERLINK("http://dx.doi.org/10.1016/j.breast.2020.01.008","http://dx.doi.org/10.1016/j.breast.2020.01.008")</f>
        <v>http://dx.doi.org/10.1016/j.breast.2020.01.008</v>
      </c>
      <c r="BG609" s="1" t="s">
        <v>74</v>
      </c>
      <c r="BH609" s="1" t="s">
        <v>74</v>
      </c>
      <c r="BI609" s="1">
        <v>7.0</v>
      </c>
      <c r="BJ609" s="1" t="s">
        <v>7295</v>
      </c>
      <c r="BK609" s="1" t="s">
        <v>783</v>
      </c>
      <c r="BL609" s="1" t="s">
        <v>7295</v>
      </c>
      <c r="BM609" s="1" t="s">
        <v>12461</v>
      </c>
      <c r="BN609" s="1">
        <v>3.2007704E7</v>
      </c>
      <c r="BO609" s="1" t="s">
        <v>284</v>
      </c>
      <c r="BP609" s="1" t="s">
        <v>74</v>
      </c>
      <c r="BQ609" s="1" t="s">
        <v>74</v>
      </c>
      <c r="BR609" s="1" t="s">
        <v>102</v>
      </c>
      <c r="BS609" s="1" t="s">
        <v>12462</v>
      </c>
      <c r="BT609" s="1" t="str">
        <f>HYPERLINK("https%3A%2F%2Fwww.webofscience.com%2Fwos%2Fwoscc%2Ffull-record%2FWOS:000519815500007","View Full Record in Web of Science")</f>
        <v>View Full Record in Web of Science</v>
      </c>
    </row>
    <row r="610" ht="12.75" customHeight="1">
      <c r="A610" s="1" t="s">
        <v>132</v>
      </c>
      <c r="B610" s="1" t="s">
        <v>12463</v>
      </c>
      <c r="C610" s="1" t="s">
        <v>74</v>
      </c>
      <c r="D610" s="1" t="s">
        <v>74</v>
      </c>
      <c r="E610" s="1" t="s">
        <v>74</v>
      </c>
      <c r="F610" s="1" t="s">
        <v>12464</v>
      </c>
      <c r="G610" s="1" t="s">
        <v>74</v>
      </c>
      <c r="H610" s="1" t="s">
        <v>74</v>
      </c>
      <c r="I610" s="1" t="s">
        <v>12465</v>
      </c>
      <c r="J610" s="1" t="s">
        <v>12466</v>
      </c>
      <c r="K610" s="1" t="s">
        <v>74</v>
      </c>
      <c r="L610" s="1" t="s">
        <v>74</v>
      </c>
      <c r="M610" s="1" t="s">
        <v>80</v>
      </c>
      <c r="N610" s="1" t="s">
        <v>136</v>
      </c>
      <c r="O610" s="1" t="s">
        <v>74</v>
      </c>
      <c r="P610" s="1" t="s">
        <v>74</v>
      </c>
      <c r="Q610" s="1" t="s">
        <v>74</v>
      </c>
      <c r="R610" s="1" t="s">
        <v>74</v>
      </c>
      <c r="S610" s="1" t="s">
        <v>74</v>
      </c>
      <c r="T610" s="1" t="s">
        <v>12467</v>
      </c>
      <c r="U610" s="1" t="s">
        <v>12468</v>
      </c>
      <c r="V610" s="1" t="s">
        <v>12469</v>
      </c>
      <c r="W610" s="1" t="s">
        <v>12470</v>
      </c>
      <c r="X610" s="1" t="s">
        <v>12471</v>
      </c>
      <c r="Y610" s="1" t="s">
        <v>12472</v>
      </c>
      <c r="Z610" s="1" t="s">
        <v>12473</v>
      </c>
      <c r="AA610" s="1" t="s">
        <v>12474</v>
      </c>
      <c r="AB610" s="1" t="s">
        <v>12475</v>
      </c>
      <c r="AC610" s="1" t="s">
        <v>12476</v>
      </c>
      <c r="AD610" s="1" t="s">
        <v>12477</v>
      </c>
      <c r="AE610" s="1" t="s">
        <v>12478</v>
      </c>
      <c r="AF610" s="1" t="s">
        <v>74</v>
      </c>
      <c r="AG610" s="1">
        <v>114.0</v>
      </c>
      <c r="AH610" s="1">
        <v>7.0</v>
      </c>
      <c r="AI610" s="1">
        <v>7.0</v>
      </c>
      <c r="AJ610" s="1">
        <v>38.0</v>
      </c>
      <c r="AK610" s="1">
        <v>72.0</v>
      </c>
      <c r="AL610" s="1" t="s">
        <v>1357</v>
      </c>
      <c r="AM610" s="1" t="s">
        <v>1358</v>
      </c>
      <c r="AN610" s="1" t="s">
        <v>1359</v>
      </c>
      <c r="AO610" s="1" t="s">
        <v>74</v>
      </c>
      <c r="AP610" s="1" t="s">
        <v>12479</v>
      </c>
      <c r="AQ610" s="1" t="s">
        <v>74</v>
      </c>
      <c r="AR610" s="1" t="s">
        <v>12480</v>
      </c>
      <c r="AS610" s="1" t="s">
        <v>12481</v>
      </c>
      <c r="AT610" s="1" t="s">
        <v>1364</v>
      </c>
      <c r="AU610" s="1">
        <v>2024.0</v>
      </c>
      <c r="AV610" s="1">
        <v>11.0</v>
      </c>
      <c r="AW610" s="1">
        <v>19.0</v>
      </c>
      <c r="AX610" s="1" t="s">
        <v>74</v>
      </c>
      <c r="AY610" s="1" t="s">
        <v>74</v>
      </c>
      <c r="AZ610" s="1" t="s">
        <v>74</v>
      </c>
      <c r="BA610" s="1" t="s">
        <v>74</v>
      </c>
      <c r="BB610" s="1" t="s">
        <v>74</v>
      </c>
      <c r="BC610" s="1" t="s">
        <v>74</v>
      </c>
      <c r="BD610" s="1" t="s">
        <v>74</v>
      </c>
      <c r="BE610" s="1" t="s">
        <v>12482</v>
      </c>
      <c r="BF610" s="2" t="str">
        <f>HYPERLINK("http://dx.doi.org/10.1002/advs.202401401","http://dx.doi.org/10.1002/advs.202401401")</f>
        <v>http://dx.doi.org/10.1002/advs.202401401</v>
      </c>
      <c r="BG610" s="1" t="s">
        <v>74</v>
      </c>
      <c r="BH610" s="1" t="s">
        <v>2958</v>
      </c>
      <c r="BI610" s="1">
        <v>11.0</v>
      </c>
      <c r="BJ610" s="1" t="s">
        <v>12483</v>
      </c>
      <c r="BK610" s="1" t="s">
        <v>149</v>
      </c>
      <c r="BL610" s="1" t="s">
        <v>12484</v>
      </c>
      <c r="BM610" s="1" t="s">
        <v>12485</v>
      </c>
      <c r="BN610" s="1">
        <v>3.847744E7</v>
      </c>
      <c r="BO610" s="1" t="s">
        <v>284</v>
      </c>
      <c r="BP610" s="1" t="s">
        <v>74</v>
      </c>
      <c r="BQ610" s="1" t="s">
        <v>74</v>
      </c>
      <c r="BR610" s="1" t="s">
        <v>102</v>
      </c>
      <c r="BS610" s="1" t="s">
        <v>12486</v>
      </c>
      <c r="BT610" s="1" t="str">
        <f>HYPERLINK("https%3A%2F%2Fwww.webofscience.com%2Fwos%2Fwoscc%2Ffull-record%2FWOS:001183836100001","View Full Record in Web of Science")</f>
        <v>View Full Record in Web of Science</v>
      </c>
    </row>
    <row r="611" ht="12.75" customHeight="1">
      <c r="A611" s="1" t="s">
        <v>132</v>
      </c>
      <c r="B611" s="1" t="s">
        <v>12487</v>
      </c>
      <c r="C611" s="1" t="s">
        <v>74</v>
      </c>
      <c r="D611" s="1" t="s">
        <v>74</v>
      </c>
      <c r="E611" s="1" t="s">
        <v>74</v>
      </c>
      <c r="F611" s="1" t="s">
        <v>12488</v>
      </c>
      <c r="G611" s="1" t="s">
        <v>74</v>
      </c>
      <c r="H611" s="1" t="s">
        <v>74</v>
      </c>
      <c r="I611" s="1" t="s">
        <v>12489</v>
      </c>
      <c r="J611" s="1" t="s">
        <v>12490</v>
      </c>
      <c r="K611" s="1" t="s">
        <v>74</v>
      </c>
      <c r="L611" s="1" t="s">
        <v>74</v>
      </c>
      <c r="M611" s="1" t="s">
        <v>80</v>
      </c>
      <c r="N611" s="1" t="s">
        <v>136</v>
      </c>
      <c r="O611" s="1" t="s">
        <v>74</v>
      </c>
      <c r="P611" s="1" t="s">
        <v>74</v>
      </c>
      <c r="Q611" s="1" t="s">
        <v>74</v>
      </c>
      <c r="R611" s="1" t="s">
        <v>74</v>
      </c>
      <c r="S611" s="1" t="s">
        <v>74</v>
      </c>
      <c r="T611" s="1" t="s">
        <v>12491</v>
      </c>
      <c r="U611" s="1" t="s">
        <v>74</v>
      </c>
      <c r="V611" s="1" t="s">
        <v>12492</v>
      </c>
      <c r="W611" s="1" t="s">
        <v>12493</v>
      </c>
      <c r="X611" s="1" t="s">
        <v>12494</v>
      </c>
      <c r="Y611" s="1" t="s">
        <v>12495</v>
      </c>
      <c r="Z611" s="1" t="s">
        <v>12496</v>
      </c>
      <c r="AA611" s="1" t="s">
        <v>12497</v>
      </c>
      <c r="AB611" s="1" t="s">
        <v>12498</v>
      </c>
      <c r="AC611" s="1" t="s">
        <v>74</v>
      </c>
      <c r="AD611" s="1" t="s">
        <v>74</v>
      </c>
      <c r="AE611" s="1" t="s">
        <v>74</v>
      </c>
      <c r="AF611" s="1" t="s">
        <v>74</v>
      </c>
      <c r="AG611" s="1">
        <v>37.0</v>
      </c>
      <c r="AH611" s="1">
        <v>3.0</v>
      </c>
      <c r="AI611" s="1">
        <v>3.0</v>
      </c>
      <c r="AJ611" s="1">
        <v>37.0</v>
      </c>
      <c r="AK611" s="1">
        <v>143.0</v>
      </c>
      <c r="AL611" s="1" t="s">
        <v>12499</v>
      </c>
      <c r="AM611" s="1" t="s">
        <v>12500</v>
      </c>
      <c r="AN611" s="1" t="s">
        <v>12501</v>
      </c>
      <c r="AO611" s="1" t="s">
        <v>12502</v>
      </c>
      <c r="AP611" s="1" t="s">
        <v>74</v>
      </c>
      <c r="AQ611" s="1" t="s">
        <v>74</v>
      </c>
      <c r="AR611" s="1" t="s">
        <v>12490</v>
      </c>
      <c r="AS611" s="1" t="s">
        <v>12503</v>
      </c>
      <c r="AT611" s="1" t="s">
        <v>74</v>
      </c>
      <c r="AU611" s="1">
        <v>2022.0</v>
      </c>
      <c r="AV611" s="1">
        <v>2.0</v>
      </c>
      <c r="AW611" s="1">
        <v>1.0</v>
      </c>
      <c r="AX611" s="1" t="s">
        <v>74</v>
      </c>
      <c r="AY611" s="1" t="s">
        <v>74</v>
      </c>
      <c r="AZ611" s="1" t="s">
        <v>474</v>
      </c>
      <c r="BA611" s="1" t="s">
        <v>74</v>
      </c>
      <c r="BB611" s="1">
        <v>88.0</v>
      </c>
      <c r="BC611" s="1" t="s">
        <v>1280</v>
      </c>
      <c r="BD611" s="1" t="s">
        <v>74</v>
      </c>
      <c r="BE611" s="1" t="s">
        <v>12504</v>
      </c>
      <c r="BF611" s="2" t="str">
        <f>HYPERLINK("http://dx.doi.org/10.24234/wisdom.v2i1.763","http://dx.doi.org/10.24234/wisdom.v2i1.763")</f>
        <v>http://dx.doi.org/10.24234/wisdom.v2i1.763</v>
      </c>
      <c r="BG611" s="1" t="s">
        <v>74</v>
      </c>
      <c r="BH611" s="1" t="s">
        <v>74</v>
      </c>
      <c r="BI611" s="1">
        <v>10.0</v>
      </c>
      <c r="BJ611" s="1" t="s">
        <v>3709</v>
      </c>
      <c r="BK611" s="1" t="s">
        <v>172</v>
      </c>
      <c r="BL611" s="1" t="s">
        <v>3709</v>
      </c>
      <c r="BM611" s="1" t="s">
        <v>12505</v>
      </c>
      <c r="BN611" s="1" t="s">
        <v>74</v>
      </c>
      <c r="BO611" s="1" t="s">
        <v>556</v>
      </c>
      <c r="BP611" s="1" t="s">
        <v>74</v>
      </c>
      <c r="BQ611" s="1" t="s">
        <v>74</v>
      </c>
      <c r="BR611" s="1" t="s">
        <v>102</v>
      </c>
      <c r="BS611" s="1" t="s">
        <v>12506</v>
      </c>
      <c r="BT611" s="1" t="str">
        <f>HYPERLINK("https%3A%2F%2Fwww.webofscience.com%2Fwos%2Fwoscc%2Ffull-record%2FWOS:000803984900009","View Full Record in Web of Science")</f>
        <v>View Full Record in Web of Science</v>
      </c>
    </row>
    <row r="612" ht="12.75" customHeight="1">
      <c r="A612" s="1" t="s">
        <v>132</v>
      </c>
      <c r="B612" s="1" t="s">
        <v>12507</v>
      </c>
      <c r="C612" s="1" t="s">
        <v>74</v>
      </c>
      <c r="D612" s="1" t="s">
        <v>74</v>
      </c>
      <c r="E612" s="1" t="s">
        <v>74</v>
      </c>
      <c r="F612" s="1" t="s">
        <v>12508</v>
      </c>
      <c r="G612" s="1" t="s">
        <v>74</v>
      </c>
      <c r="H612" s="1" t="s">
        <v>74</v>
      </c>
      <c r="I612" s="1" t="s">
        <v>12509</v>
      </c>
      <c r="J612" s="1" t="s">
        <v>12510</v>
      </c>
      <c r="K612" s="1" t="s">
        <v>74</v>
      </c>
      <c r="L612" s="1" t="s">
        <v>74</v>
      </c>
      <c r="M612" s="1" t="s">
        <v>80</v>
      </c>
      <c r="N612" s="1" t="s">
        <v>136</v>
      </c>
      <c r="O612" s="1" t="s">
        <v>74</v>
      </c>
      <c r="P612" s="1" t="s">
        <v>74</v>
      </c>
      <c r="Q612" s="1" t="s">
        <v>74</v>
      </c>
      <c r="R612" s="1" t="s">
        <v>74</v>
      </c>
      <c r="S612" s="1" t="s">
        <v>74</v>
      </c>
      <c r="T612" s="1" t="s">
        <v>12511</v>
      </c>
      <c r="U612" s="1" t="s">
        <v>74</v>
      </c>
      <c r="V612" s="1" t="s">
        <v>12512</v>
      </c>
      <c r="W612" s="1" t="s">
        <v>12513</v>
      </c>
      <c r="X612" s="1" t="s">
        <v>12514</v>
      </c>
      <c r="Y612" s="1" t="s">
        <v>12515</v>
      </c>
      <c r="Z612" s="1" t="s">
        <v>12516</v>
      </c>
      <c r="AA612" s="1" t="s">
        <v>12517</v>
      </c>
      <c r="AB612" s="1" t="s">
        <v>12518</v>
      </c>
      <c r="AC612" s="1" t="s">
        <v>74</v>
      </c>
      <c r="AD612" s="1" t="s">
        <v>74</v>
      </c>
      <c r="AE612" s="1" t="s">
        <v>74</v>
      </c>
      <c r="AF612" s="1" t="s">
        <v>74</v>
      </c>
      <c r="AG612" s="1">
        <v>85.0</v>
      </c>
      <c r="AH612" s="1">
        <v>0.0</v>
      </c>
      <c r="AI612" s="1">
        <v>0.0</v>
      </c>
      <c r="AJ612" s="1">
        <v>2.0</v>
      </c>
      <c r="AK612" s="1">
        <v>2.0</v>
      </c>
      <c r="AL612" s="1" t="s">
        <v>1357</v>
      </c>
      <c r="AM612" s="1" t="s">
        <v>1358</v>
      </c>
      <c r="AN612" s="1" t="s">
        <v>1359</v>
      </c>
      <c r="AO612" s="1" t="s">
        <v>12519</v>
      </c>
      <c r="AP612" s="1" t="s">
        <v>12520</v>
      </c>
      <c r="AQ612" s="1" t="s">
        <v>74</v>
      </c>
      <c r="AR612" s="1" t="s">
        <v>12521</v>
      </c>
      <c r="AS612" s="1" t="s">
        <v>12522</v>
      </c>
      <c r="AT612" s="1" t="s">
        <v>74</v>
      </c>
      <c r="AU612" s="1">
        <v>2024.0</v>
      </c>
      <c r="AV612" s="1">
        <v>2024.0</v>
      </c>
      <c r="AW612" s="1">
        <v>1.0</v>
      </c>
      <c r="AX612" s="1" t="s">
        <v>74</v>
      </c>
      <c r="AY612" s="1" t="s">
        <v>74</v>
      </c>
      <c r="AZ612" s="1" t="s">
        <v>74</v>
      </c>
      <c r="BA612" s="1" t="s">
        <v>74</v>
      </c>
      <c r="BB612" s="1" t="s">
        <v>74</v>
      </c>
      <c r="BC612" s="1" t="s">
        <v>74</v>
      </c>
      <c r="BD612" s="1">
        <v>3334263.0</v>
      </c>
      <c r="BE612" s="1" t="s">
        <v>12523</v>
      </c>
      <c r="BF612" s="2" t="str">
        <f>HYPERLINK("http://dx.doi.org/10.1155/int/3334263","http://dx.doi.org/10.1155/int/3334263")</f>
        <v>http://dx.doi.org/10.1155/int/3334263</v>
      </c>
      <c r="BG612" s="1" t="s">
        <v>74</v>
      </c>
      <c r="BH612" s="1" t="s">
        <v>74</v>
      </c>
      <c r="BI612" s="1">
        <v>21.0</v>
      </c>
      <c r="BJ612" s="1" t="s">
        <v>1214</v>
      </c>
      <c r="BK612" s="1" t="s">
        <v>149</v>
      </c>
      <c r="BL612" s="1" t="s">
        <v>232</v>
      </c>
      <c r="BM612" s="1" t="s">
        <v>12524</v>
      </c>
      <c r="BN612" s="1" t="s">
        <v>74</v>
      </c>
      <c r="BO612" s="1" t="s">
        <v>306</v>
      </c>
      <c r="BP612" s="1" t="s">
        <v>74</v>
      </c>
      <c r="BQ612" s="1" t="s">
        <v>74</v>
      </c>
      <c r="BR612" s="1" t="s">
        <v>102</v>
      </c>
      <c r="BS612" s="1" t="s">
        <v>12525</v>
      </c>
      <c r="BT612" s="1" t="str">
        <f>HYPERLINK("https%3A%2F%2Fwww.webofscience.com%2Fwos%2Fwoscc%2Ffull-record%2FWOS:001381375200001","View Full Record in Web of Science")</f>
        <v>View Full Record in Web of Science</v>
      </c>
    </row>
    <row r="613" ht="12.75" customHeight="1">
      <c r="A613" s="1" t="s">
        <v>132</v>
      </c>
      <c r="B613" s="1" t="s">
        <v>12526</v>
      </c>
      <c r="C613" s="1" t="s">
        <v>74</v>
      </c>
      <c r="D613" s="1" t="s">
        <v>74</v>
      </c>
      <c r="E613" s="1" t="s">
        <v>74</v>
      </c>
      <c r="F613" s="1" t="s">
        <v>12527</v>
      </c>
      <c r="G613" s="1" t="s">
        <v>74</v>
      </c>
      <c r="H613" s="1" t="s">
        <v>74</v>
      </c>
      <c r="I613" s="1" t="s">
        <v>12528</v>
      </c>
      <c r="J613" s="1" t="s">
        <v>12529</v>
      </c>
      <c r="K613" s="1" t="s">
        <v>74</v>
      </c>
      <c r="L613" s="1" t="s">
        <v>74</v>
      </c>
      <c r="M613" s="1" t="s">
        <v>80</v>
      </c>
      <c r="N613" s="1" t="s">
        <v>136</v>
      </c>
      <c r="O613" s="1" t="s">
        <v>74</v>
      </c>
      <c r="P613" s="1" t="s">
        <v>74</v>
      </c>
      <c r="Q613" s="1" t="s">
        <v>74</v>
      </c>
      <c r="R613" s="1" t="s">
        <v>74</v>
      </c>
      <c r="S613" s="1" t="s">
        <v>74</v>
      </c>
      <c r="T613" s="1" t="s">
        <v>12530</v>
      </c>
      <c r="U613" s="1" t="s">
        <v>74</v>
      </c>
      <c r="V613" s="1" t="s">
        <v>12531</v>
      </c>
      <c r="W613" s="1" t="s">
        <v>12532</v>
      </c>
      <c r="X613" s="1" t="s">
        <v>12533</v>
      </c>
      <c r="Y613" s="1" t="s">
        <v>12534</v>
      </c>
      <c r="Z613" s="1" t="s">
        <v>12535</v>
      </c>
      <c r="AA613" s="1" t="s">
        <v>74</v>
      </c>
      <c r="AB613" s="1" t="s">
        <v>74</v>
      </c>
      <c r="AC613" s="1" t="s">
        <v>74</v>
      </c>
      <c r="AD613" s="1" t="s">
        <v>74</v>
      </c>
      <c r="AE613" s="1" t="s">
        <v>74</v>
      </c>
      <c r="AF613" s="1" t="s">
        <v>74</v>
      </c>
      <c r="AG613" s="1">
        <v>17.0</v>
      </c>
      <c r="AH613" s="1">
        <v>2.0</v>
      </c>
      <c r="AI613" s="1">
        <v>2.0</v>
      </c>
      <c r="AJ613" s="1">
        <v>3.0</v>
      </c>
      <c r="AK613" s="1">
        <v>22.0</v>
      </c>
      <c r="AL613" s="1" t="s">
        <v>5999</v>
      </c>
      <c r="AM613" s="1" t="s">
        <v>322</v>
      </c>
      <c r="AN613" s="1" t="s">
        <v>6000</v>
      </c>
      <c r="AO613" s="1" t="s">
        <v>12536</v>
      </c>
      <c r="AP613" s="1" t="s">
        <v>12537</v>
      </c>
      <c r="AQ613" s="1" t="s">
        <v>74</v>
      </c>
      <c r="AR613" s="1" t="s">
        <v>12538</v>
      </c>
      <c r="AS613" s="1" t="s">
        <v>12539</v>
      </c>
      <c r="AT613" s="1" t="s">
        <v>74</v>
      </c>
      <c r="AU613" s="1">
        <v>2023.0</v>
      </c>
      <c r="AV613" s="1">
        <v>23.0</v>
      </c>
      <c r="AW613" s="1">
        <v>2.0</v>
      </c>
      <c r="AX613" s="1" t="s">
        <v>74</v>
      </c>
      <c r="AY613" s="1" t="s">
        <v>74</v>
      </c>
      <c r="AZ613" s="1" t="s">
        <v>74</v>
      </c>
      <c r="BA613" s="1" t="s">
        <v>74</v>
      </c>
      <c r="BB613" s="1">
        <v>605.0</v>
      </c>
      <c r="BC613" s="1">
        <v>615.0</v>
      </c>
      <c r="BD613" s="1" t="s">
        <v>74</v>
      </c>
      <c r="BE613" s="1" t="s">
        <v>12540</v>
      </c>
      <c r="BF613" s="2" t="str">
        <f>HYPERLINK("http://dx.doi.org/10.3233/JCM-226611","http://dx.doi.org/10.3233/JCM-226611")</f>
        <v>http://dx.doi.org/10.3233/JCM-226611</v>
      </c>
      <c r="BG613" s="1" t="s">
        <v>74</v>
      </c>
      <c r="BH613" s="1" t="s">
        <v>74</v>
      </c>
      <c r="BI613" s="1">
        <v>11.0</v>
      </c>
      <c r="BJ613" s="1" t="s">
        <v>4171</v>
      </c>
      <c r="BK613" s="1" t="s">
        <v>172</v>
      </c>
      <c r="BL613" s="1" t="s">
        <v>3052</v>
      </c>
      <c r="BM613" s="1" t="s">
        <v>12541</v>
      </c>
      <c r="BN613" s="1" t="s">
        <v>74</v>
      </c>
      <c r="BO613" s="1" t="s">
        <v>74</v>
      </c>
      <c r="BP613" s="1" t="s">
        <v>74</v>
      </c>
      <c r="BQ613" s="1" t="s">
        <v>74</v>
      </c>
      <c r="BR613" s="1" t="s">
        <v>102</v>
      </c>
      <c r="BS613" s="1" t="s">
        <v>12542</v>
      </c>
      <c r="BT613" s="1" t="str">
        <f>HYPERLINK("https%3A%2F%2Fwww.webofscience.com%2Fwos%2Fwoscc%2Ffull-record%2FWOS:000964733000003","View Full Record in Web of Science")</f>
        <v>View Full Record in Web of Science</v>
      </c>
    </row>
    <row r="614" ht="12.75" customHeight="1">
      <c r="A614" s="1" t="s">
        <v>132</v>
      </c>
      <c r="B614" s="1" t="s">
        <v>12543</v>
      </c>
      <c r="C614" s="1" t="s">
        <v>74</v>
      </c>
      <c r="D614" s="1" t="s">
        <v>74</v>
      </c>
      <c r="E614" s="1" t="s">
        <v>74</v>
      </c>
      <c r="F614" s="1" t="s">
        <v>12544</v>
      </c>
      <c r="G614" s="1" t="s">
        <v>74</v>
      </c>
      <c r="H614" s="1" t="s">
        <v>74</v>
      </c>
      <c r="I614" s="1" t="s">
        <v>12545</v>
      </c>
      <c r="J614" s="1" t="s">
        <v>9652</v>
      </c>
      <c r="K614" s="1" t="s">
        <v>74</v>
      </c>
      <c r="L614" s="1" t="s">
        <v>74</v>
      </c>
      <c r="M614" s="1" t="s">
        <v>80</v>
      </c>
      <c r="N614" s="1" t="s">
        <v>1010</v>
      </c>
      <c r="O614" s="1" t="s">
        <v>74</v>
      </c>
      <c r="P614" s="1" t="s">
        <v>74</v>
      </c>
      <c r="Q614" s="1" t="s">
        <v>74</v>
      </c>
      <c r="R614" s="1" t="s">
        <v>74</v>
      </c>
      <c r="S614" s="1" t="s">
        <v>74</v>
      </c>
      <c r="T614" s="1" t="s">
        <v>12546</v>
      </c>
      <c r="U614" s="1" t="s">
        <v>12547</v>
      </c>
      <c r="V614" s="1" t="s">
        <v>12548</v>
      </c>
      <c r="W614" s="1" t="s">
        <v>12549</v>
      </c>
      <c r="X614" s="1" t="s">
        <v>12550</v>
      </c>
      <c r="Y614" s="1" t="s">
        <v>12551</v>
      </c>
      <c r="Z614" s="1" t="s">
        <v>12552</v>
      </c>
      <c r="AA614" s="1" t="s">
        <v>12553</v>
      </c>
      <c r="AB614" s="1" t="s">
        <v>12554</v>
      </c>
      <c r="AC614" s="1" t="s">
        <v>74</v>
      </c>
      <c r="AD614" s="1" t="s">
        <v>74</v>
      </c>
      <c r="AE614" s="1" t="s">
        <v>74</v>
      </c>
      <c r="AF614" s="1" t="s">
        <v>74</v>
      </c>
      <c r="AG614" s="1">
        <v>87.0</v>
      </c>
      <c r="AH614" s="1">
        <v>20.0</v>
      </c>
      <c r="AI614" s="1">
        <v>21.0</v>
      </c>
      <c r="AJ614" s="1">
        <v>8.0</v>
      </c>
      <c r="AK614" s="1">
        <v>22.0</v>
      </c>
      <c r="AL614" s="1" t="s">
        <v>1970</v>
      </c>
      <c r="AM614" s="1" t="s">
        <v>1658</v>
      </c>
      <c r="AN614" s="1" t="s">
        <v>1971</v>
      </c>
      <c r="AO614" s="1" t="s">
        <v>74</v>
      </c>
      <c r="AP614" s="1" t="s">
        <v>9662</v>
      </c>
      <c r="AQ614" s="1" t="s">
        <v>74</v>
      </c>
      <c r="AR614" s="1" t="s">
        <v>9652</v>
      </c>
      <c r="AS614" s="1" t="s">
        <v>9663</v>
      </c>
      <c r="AT614" s="1" t="s">
        <v>199</v>
      </c>
      <c r="AU614" s="1">
        <v>2023.0</v>
      </c>
      <c r="AV614" s="1">
        <v>15.0</v>
      </c>
      <c r="AW614" s="1">
        <v>21.0</v>
      </c>
      <c r="AX614" s="1" t="s">
        <v>74</v>
      </c>
      <c r="AY614" s="1" t="s">
        <v>74</v>
      </c>
      <c r="AZ614" s="1" t="s">
        <v>74</v>
      </c>
      <c r="BA614" s="1" t="s">
        <v>74</v>
      </c>
      <c r="BB614" s="1" t="s">
        <v>74</v>
      </c>
      <c r="BC614" s="1" t="s">
        <v>74</v>
      </c>
      <c r="BD614" s="1">
        <v>5236.0</v>
      </c>
      <c r="BE614" s="1" t="s">
        <v>12555</v>
      </c>
      <c r="BF614" s="2" t="str">
        <f>HYPERLINK("http://dx.doi.org/10.3390/cancers15215236","http://dx.doi.org/10.3390/cancers15215236")</f>
        <v>http://dx.doi.org/10.3390/cancers15215236</v>
      </c>
      <c r="BG614" s="1" t="s">
        <v>74</v>
      </c>
      <c r="BH614" s="1" t="s">
        <v>74</v>
      </c>
      <c r="BI614" s="1">
        <v>16.0</v>
      </c>
      <c r="BJ614" s="1" t="s">
        <v>1904</v>
      </c>
      <c r="BK614" s="1" t="s">
        <v>149</v>
      </c>
      <c r="BL614" s="1" t="s">
        <v>1904</v>
      </c>
      <c r="BM614" s="1" t="s">
        <v>12556</v>
      </c>
      <c r="BN614" s="1">
        <v>3.7958411E7</v>
      </c>
      <c r="BO614" s="1" t="s">
        <v>1161</v>
      </c>
      <c r="BP614" s="1" t="s">
        <v>74</v>
      </c>
      <c r="BQ614" s="1" t="s">
        <v>74</v>
      </c>
      <c r="BR614" s="1" t="s">
        <v>102</v>
      </c>
      <c r="BS614" s="1" t="s">
        <v>12557</v>
      </c>
      <c r="BT614" s="1" t="str">
        <f>HYPERLINK("https%3A%2F%2Fwww.webofscience.com%2Fwos%2Fwoscc%2Ffull-record%2FWOS:001100356100001","View Full Record in Web of Science")</f>
        <v>View Full Record in Web of Science</v>
      </c>
    </row>
    <row r="615" ht="12.75" customHeight="1">
      <c r="A615" s="1" t="s">
        <v>72</v>
      </c>
      <c r="B615" s="1" t="s">
        <v>12558</v>
      </c>
      <c r="C615" s="1" t="s">
        <v>74</v>
      </c>
      <c r="D615" s="1" t="s">
        <v>12559</v>
      </c>
      <c r="E615" s="1" t="s">
        <v>74</v>
      </c>
      <c r="F615" s="1" t="s">
        <v>12560</v>
      </c>
      <c r="G615" s="1" t="s">
        <v>74</v>
      </c>
      <c r="H615" s="1" t="s">
        <v>74</v>
      </c>
      <c r="I615" s="1" t="s">
        <v>12561</v>
      </c>
      <c r="J615" s="1" t="s">
        <v>12562</v>
      </c>
      <c r="K615" s="1" t="s">
        <v>12563</v>
      </c>
      <c r="L615" s="1" t="s">
        <v>74</v>
      </c>
      <c r="M615" s="1" t="s">
        <v>80</v>
      </c>
      <c r="N615" s="1" t="s">
        <v>81</v>
      </c>
      <c r="O615" s="1" t="s">
        <v>12564</v>
      </c>
      <c r="P615" s="1" t="s">
        <v>12565</v>
      </c>
      <c r="Q615" s="1" t="s">
        <v>12566</v>
      </c>
      <c r="R615" s="1" t="s">
        <v>74</v>
      </c>
      <c r="S615" s="1" t="s">
        <v>12567</v>
      </c>
      <c r="T615" s="1" t="s">
        <v>12568</v>
      </c>
      <c r="U615" s="1" t="s">
        <v>74</v>
      </c>
      <c r="V615" s="1" t="s">
        <v>12569</v>
      </c>
      <c r="W615" s="1" t="s">
        <v>12570</v>
      </c>
      <c r="X615" s="1" t="s">
        <v>12571</v>
      </c>
      <c r="Y615" s="1" t="s">
        <v>12572</v>
      </c>
      <c r="Z615" s="1" t="s">
        <v>12573</v>
      </c>
      <c r="AA615" s="1" t="s">
        <v>12574</v>
      </c>
      <c r="AB615" s="1" t="s">
        <v>74</v>
      </c>
      <c r="AC615" s="1" t="s">
        <v>74</v>
      </c>
      <c r="AD615" s="1" t="s">
        <v>74</v>
      </c>
      <c r="AE615" s="1" t="s">
        <v>74</v>
      </c>
      <c r="AF615" s="1" t="s">
        <v>74</v>
      </c>
      <c r="AG615" s="1">
        <v>10.0</v>
      </c>
      <c r="AH615" s="1">
        <v>1.0</v>
      </c>
      <c r="AI615" s="1">
        <v>1.0</v>
      </c>
      <c r="AJ615" s="1">
        <v>1.0</v>
      </c>
      <c r="AK615" s="1">
        <v>1.0</v>
      </c>
      <c r="AL615" s="1" t="s">
        <v>12575</v>
      </c>
      <c r="AM615" s="1" t="s">
        <v>710</v>
      </c>
      <c r="AN615" s="1" t="s">
        <v>12576</v>
      </c>
      <c r="AO615" s="1" t="s">
        <v>12577</v>
      </c>
      <c r="AP615" s="1" t="s">
        <v>74</v>
      </c>
      <c r="AQ615" s="1" t="s">
        <v>74</v>
      </c>
      <c r="AR615" s="1" t="s">
        <v>12578</v>
      </c>
      <c r="AS615" s="1" t="s">
        <v>74</v>
      </c>
      <c r="AT615" s="1" t="s">
        <v>74</v>
      </c>
      <c r="AU615" s="1">
        <v>2021.0</v>
      </c>
      <c r="AV615" s="1" t="s">
        <v>74</v>
      </c>
      <c r="AW615" s="1" t="s">
        <v>74</v>
      </c>
      <c r="AX615" s="1" t="s">
        <v>74</v>
      </c>
      <c r="AY615" s="1" t="s">
        <v>74</v>
      </c>
      <c r="AZ615" s="1" t="s">
        <v>74</v>
      </c>
      <c r="BA615" s="1" t="s">
        <v>74</v>
      </c>
      <c r="BB615" s="1">
        <v>369.0</v>
      </c>
      <c r="BC615" s="1">
        <v>383.0</v>
      </c>
      <c r="BD615" s="1" t="s">
        <v>74</v>
      </c>
      <c r="BE615" s="1" t="s">
        <v>74</v>
      </c>
      <c r="BF615" s="1" t="s">
        <v>74</v>
      </c>
      <c r="BG615" s="1" t="s">
        <v>74</v>
      </c>
      <c r="BH615" s="1" t="s">
        <v>74</v>
      </c>
      <c r="BI615" s="1">
        <v>15.0</v>
      </c>
      <c r="BJ615" s="1" t="s">
        <v>12579</v>
      </c>
      <c r="BK615" s="1" t="s">
        <v>405</v>
      </c>
      <c r="BL615" s="1" t="s">
        <v>12580</v>
      </c>
      <c r="BM615" s="1" t="s">
        <v>12581</v>
      </c>
      <c r="BN615" s="1" t="s">
        <v>74</v>
      </c>
      <c r="BO615" s="1" t="s">
        <v>74</v>
      </c>
      <c r="BP615" s="1" t="s">
        <v>74</v>
      </c>
      <c r="BQ615" s="1" t="s">
        <v>74</v>
      </c>
      <c r="BR615" s="1" t="s">
        <v>102</v>
      </c>
      <c r="BS615" s="1" t="s">
        <v>12582</v>
      </c>
      <c r="BT615" s="1" t="str">
        <f>HYPERLINK("https%3A%2F%2Fwww.webofscience.com%2Fwos%2Fwoscc%2Ffull-record%2FWOS:001226759400022","View Full Record in Web of Science")</f>
        <v>View Full Record in Web of Science</v>
      </c>
    </row>
    <row r="616" ht="12.75" customHeight="1">
      <c r="A616" s="1" t="s">
        <v>132</v>
      </c>
      <c r="B616" s="1" t="s">
        <v>12583</v>
      </c>
      <c r="C616" s="1" t="s">
        <v>74</v>
      </c>
      <c r="D616" s="1" t="s">
        <v>74</v>
      </c>
      <c r="E616" s="1" t="s">
        <v>74</v>
      </c>
      <c r="F616" s="1" t="s">
        <v>12584</v>
      </c>
      <c r="G616" s="1" t="s">
        <v>74</v>
      </c>
      <c r="H616" s="1" t="s">
        <v>74</v>
      </c>
      <c r="I616" s="1" t="s">
        <v>12585</v>
      </c>
      <c r="J616" s="1" t="s">
        <v>10418</v>
      </c>
      <c r="K616" s="1" t="s">
        <v>74</v>
      </c>
      <c r="L616" s="1" t="s">
        <v>74</v>
      </c>
      <c r="M616" s="1" t="s">
        <v>638</v>
      </c>
      <c r="N616" s="1" t="s">
        <v>136</v>
      </c>
      <c r="O616" s="1" t="s">
        <v>74</v>
      </c>
      <c r="P616" s="1" t="s">
        <v>74</v>
      </c>
      <c r="Q616" s="1" t="s">
        <v>74</v>
      </c>
      <c r="R616" s="1" t="s">
        <v>74</v>
      </c>
      <c r="S616" s="1" t="s">
        <v>74</v>
      </c>
      <c r="T616" s="1" t="s">
        <v>12586</v>
      </c>
      <c r="U616" s="1" t="s">
        <v>74</v>
      </c>
      <c r="V616" s="1" t="s">
        <v>12587</v>
      </c>
      <c r="W616" s="1" t="s">
        <v>12588</v>
      </c>
      <c r="X616" s="1" t="s">
        <v>9537</v>
      </c>
      <c r="Y616" s="1" t="s">
        <v>12589</v>
      </c>
      <c r="Z616" s="1" t="s">
        <v>12590</v>
      </c>
      <c r="AA616" s="1" t="s">
        <v>74</v>
      </c>
      <c r="AB616" s="1" t="s">
        <v>74</v>
      </c>
      <c r="AC616" s="1" t="s">
        <v>74</v>
      </c>
      <c r="AD616" s="1" t="s">
        <v>74</v>
      </c>
      <c r="AE616" s="1" t="s">
        <v>12585</v>
      </c>
      <c r="AF616" s="1" t="s">
        <v>74</v>
      </c>
      <c r="AG616" s="1">
        <v>58.0</v>
      </c>
      <c r="AH616" s="1">
        <v>0.0</v>
      </c>
      <c r="AI616" s="1">
        <v>0.0</v>
      </c>
      <c r="AJ616" s="1">
        <v>12.0</v>
      </c>
      <c r="AK616" s="1">
        <v>12.0</v>
      </c>
      <c r="AL616" s="1" t="s">
        <v>10427</v>
      </c>
      <c r="AM616" s="1" t="s">
        <v>10428</v>
      </c>
      <c r="AN616" s="1" t="s">
        <v>10429</v>
      </c>
      <c r="AO616" s="1" t="s">
        <v>10430</v>
      </c>
      <c r="AP616" s="1" t="s">
        <v>74</v>
      </c>
      <c r="AQ616" s="1" t="s">
        <v>74</v>
      </c>
      <c r="AR616" s="1" t="s">
        <v>10431</v>
      </c>
      <c r="AS616" s="1" t="s">
        <v>10432</v>
      </c>
      <c r="AT616" s="1" t="s">
        <v>328</v>
      </c>
      <c r="AU616" s="1">
        <v>2024.0</v>
      </c>
      <c r="AV616" s="1" t="s">
        <v>74</v>
      </c>
      <c r="AW616" s="1">
        <v>45.0</v>
      </c>
      <c r="AX616" s="1" t="s">
        <v>74</v>
      </c>
      <c r="AY616" s="1" t="s">
        <v>74</v>
      </c>
      <c r="AZ616" s="1" t="s">
        <v>74</v>
      </c>
      <c r="BA616" s="1" t="s">
        <v>74</v>
      </c>
      <c r="BB616" s="1">
        <v>29.0</v>
      </c>
      <c r="BC616" s="1">
        <v>37.0</v>
      </c>
      <c r="BD616" s="1" t="s">
        <v>74</v>
      </c>
      <c r="BE616" s="1" t="s">
        <v>12591</v>
      </c>
      <c r="BF616" s="2" t="str">
        <f>HYPERLINK("http://dx.doi.org/10.1344/der.2024.45.29-36","http://dx.doi.org/10.1344/der.2024.45.29-36")</f>
        <v>http://dx.doi.org/10.1344/der.2024.45.29-36</v>
      </c>
      <c r="BG616" s="1" t="s">
        <v>74</v>
      </c>
      <c r="BH616" s="1" t="s">
        <v>74</v>
      </c>
      <c r="BI616" s="1">
        <v>9.0</v>
      </c>
      <c r="BJ616" s="1" t="s">
        <v>171</v>
      </c>
      <c r="BK616" s="1" t="s">
        <v>172</v>
      </c>
      <c r="BL616" s="1" t="s">
        <v>171</v>
      </c>
      <c r="BM616" s="1" t="s">
        <v>10434</v>
      </c>
      <c r="BN616" s="1" t="s">
        <v>74</v>
      </c>
      <c r="BO616" s="1" t="s">
        <v>74</v>
      </c>
      <c r="BP616" s="1" t="s">
        <v>74</v>
      </c>
      <c r="BQ616" s="1" t="s">
        <v>74</v>
      </c>
      <c r="BR616" s="1" t="s">
        <v>102</v>
      </c>
      <c r="BS616" s="1" t="s">
        <v>12592</v>
      </c>
      <c r="BT616" s="1" t="str">
        <f>HYPERLINK("https%3A%2F%2Fwww.webofscience.com%2Fwos%2Fwoscc%2Ffull-record%2FWOS:001270470900005","View Full Record in Web of Science")</f>
        <v>View Full Record in Web of Science</v>
      </c>
    </row>
    <row r="617" ht="12.75" customHeight="1">
      <c r="A617" s="1" t="s">
        <v>132</v>
      </c>
      <c r="B617" s="1" t="s">
        <v>12593</v>
      </c>
      <c r="C617" s="1" t="s">
        <v>74</v>
      </c>
      <c r="D617" s="1" t="s">
        <v>74</v>
      </c>
      <c r="E617" s="1" t="s">
        <v>74</v>
      </c>
      <c r="F617" s="1" t="s">
        <v>12594</v>
      </c>
      <c r="G617" s="1" t="s">
        <v>74</v>
      </c>
      <c r="H617" s="1" t="s">
        <v>74</v>
      </c>
      <c r="I617" s="1" t="s">
        <v>12595</v>
      </c>
      <c r="J617" s="1" t="s">
        <v>12596</v>
      </c>
      <c r="K617" s="1" t="s">
        <v>74</v>
      </c>
      <c r="L617" s="1" t="s">
        <v>74</v>
      </c>
      <c r="M617" s="1" t="s">
        <v>80</v>
      </c>
      <c r="N617" s="1" t="s">
        <v>136</v>
      </c>
      <c r="O617" s="1" t="s">
        <v>74</v>
      </c>
      <c r="P617" s="1" t="s">
        <v>74</v>
      </c>
      <c r="Q617" s="1" t="s">
        <v>74</v>
      </c>
      <c r="R617" s="1" t="s">
        <v>74</v>
      </c>
      <c r="S617" s="1" t="s">
        <v>74</v>
      </c>
      <c r="T617" s="1" t="s">
        <v>12597</v>
      </c>
      <c r="U617" s="1" t="s">
        <v>12598</v>
      </c>
      <c r="V617" s="1" t="s">
        <v>12599</v>
      </c>
      <c r="W617" s="1" t="s">
        <v>12600</v>
      </c>
      <c r="X617" s="1" t="s">
        <v>12601</v>
      </c>
      <c r="Y617" s="1" t="s">
        <v>12602</v>
      </c>
      <c r="Z617" s="1" t="s">
        <v>12603</v>
      </c>
      <c r="AA617" s="1" t="s">
        <v>74</v>
      </c>
      <c r="AB617" s="1" t="s">
        <v>74</v>
      </c>
      <c r="AC617" s="1" t="s">
        <v>74</v>
      </c>
      <c r="AD617" s="1" t="s">
        <v>74</v>
      </c>
      <c r="AE617" s="1" t="s">
        <v>74</v>
      </c>
      <c r="AF617" s="1" t="s">
        <v>74</v>
      </c>
      <c r="AG617" s="1">
        <v>46.0</v>
      </c>
      <c r="AH617" s="1">
        <v>3.0</v>
      </c>
      <c r="AI617" s="1">
        <v>3.0</v>
      </c>
      <c r="AJ617" s="1">
        <v>28.0</v>
      </c>
      <c r="AK617" s="1">
        <v>57.0</v>
      </c>
      <c r="AL617" s="1" t="s">
        <v>6153</v>
      </c>
      <c r="AM617" s="1" t="s">
        <v>6154</v>
      </c>
      <c r="AN617" s="1" t="s">
        <v>6155</v>
      </c>
      <c r="AO617" s="1" t="s">
        <v>12604</v>
      </c>
      <c r="AP617" s="1" t="s">
        <v>12605</v>
      </c>
      <c r="AQ617" s="1" t="s">
        <v>74</v>
      </c>
      <c r="AR617" s="1" t="s">
        <v>12606</v>
      </c>
      <c r="AS617" s="1" t="s">
        <v>12607</v>
      </c>
      <c r="AT617" s="1" t="s">
        <v>1051</v>
      </c>
      <c r="AU617" s="1">
        <v>2024.0</v>
      </c>
      <c r="AV617" s="1">
        <v>12.0</v>
      </c>
      <c r="AW617" s="1">
        <v>4.0</v>
      </c>
      <c r="AX617" s="1" t="s">
        <v>74</v>
      </c>
      <c r="AY617" s="1" t="s">
        <v>74</v>
      </c>
      <c r="AZ617" s="1" t="s">
        <v>74</v>
      </c>
      <c r="BA617" s="1" t="s">
        <v>74</v>
      </c>
      <c r="BB617" s="1">
        <v>778.0</v>
      </c>
      <c r="BC617" s="1">
        <v>789.0</v>
      </c>
      <c r="BD617" s="1" t="s">
        <v>74</v>
      </c>
      <c r="BE617" s="1" t="s">
        <v>12608</v>
      </c>
      <c r="BF617" s="2" t="str">
        <f>HYPERLINK("http://dx.doi.org/10.1057/s41270-023-00287-7","http://dx.doi.org/10.1057/s41270-023-00287-7")</f>
        <v>http://dx.doi.org/10.1057/s41270-023-00287-7</v>
      </c>
      <c r="BG617" s="1" t="s">
        <v>74</v>
      </c>
      <c r="BH617" s="1" t="s">
        <v>8579</v>
      </c>
      <c r="BI617" s="1">
        <v>12.0</v>
      </c>
      <c r="BJ617" s="1" t="s">
        <v>2040</v>
      </c>
      <c r="BK617" s="1" t="s">
        <v>172</v>
      </c>
      <c r="BL617" s="1" t="s">
        <v>204</v>
      </c>
      <c r="BM617" s="1" t="s">
        <v>12609</v>
      </c>
      <c r="BN617" s="1" t="s">
        <v>74</v>
      </c>
      <c r="BO617" s="1" t="s">
        <v>74</v>
      </c>
      <c r="BP617" s="1" t="s">
        <v>74</v>
      </c>
      <c r="BQ617" s="1" t="s">
        <v>74</v>
      </c>
      <c r="BR617" s="1" t="s">
        <v>102</v>
      </c>
      <c r="BS617" s="1" t="s">
        <v>12610</v>
      </c>
      <c r="BT617" s="1" t="str">
        <f>HYPERLINK("https%3A%2F%2Fwww.webofscience.com%2Fwos%2Fwoscc%2Ffull-record%2FWOS:001149226200003","View Full Record in Web of Science")</f>
        <v>View Full Record in Web of Science</v>
      </c>
    </row>
    <row r="618" ht="12.75" customHeight="1">
      <c r="A618" s="1" t="s">
        <v>132</v>
      </c>
      <c r="B618" s="1" t="s">
        <v>12611</v>
      </c>
      <c r="C618" s="1" t="s">
        <v>74</v>
      </c>
      <c r="D618" s="1" t="s">
        <v>74</v>
      </c>
      <c r="E618" s="1" t="s">
        <v>74</v>
      </c>
      <c r="F618" s="1" t="s">
        <v>12612</v>
      </c>
      <c r="G618" s="1" t="s">
        <v>74</v>
      </c>
      <c r="H618" s="1" t="s">
        <v>74</v>
      </c>
      <c r="I618" s="1" t="s">
        <v>12613</v>
      </c>
      <c r="J618" s="1" t="s">
        <v>12614</v>
      </c>
      <c r="K618" s="1" t="s">
        <v>74</v>
      </c>
      <c r="L618" s="1" t="s">
        <v>74</v>
      </c>
      <c r="M618" s="1" t="s">
        <v>638</v>
      </c>
      <c r="N618" s="1" t="s">
        <v>136</v>
      </c>
      <c r="O618" s="1" t="s">
        <v>74</v>
      </c>
      <c r="P618" s="1" t="s">
        <v>74</v>
      </c>
      <c r="Q618" s="1" t="s">
        <v>74</v>
      </c>
      <c r="R618" s="1" t="s">
        <v>74</v>
      </c>
      <c r="S618" s="1" t="s">
        <v>74</v>
      </c>
      <c r="T618" s="1" t="s">
        <v>12615</v>
      </c>
      <c r="U618" s="1" t="s">
        <v>74</v>
      </c>
      <c r="V618" s="1" t="s">
        <v>12616</v>
      </c>
      <c r="W618" s="1" t="s">
        <v>12617</v>
      </c>
      <c r="X618" s="1" t="s">
        <v>7189</v>
      </c>
      <c r="Y618" s="1" t="s">
        <v>12618</v>
      </c>
      <c r="Z618" s="1" t="s">
        <v>12619</v>
      </c>
      <c r="AA618" s="1" t="s">
        <v>74</v>
      </c>
      <c r="AB618" s="1" t="s">
        <v>74</v>
      </c>
      <c r="AC618" s="1" t="s">
        <v>74</v>
      </c>
      <c r="AD618" s="1" t="s">
        <v>74</v>
      </c>
      <c r="AE618" s="1" t="s">
        <v>74</v>
      </c>
      <c r="AF618" s="1" t="s">
        <v>74</v>
      </c>
      <c r="AG618" s="1">
        <v>25.0</v>
      </c>
      <c r="AH618" s="1">
        <v>3.0</v>
      </c>
      <c r="AI618" s="1">
        <v>4.0</v>
      </c>
      <c r="AJ618" s="1">
        <v>1.0</v>
      </c>
      <c r="AK618" s="1">
        <v>21.0</v>
      </c>
      <c r="AL618" s="1" t="s">
        <v>12620</v>
      </c>
      <c r="AM618" s="1" t="s">
        <v>10428</v>
      </c>
      <c r="AN618" s="1" t="s">
        <v>12621</v>
      </c>
      <c r="AO618" s="1" t="s">
        <v>12622</v>
      </c>
      <c r="AP618" s="1" t="s">
        <v>12623</v>
      </c>
      <c r="AQ618" s="1" t="s">
        <v>74</v>
      </c>
      <c r="AR618" s="1" t="s">
        <v>12624</v>
      </c>
      <c r="AS618" s="1" t="s">
        <v>12625</v>
      </c>
      <c r="AT618" s="1" t="s">
        <v>328</v>
      </c>
      <c r="AU618" s="1">
        <v>2020.0</v>
      </c>
      <c r="AV618" s="1" t="s">
        <v>74</v>
      </c>
      <c r="AW618" s="1">
        <v>60.0</v>
      </c>
      <c r="AX618" s="1" t="s">
        <v>74</v>
      </c>
      <c r="AY618" s="1" t="s">
        <v>74</v>
      </c>
      <c r="AZ618" s="1" t="s">
        <v>74</v>
      </c>
      <c r="BA618" s="1" t="s">
        <v>74</v>
      </c>
      <c r="BB618" s="1">
        <v>137.0</v>
      </c>
      <c r="BC618" s="1">
        <v>147.0</v>
      </c>
      <c r="BD618" s="1" t="s">
        <v>74</v>
      </c>
      <c r="BE618" s="1" t="s">
        <v>12626</v>
      </c>
      <c r="BF618" s="2" t="str">
        <f>HYPERLINK("http://dx.doi.org/10.2436/rcdp.i60.2020.3344","http://dx.doi.org/10.2436/rcdp.i60.2020.3344")</f>
        <v>http://dx.doi.org/10.2436/rcdp.i60.2020.3344</v>
      </c>
      <c r="BG618" s="1" t="s">
        <v>74</v>
      </c>
      <c r="BH618" s="1" t="s">
        <v>74</v>
      </c>
      <c r="BI618" s="1">
        <v>11.0</v>
      </c>
      <c r="BJ618" s="1" t="s">
        <v>915</v>
      </c>
      <c r="BK618" s="1" t="s">
        <v>172</v>
      </c>
      <c r="BL618" s="1" t="s">
        <v>916</v>
      </c>
      <c r="BM618" s="1" t="s">
        <v>12627</v>
      </c>
      <c r="BN618" s="1" t="s">
        <v>74</v>
      </c>
      <c r="BO618" s="1" t="s">
        <v>74</v>
      </c>
      <c r="BP618" s="1" t="s">
        <v>74</v>
      </c>
      <c r="BQ618" s="1" t="s">
        <v>74</v>
      </c>
      <c r="BR618" s="1" t="s">
        <v>102</v>
      </c>
      <c r="BS618" s="1" t="s">
        <v>12628</v>
      </c>
      <c r="BT618" s="1" t="str">
        <f>HYPERLINK("https%3A%2F%2Fwww.webofscience.com%2Fwos%2Fwoscc%2Ffull-record%2FWOS:000540790000008","View Full Record in Web of Science")</f>
        <v>View Full Record in Web of Science</v>
      </c>
    </row>
    <row r="619" ht="12.75" customHeight="1">
      <c r="A619" s="1" t="s">
        <v>132</v>
      </c>
      <c r="B619" s="1" t="s">
        <v>12629</v>
      </c>
      <c r="C619" s="1" t="s">
        <v>74</v>
      </c>
      <c r="D619" s="1" t="s">
        <v>74</v>
      </c>
      <c r="E619" s="1" t="s">
        <v>74</v>
      </c>
      <c r="F619" s="1" t="s">
        <v>12630</v>
      </c>
      <c r="G619" s="1" t="s">
        <v>74</v>
      </c>
      <c r="H619" s="1" t="s">
        <v>74</v>
      </c>
      <c r="I619" s="1" t="s">
        <v>12631</v>
      </c>
      <c r="J619" s="1" t="s">
        <v>3159</v>
      </c>
      <c r="K619" s="1" t="s">
        <v>74</v>
      </c>
      <c r="L619" s="1" t="s">
        <v>74</v>
      </c>
      <c r="M619" s="1" t="s">
        <v>80</v>
      </c>
      <c r="N619" s="1" t="s">
        <v>136</v>
      </c>
      <c r="O619" s="1" t="s">
        <v>74</v>
      </c>
      <c r="P619" s="1" t="s">
        <v>74</v>
      </c>
      <c r="Q619" s="1" t="s">
        <v>74</v>
      </c>
      <c r="R619" s="1" t="s">
        <v>74</v>
      </c>
      <c r="S619" s="1" t="s">
        <v>74</v>
      </c>
      <c r="T619" s="1" t="s">
        <v>12632</v>
      </c>
      <c r="U619" s="1" t="s">
        <v>12633</v>
      </c>
      <c r="V619" s="1" t="s">
        <v>12634</v>
      </c>
      <c r="W619" s="1" t="s">
        <v>12635</v>
      </c>
      <c r="X619" s="1" t="s">
        <v>12636</v>
      </c>
      <c r="Y619" s="1" t="s">
        <v>12637</v>
      </c>
      <c r="Z619" s="1" t="s">
        <v>12638</v>
      </c>
      <c r="AA619" s="1" t="s">
        <v>12639</v>
      </c>
      <c r="AB619" s="1" t="s">
        <v>12640</v>
      </c>
      <c r="AC619" s="1" t="s">
        <v>12641</v>
      </c>
      <c r="AD619" s="1" t="s">
        <v>12642</v>
      </c>
      <c r="AE619" s="1" t="s">
        <v>12643</v>
      </c>
      <c r="AF619" s="1" t="s">
        <v>74</v>
      </c>
      <c r="AG619" s="1">
        <v>103.0</v>
      </c>
      <c r="AH619" s="1">
        <v>1.0</v>
      </c>
      <c r="AI619" s="1">
        <v>1.0</v>
      </c>
      <c r="AJ619" s="1">
        <v>7.0</v>
      </c>
      <c r="AK619" s="1">
        <v>7.0</v>
      </c>
      <c r="AL619" s="1" t="s">
        <v>192</v>
      </c>
      <c r="AM619" s="1" t="s">
        <v>864</v>
      </c>
      <c r="AN619" s="1" t="s">
        <v>865</v>
      </c>
      <c r="AO619" s="1" t="s">
        <v>3172</v>
      </c>
      <c r="AP619" s="1" t="s">
        <v>3173</v>
      </c>
      <c r="AQ619" s="1" t="s">
        <v>74</v>
      </c>
      <c r="AR619" s="1" t="s">
        <v>3174</v>
      </c>
      <c r="AS619" s="1" t="s">
        <v>3175</v>
      </c>
      <c r="AT619" s="1" t="s">
        <v>12644</v>
      </c>
      <c r="AU619" s="1">
        <v>2024.0</v>
      </c>
      <c r="AV619" s="1">
        <v>57.0</v>
      </c>
      <c r="AW619" s="1">
        <v>12.0</v>
      </c>
      <c r="AX619" s="1" t="s">
        <v>74</v>
      </c>
      <c r="AY619" s="1" t="s">
        <v>74</v>
      </c>
      <c r="AZ619" s="1" t="s">
        <v>74</v>
      </c>
      <c r="BA619" s="1" t="s">
        <v>74</v>
      </c>
      <c r="BB619" s="1" t="s">
        <v>74</v>
      </c>
      <c r="BC619" s="1" t="s">
        <v>74</v>
      </c>
      <c r="BD619" s="1">
        <v>339.0</v>
      </c>
      <c r="BE619" s="1" t="s">
        <v>12645</v>
      </c>
      <c r="BF619" s="2" t="str">
        <f>HYPERLINK("http://dx.doi.org/10.1007/s10462-024-10953-6","http://dx.doi.org/10.1007/s10462-024-10953-6")</f>
        <v>http://dx.doi.org/10.1007/s10462-024-10953-6</v>
      </c>
      <c r="BG619" s="1" t="s">
        <v>74</v>
      </c>
      <c r="BH619" s="1" t="s">
        <v>74</v>
      </c>
      <c r="BI619" s="1">
        <v>30.0</v>
      </c>
      <c r="BJ619" s="1" t="s">
        <v>1214</v>
      </c>
      <c r="BK619" s="1" t="s">
        <v>149</v>
      </c>
      <c r="BL619" s="1" t="s">
        <v>232</v>
      </c>
      <c r="BM619" s="1" t="s">
        <v>12646</v>
      </c>
      <c r="BN619" s="1" t="s">
        <v>74</v>
      </c>
      <c r="BO619" s="1" t="s">
        <v>306</v>
      </c>
      <c r="BP619" s="1" t="s">
        <v>74</v>
      </c>
      <c r="BQ619" s="1" t="s">
        <v>74</v>
      </c>
      <c r="BR619" s="1" t="s">
        <v>102</v>
      </c>
      <c r="BS619" s="1" t="s">
        <v>12647</v>
      </c>
      <c r="BT619" s="1" t="str">
        <f>HYPERLINK("https%3A%2F%2Fwww.webofscience.com%2Fwos%2Fwoscc%2Ffull-record%2FWOS:001337789500004","View Full Record in Web of Science")</f>
        <v>View Full Record in Web of Science</v>
      </c>
    </row>
    <row r="620" ht="12.75" customHeight="1">
      <c r="A620" s="1" t="s">
        <v>132</v>
      </c>
      <c r="B620" s="1" t="s">
        <v>12648</v>
      </c>
      <c r="C620" s="1" t="s">
        <v>74</v>
      </c>
      <c r="D620" s="1" t="s">
        <v>74</v>
      </c>
      <c r="E620" s="1" t="s">
        <v>74</v>
      </c>
      <c r="F620" s="1" t="s">
        <v>12649</v>
      </c>
      <c r="G620" s="1" t="s">
        <v>74</v>
      </c>
      <c r="H620" s="1" t="s">
        <v>74</v>
      </c>
      <c r="I620" s="1" t="s">
        <v>12650</v>
      </c>
      <c r="J620" s="1" t="s">
        <v>5018</v>
      </c>
      <c r="K620" s="1" t="s">
        <v>74</v>
      </c>
      <c r="L620" s="1" t="s">
        <v>74</v>
      </c>
      <c r="M620" s="1" t="s">
        <v>80</v>
      </c>
      <c r="N620" s="1" t="s">
        <v>136</v>
      </c>
      <c r="O620" s="1" t="s">
        <v>74</v>
      </c>
      <c r="P620" s="1" t="s">
        <v>74</v>
      </c>
      <c r="Q620" s="1" t="s">
        <v>74</v>
      </c>
      <c r="R620" s="1" t="s">
        <v>74</v>
      </c>
      <c r="S620" s="1" t="s">
        <v>74</v>
      </c>
      <c r="T620" s="1" t="s">
        <v>12651</v>
      </c>
      <c r="U620" s="1" t="s">
        <v>12652</v>
      </c>
      <c r="V620" s="1" t="s">
        <v>12653</v>
      </c>
      <c r="W620" s="1" t="s">
        <v>12654</v>
      </c>
      <c r="X620" s="1" t="s">
        <v>12655</v>
      </c>
      <c r="Y620" s="1" t="s">
        <v>12656</v>
      </c>
      <c r="Z620" s="1" t="s">
        <v>12657</v>
      </c>
      <c r="AA620" s="1" t="s">
        <v>12658</v>
      </c>
      <c r="AB620" s="1" t="s">
        <v>12659</v>
      </c>
      <c r="AC620" s="1" t="s">
        <v>12660</v>
      </c>
      <c r="AD620" s="1" t="s">
        <v>12660</v>
      </c>
      <c r="AE620" s="1" t="s">
        <v>12661</v>
      </c>
      <c r="AF620" s="1" t="s">
        <v>74</v>
      </c>
      <c r="AG620" s="1">
        <v>37.0</v>
      </c>
      <c r="AH620" s="1">
        <v>22.0</v>
      </c>
      <c r="AI620" s="1">
        <v>24.0</v>
      </c>
      <c r="AJ620" s="1">
        <v>13.0</v>
      </c>
      <c r="AK620" s="1">
        <v>69.0</v>
      </c>
      <c r="AL620" s="1" t="s">
        <v>1970</v>
      </c>
      <c r="AM620" s="1" t="s">
        <v>1658</v>
      </c>
      <c r="AN620" s="1" t="s">
        <v>1971</v>
      </c>
      <c r="AO620" s="1" t="s">
        <v>74</v>
      </c>
      <c r="AP620" s="1" t="s">
        <v>5029</v>
      </c>
      <c r="AQ620" s="1" t="s">
        <v>74</v>
      </c>
      <c r="AR620" s="1" t="s">
        <v>5030</v>
      </c>
      <c r="AS620" s="1" t="s">
        <v>5031</v>
      </c>
      <c r="AT620" s="1" t="s">
        <v>1027</v>
      </c>
      <c r="AU620" s="1">
        <v>2022.0</v>
      </c>
      <c r="AV620" s="1">
        <v>14.0</v>
      </c>
      <c r="AW620" s="1">
        <v>6.0</v>
      </c>
      <c r="AX620" s="1" t="s">
        <v>74</v>
      </c>
      <c r="AY620" s="1" t="s">
        <v>74</v>
      </c>
      <c r="AZ620" s="1" t="s">
        <v>74</v>
      </c>
      <c r="BA620" s="1" t="s">
        <v>74</v>
      </c>
      <c r="BB620" s="1" t="s">
        <v>74</v>
      </c>
      <c r="BC620" s="1" t="s">
        <v>74</v>
      </c>
      <c r="BD620" s="1">
        <v>3699.0</v>
      </c>
      <c r="BE620" s="1" t="s">
        <v>12662</v>
      </c>
      <c r="BF620" s="2" t="str">
        <f>HYPERLINK("http://dx.doi.org/10.3390/su14063699","http://dx.doi.org/10.3390/su14063699")</f>
        <v>http://dx.doi.org/10.3390/su14063699</v>
      </c>
      <c r="BG620" s="1" t="s">
        <v>74</v>
      </c>
      <c r="BH620" s="1" t="s">
        <v>74</v>
      </c>
      <c r="BI620" s="1">
        <v>12.0</v>
      </c>
      <c r="BJ620" s="1" t="s">
        <v>5033</v>
      </c>
      <c r="BK620" s="1" t="s">
        <v>783</v>
      </c>
      <c r="BL620" s="1" t="s">
        <v>3612</v>
      </c>
      <c r="BM620" s="1" t="s">
        <v>12663</v>
      </c>
      <c r="BN620" s="1" t="s">
        <v>74</v>
      </c>
      <c r="BO620" s="1" t="s">
        <v>174</v>
      </c>
      <c r="BP620" s="1" t="s">
        <v>74</v>
      </c>
      <c r="BQ620" s="1" t="s">
        <v>74</v>
      </c>
      <c r="BR620" s="1" t="s">
        <v>102</v>
      </c>
      <c r="BS620" s="1" t="s">
        <v>12664</v>
      </c>
      <c r="BT620" s="1" t="str">
        <f>HYPERLINK("https%3A%2F%2Fwww.webofscience.com%2Fwos%2Fwoscc%2Ffull-record%2FWOS:000774389900001","View Full Record in Web of Science")</f>
        <v>View Full Record in Web of Science</v>
      </c>
    </row>
    <row r="621" ht="12.75" customHeight="1">
      <c r="A621" s="1" t="s">
        <v>132</v>
      </c>
      <c r="B621" s="1" t="s">
        <v>12665</v>
      </c>
      <c r="C621" s="1" t="s">
        <v>74</v>
      </c>
      <c r="D621" s="1" t="s">
        <v>74</v>
      </c>
      <c r="E621" s="1" t="s">
        <v>74</v>
      </c>
      <c r="F621" s="1" t="s">
        <v>12666</v>
      </c>
      <c r="G621" s="1" t="s">
        <v>74</v>
      </c>
      <c r="H621" s="1" t="s">
        <v>74</v>
      </c>
      <c r="I621" s="1" t="s">
        <v>12667</v>
      </c>
      <c r="J621" s="1" t="s">
        <v>11990</v>
      </c>
      <c r="K621" s="1" t="s">
        <v>74</v>
      </c>
      <c r="L621" s="1" t="s">
        <v>74</v>
      </c>
      <c r="M621" s="1" t="s">
        <v>80</v>
      </c>
      <c r="N621" s="1" t="s">
        <v>136</v>
      </c>
      <c r="O621" s="1" t="s">
        <v>74</v>
      </c>
      <c r="P621" s="1" t="s">
        <v>74</v>
      </c>
      <c r="Q621" s="1" t="s">
        <v>74</v>
      </c>
      <c r="R621" s="1" t="s">
        <v>74</v>
      </c>
      <c r="S621" s="1" t="s">
        <v>74</v>
      </c>
      <c r="T621" s="1" t="s">
        <v>12668</v>
      </c>
      <c r="U621" s="1" t="s">
        <v>12669</v>
      </c>
      <c r="V621" s="1" t="s">
        <v>12670</v>
      </c>
      <c r="W621" s="1" t="s">
        <v>12671</v>
      </c>
      <c r="X621" s="1" t="s">
        <v>12672</v>
      </c>
      <c r="Y621" s="1" t="s">
        <v>12673</v>
      </c>
      <c r="Z621" s="1" t="s">
        <v>12674</v>
      </c>
      <c r="AA621" s="1" t="s">
        <v>12675</v>
      </c>
      <c r="AB621" s="1" t="s">
        <v>74</v>
      </c>
      <c r="AC621" s="1" t="s">
        <v>12676</v>
      </c>
      <c r="AD621" s="1" t="s">
        <v>12677</v>
      </c>
      <c r="AE621" s="1" t="s">
        <v>12678</v>
      </c>
      <c r="AF621" s="1" t="s">
        <v>74</v>
      </c>
      <c r="AG621" s="1">
        <v>77.0</v>
      </c>
      <c r="AH621" s="1">
        <v>0.0</v>
      </c>
      <c r="AI621" s="1">
        <v>0.0</v>
      </c>
      <c r="AJ621" s="1">
        <v>0.0</v>
      </c>
      <c r="AK621" s="1">
        <v>0.0</v>
      </c>
      <c r="AL621" s="1" t="s">
        <v>11997</v>
      </c>
      <c r="AM621" s="1" t="s">
        <v>10428</v>
      </c>
      <c r="AN621" s="1" t="s">
        <v>11998</v>
      </c>
      <c r="AO621" s="1" t="s">
        <v>11999</v>
      </c>
      <c r="AP621" s="1" t="s">
        <v>12000</v>
      </c>
      <c r="AQ621" s="1" t="s">
        <v>74</v>
      </c>
      <c r="AR621" s="1" t="s">
        <v>12001</v>
      </c>
      <c r="AS621" s="1" t="s">
        <v>12002</v>
      </c>
      <c r="AT621" s="1" t="s">
        <v>74</v>
      </c>
      <c r="AU621" s="1">
        <v>2024.0</v>
      </c>
      <c r="AV621" s="1">
        <v>33.0</v>
      </c>
      <c r="AW621" s="1">
        <v>4.0</v>
      </c>
      <c r="AX621" s="1" t="s">
        <v>74</v>
      </c>
      <c r="AY621" s="1" t="s">
        <v>74</v>
      </c>
      <c r="AZ621" s="1" t="s">
        <v>74</v>
      </c>
      <c r="BA621" s="1" t="s">
        <v>74</v>
      </c>
      <c r="BB621" s="1" t="s">
        <v>74</v>
      </c>
      <c r="BC621" s="1" t="s">
        <v>74</v>
      </c>
      <c r="BD621" s="1" t="s">
        <v>12679</v>
      </c>
      <c r="BE621" s="1" t="s">
        <v>12680</v>
      </c>
      <c r="BF621" s="2" t="str">
        <f>HYPERLINK("http://dx.doi.org/10.3145/epi.2024.ene.0418","http://dx.doi.org/10.3145/epi.2024.ene.0418")</f>
        <v>http://dx.doi.org/10.3145/epi.2024.ene.0418</v>
      </c>
      <c r="BG621" s="1" t="s">
        <v>74</v>
      </c>
      <c r="BH621" s="1" t="s">
        <v>74</v>
      </c>
      <c r="BI621" s="1">
        <v>325.0</v>
      </c>
      <c r="BJ621" s="1" t="s">
        <v>2449</v>
      </c>
      <c r="BK621" s="1" t="s">
        <v>203</v>
      </c>
      <c r="BL621" s="1" t="s">
        <v>2449</v>
      </c>
      <c r="BM621" s="1" t="s">
        <v>12005</v>
      </c>
      <c r="BN621" s="1" t="s">
        <v>74</v>
      </c>
      <c r="BO621" s="1" t="s">
        <v>306</v>
      </c>
      <c r="BP621" s="1" t="s">
        <v>74</v>
      </c>
      <c r="BQ621" s="1" t="s">
        <v>74</v>
      </c>
      <c r="BR621" s="1" t="s">
        <v>102</v>
      </c>
      <c r="BS621" s="1" t="s">
        <v>12681</v>
      </c>
      <c r="BT621" s="1" t="str">
        <f>HYPERLINK("https%3A%2F%2Fwww.webofscience.com%2Fwos%2Fwoscc%2Ffull-record%2FWOS:001400012100018","View Full Record in Web of Science")</f>
        <v>View Full Record in Web of Science</v>
      </c>
    </row>
    <row r="622" ht="12.75" customHeight="1">
      <c r="A622" s="1" t="s">
        <v>132</v>
      </c>
      <c r="B622" s="1" t="s">
        <v>12682</v>
      </c>
      <c r="C622" s="1" t="s">
        <v>74</v>
      </c>
      <c r="D622" s="1" t="s">
        <v>74</v>
      </c>
      <c r="E622" s="1" t="s">
        <v>74</v>
      </c>
      <c r="F622" s="1" t="s">
        <v>12683</v>
      </c>
      <c r="G622" s="1" t="s">
        <v>74</v>
      </c>
      <c r="H622" s="1" t="s">
        <v>74</v>
      </c>
      <c r="I622" s="1" t="s">
        <v>12684</v>
      </c>
      <c r="J622" s="1" t="s">
        <v>12685</v>
      </c>
      <c r="K622" s="1" t="s">
        <v>74</v>
      </c>
      <c r="L622" s="1" t="s">
        <v>74</v>
      </c>
      <c r="M622" s="1" t="s">
        <v>80</v>
      </c>
      <c r="N622" s="1" t="s">
        <v>136</v>
      </c>
      <c r="O622" s="1" t="s">
        <v>74</v>
      </c>
      <c r="P622" s="1" t="s">
        <v>74</v>
      </c>
      <c r="Q622" s="1" t="s">
        <v>74</v>
      </c>
      <c r="R622" s="1" t="s">
        <v>74</v>
      </c>
      <c r="S622" s="1" t="s">
        <v>74</v>
      </c>
      <c r="T622" s="1" t="s">
        <v>12686</v>
      </c>
      <c r="U622" s="1" t="s">
        <v>12687</v>
      </c>
      <c r="V622" s="1" t="s">
        <v>12688</v>
      </c>
      <c r="W622" s="1" t="s">
        <v>12689</v>
      </c>
      <c r="X622" s="1" t="s">
        <v>12690</v>
      </c>
      <c r="Y622" s="1" t="s">
        <v>12691</v>
      </c>
      <c r="Z622" s="1" t="s">
        <v>12692</v>
      </c>
      <c r="AA622" s="1" t="s">
        <v>12693</v>
      </c>
      <c r="AB622" s="1" t="s">
        <v>74</v>
      </c>
      <c r="AC622" s="1" t="s">
        <v>74</v>
      </c>
      <c r="AD622" s="1" t="s">
        <v>74</v>
      </c>
      <c r="AE622" s="1" t="s">
        <v>74</v>
      </c>
      <c r="AF622" s="1" t="s">
        <v>74</v>
      </c>
      <c r="AG622" s="1">
        <v>122.0</v>
      </c>
      <c r="AH622" s="1">
        <v>8.0</v>
      </c>
      <c r="AI622" s="1">
        <v>8.0</v>
      </c>
      <c r="AJ622" s="1">
        <v>36.0</v>
      </c>
      <c r="AK622" s="1">
        <v>89.0</v>
      </c>
      <c r="AL622" s="1" t="s">
        <v>595</v>
      </c>
      <c r="AM622" s="1" t="s">
        <v>467</v>
      </c>
      <c r="AN622" s="1" t="s">
        <v>596</v>
      </c>
      <c r="AO622" s="1" t="s">
        <v>12694</v>
      </c>
      <c r="AP622" s="1" t="s">
        <v>12695</v>
      </c>
      <c r="AQ622" s="1" t="s">
        <v>74</v>
      </c>
      <c r="AR622" s="1" t="s">
        <v>12696</v>
      </c>
      <c r="AS622" s="1" t="s">
        <v>12697</v>
      </c>
      <c r="AT622" s="1" t="s">
        <v>12698</v>
      </c>
      <c r="AU622" s="1">
        <v>2024.0</v>
      </c>
      <c r="AV622" s="1">
        <v>41.0</v>
      </c>
      <c r="AW622" s="1">
        <v>2.0</v>
      </c>
      <c r="AX622" s="1" t="s">
        <v>74</v>
      </c>
      <c r="AY622" s="1" t="s">
        <v>74</v>
      </c>
      <c r="AZ622" s="1" t="s">
        <v>74</v>
      </c>
      <c r="BA622" s="1" t="s">
        <v>74</v>
      </c>
      <c r="BB622" s="1">
        <v>272.0</v>
      </c>
      <c r="BC622" s="1">
        <v>291.0</v>
      </c>
      <c r="BD622" s="1" t="s">
        <v>74</v>
      </c>
      <c r="BE622" s="1" t="s">
        <v>12699</v>
      </c>
      <c r="BF622" s="2" t="str">
        <f>HYPERLINK("http://dx.doi.org/10.1080/10548408.2024.2310169","http://dx.doi.org/10.1080/10548408.2024.2310169")</f>
        <v>http://dx.doi.org/10.1080/10548408.2024.2310169</v>
      </c>
      <c r="BG622" s="1" t="s">
        <v>74</v>
      </c>
      <c r="BH622" s="1" t="s">
        <v>74</v>
      </c>
      <c r="BI622" s="1">
        <v>20.0</v>
      </c>
      <c r="BJ622" s="1" t="s">
        <v>2100</v>
      </c>
      <c r="BK622" s="1" t="s">
        <v>203</v>
      </c>
      <c r="BL622" s="1" t="s">
        <v>100</v>
      </c>
      <c r="BM622" s="1" t="s">
        <v>12700</v>
      </c>
      <c r="BN622" s="1" t="s">
        <v>74</v>
      </c>
      <c r="BO622" s="1" t="s">
        <v>74</v>
      </c>
      <c r="BP622" s="1" t="s">
        <v>74</v>
      </c>
      <c r="BQ622" s="1" t="s">
        <v>74</v>
      </c>
      <c r="BR622" s="1" t="s">
        <v>102</v>
      </c>
      <c r="BS622" s="1" t="s">
        <v>12701</v>
      </c>
      <c r="BT622" s="1" t="str">
        <f>HYPERLINK("https%3A%2F%2Fwww.webofscience.com%2Fwos%2Fwoscc%2Ffull-record%2FWOS:001170321600001","View Full Record in Web of Science")</f>
        <v>View Full Record in Web of Science</v>
      </c>
    </row>
    <row r="623" ht="12.75" customHeight="1">
      <c r="A623" s="1" t="s">
        <v>132</v>
      </c>
      <c r="B623" s="1" t="s">
        <v>12702</v>
      </c>
      <c r="C623" s="1" t="s">
        <v>74</v>
      </c>
      <c r="D623" s="1" t="s">
        <v>74</v>
      </c>
      <c r="E623" s="1" t="s">
        <v>74</v>
      </c>
      <c r="F623" s="1" t="s">
        <v>12703</v>
      </c>
      <c r="G623" s="1" t="s">
        <v>74</v>
      </c>
      <c r="H623" s="1" t="s">
        <v>74</v>
      </c>
      <c r="I623" s="1" t="s">
        <v>12704</v>
      </c>
      <c r="J623" s="1" t="s">
        <v>12705</v>
      </c>
      <c r="K623" s="1" t="s">
        <v>74</v>
      </c>
      <c r="L623" s="1" t="s">
        <v>74</v>
      </c>
      <c r="M623" s="1" t="s">
        <v>80</v>
      </c>
      <c r="N623" s="1" t="s">
        <v>136</v>
      </c>
      <c r="O623" s="1" t="s">
        <v>74</v>
      </c>
      <c r="P623" s="1" t="s">
        <v>74</v>
      </c>
      <c r="Q623" s="1" t="s">
        <v>74</v>
      </c>
      <c r="R623" s="1" t="s">
        <v>74</v>
      </c>
      <c r="S623" s="1" t="s">
        <v>74</v>
      </c>
      <c r="T623" s="1" t="s">
        <v>12706</v>
      </c>
      <c r="U623" s="1" t="s">
        <v>12707</v>
      </c>
      <c r="V623" s="1" t="s">
        <v>12708</v>
      </c>
      <c r="W623" s="1" t="s">
        <v>12709</v>
      </c>
      <c r="X623" s="1" t="s">
        <v>12710</v>
      </c>
      <c r="Y623" s="1" t="s">
        <v>12711</v>
      </c>
      <c r="Z623" s="1" t="s">
        <v>12712</v>
      </c>
      <c r="AA623" s="1" t="s">
        <v>74</v>
      </c>
      <c r="AB623" s="1" t="s">
        <v>12713</v>
      </c>
      <c r="AC623" s="1" t="s">
        <v>74</v>
      </c>
      <c r="AD623" s="1" t="s">
        <v>74</v>
      </c>
      <c r="AE623" s="1" t="s">
        <v>74</v>
      </c>
      <c r="AF623" s="1" t="s">
        <v>74</v>
      </c>
      <c r="AG623" s="1">
        <v>7.0</v>
      </c>
      <c r="AH623" s="1">
        <v>0.0</v>
      </c>
      <c r="AI623" s="1">
        <v>0.0</v>
      </c>
      <c r="AJ623" s="1">
        <v>5.0</v>
      </c>
      <c r="AK623" s="1">
        <v>5.0</v>
      </c>
      <c r="AL623" s="1" t="s">
        <v>12714</v>
      </c>
      <c r="AM623" s="1" t="s">
        <v>12715</v>
      </c>
      <c r="AN623" s="1" t="s">
        <v>12716</v>
      </c>
      <c r="AO623" s="1" t="s">
        <v>12717</v>
      </c>
      <c r="AP623" s="1" t="s">
        <v>74</v>
      </c>
      <c r="AQ623" s="1" t="s">
        <v>74</v>
      </c>
      <c r="AR623" s="1" t="s">
        <v>12718</v>
      </c>
      <c r="AS623" s="1" t="s">
        <v>12719</v>
      </c>
      <c r="AT623" s="1" t="s">
        <v>1156</v>
      </c>
      <c r="AU623" s="1">
        <v>2023.0</v>
      </c>
      <c r="AV623" s="1">
        <v>20.0</v>
      </c>
      <c r="AW623" s="1">
        <v>4.0</v>
      </c>
      <c r="AX623" s="1" t="s">
        <v>74</v>
      </c>
      <c r="AY623" s="1" t="s">
        <v>74</v>
      </c>
      <c r="AZ623" s="1" t="s">
        <v>74</v>
      </c>
      <c r="BA623" s="1" t="s">
        <v>74</v>
      </c>
      <c r="BB623" s="1" t="s">
        <v>74</v>
      </c>
      <c r="BC623" s="1" t="s">
        <v>74</v>
      </c>
      <c r="BD623" s="1" t="s">
        <v>12720</v>
      </c>
      <c r="BE623" s="1" t="s">
        <v>12721</v>
      </c>
      <c r="BF623" s="2" t="str">
        <f>HYPERLINK("http://dx.doi.org/10.1590/1807-7692bar2023230145","http://dx.doi.org/10.1590/1807-7692bar2023230145")</f>
        <v>http://dx.doi.org/10.1590/1807-7692bar2023230145</v>
      </c>
      <c r="BG623" s="1" t="s">
        <v>74</v>
      </c>
      <c r="BH623" s="1" t="s">
        <v>74</v>
      </c>
      <c r="BI623" s="1">
        <v>3.0</v>
      </c>
      <c r="BJ623" s="1" t="s">
        <v>1509</v>
      </c>
      <c r="BK623" s="1" t="s">
        <v>172</v>
      </c>
      <c r="BL623" s="1" t="s">
        <v>204</v>
      </c>
      <c r="BM623" s="1" t="s">
        <v>12722</v>
      </c>
      <c r="BN623" s="1" t="s">
        <v>74</v>
      </c>
      <c r="BO623" s="1" t="s">
        <v>174</v>
      </c>
      <c r="BP623" s="1" t="s">
        <v>74</v>
      </c>
      <c r="BQ623" s="1" t="s">
        <v>74</v>
      </c>
      <c r="BR623" s="1" t="s">
        <v>102</v>
      </c>
      <c r="BS623" s="1" t="s">
        <v>12723</v>
      </c>
      <c r="BT623" s="1" t="str">
        <f>HYPERLINK("https%3A%2F%2Fwww.webofscience.com%2Fwos%2Fwoscc%2Ffull-record%2FWOS:001343298500001","View Full Record in Web of Science")</f>
        <v>View Full Record in Web of Science</v>
      </c>
    </row>
    <row r="624" ht="12.75" customHeight="1">
      <c r="A624" s="1" t="s">
        <v>132</v>
      </c>
      <c r="B624" s="1" t="s">
        <v>12724</v>
      </c>
      <c r="C624" s="1" t="s">
        <v>74</v>
      </c>
      <c r="D624" s="1" t="s">
        <v>74</v>
      </c>
      <c r="E624" s="1" t="s">
        <v>74</v>
      </c>
      <c r="F624" s="1" t="s">
        <v>12725</v>
      </c>
      <c r="G624" s="1" t="s">
        <v>74</v>
      </c>
      <c r="H624" s="1" t="s">
        <v>74</v>
      </c>
      <c r="I624" s="1" t="s">
        <v>12726</v>
      </c>
      <c r="J624" s="1" t="s">
        <v>12727</v>
      </c>
      <c r="K624" s="1" t="s">
        <v>74</v>
      </c>
      <c r="L624" s="1" t="s">
        <v>74</v>
      </c>
      <c r="M624" s="1" t="s">
        <v>80</v>
      </c>
      <c r="N624" s="1" t="s">
        <v>136</v>
      </c>
      <c r="O624" s="1" t="s">
        <v>74</v>
      </c>
      <c r="P624" s="1" t="s">
        <v>74</v>
      </c>
      <c r="Q624" s="1" t="s">
        <v>74</v>
      </c>
      <c r="R624" s="1" t="s">
        <v>74</v>
      </c>
      <c r="S624" s="1" t="s">
        <v>74</v>
      </c>
      <c r="T624" s="1" t="s">
        <v>12728</v>
      </c>
      <c r="U624" s="1" t="s">
        <v>74</v>
      </c>
      <c r="V624" s="1" t="s">
        <v>12729</v>
      </c>
      <c r="W624" s="1" t="s">
        <v>12730</v>
      </c>
      <c r="X624" s="1" t="s">
        <v>12731</v>
      </c>
      <c r="Y624" s="1" t="s">
        <v>12732</v>
      </c>
      <c r="Z624" s="1" t="s">
        <v>12733</v>
      </c>
      <c r="AA624" s="1" t="s">
        <v>74</v>
      </c>
      <c r="AB624" s="1" t="s">
        <v>74</v>
      </c>
      <c r="AC624" s="1" t="s">
        <v>74</v>
      </c>
      <c r="AD624" s="1" t="s">
        <v>74</v>
      </c>
      <c r="AE624" s="1" t="s">
        <v>74</v>
      </c>
      <c r="AF624" s="1" t="s">
        <v>74</v>
      </c>
      <c r="AG624" s="1">
        <v>21.0</v>
      </c>
      <c r="AH624" s="1">
        <v>15.0</v>
      </c>
      <c r="AI624" s="1">
        <v>15.0</v>
      </c>
      <c r="AJ624" s="1">
        <v>6.0</v>
      </c>
      <c r="AK624" s="1">
        <v>31.0</v>
      </c>
      <c r="AL624" s="1" t="s">
        <v>321</v>
      </c>
      <c r="AM624" s="1" t="s">
        <v>322</v>
      </c>
      <c r="AN624" s="1" t="s">
        <v>12734</v>
      </c>
      <c r="AO624" s="1" t="s">
        <v>12735</v>
      </c>
      <c r="AP624" s="1" t="s">
        <v>12736</v>
      </c>
      <c r="AQ624" s="1" t="s">
        <v>74</v>
      </c>
      <c r="AR624" s="1" t="s">
        <v>12737</v>
      </c>
      <c r="AS624" s="1" t="s">
        <v>12738</v>
      </c>
      <c r="AT624" s="1" t="s">
        <v>199</v>
      </c>
      <c r="AU624" s="1">
        <v>2020.0</v>
      </c>
      <c r="AV624" s="1">
        <v>79.0</v>
      </c>
      <c r="AW624" s="1" t="s">
        <v>74</v>
      </c>
      <c r="AX624" s="1" t="s">
        <v>74</v>
      </c>
      <c r="AY624" s="1" t="s">
        <v>74</v>
      </c>
      <c r="AZ624" s="1" t="s">
        <v>74</v>
      </c>
      <c r="BA624" s="1" t="s">
        <v>74</v>
      </c>
      <c r="BB624" s="1" t="s">
        <v>74</v>
      </c>
      <c r="BC624" s="1" t="s">
        <v>74</v>
      </c>
      <c r="BD624" s="1">
        <v>103321.0</v>
      </c>
      <c r="BE624" s="1" t="s">
        <v>12739</v>
      </c>
      <c r="BF624" s="2" t="str">
        <f>HYPERLINK("http://dx.doi.org/10.1016/j.micpro.2020.103321","http://dx.doi.org/10.1016/j.micpro.2020.103321")</f>
        <v>http://dx.doi.org/10.1016/j.micpro.2020.103321</v>
      </c>
      <c r="BG624" s="1" t="s">
        <v>74</v>
      </c>
      <c r="BH624" s="1" t="s">
        <v>74</v>
      </c>
      <c r="BI624" s="1">
        <v>8.0</v>
      </c>
      <c r="BJ624" s="1" t="s">
        <v>12740</v>
      </c>
      <c r="BK624" s="1" t="s">
        <v>149</v>
      </c>
      <c r="BL624" s="1" t="s">
        <v>1325</v>
      </c>
      <c r="BM624" s="1" t="s">
        <v>12741</v>
      </c>
      <c r="BN624" s="1" t="s">
        <v>74</v>
      </c>
      <c r="BO624" s="1" t="s">
        <v>74</v>
      </c>
      <c r="BP624" s="1" t="s">
        <v>74</v>
      </c>
      <c r="BQ624" s="1" t="s">
        <v>74</v>
      </c>
      <c r="BR624" s="1" t="s">
        <v>102</v>
      </c>
      <c r="BS624" s="1" t="s">
        <v>12742</v>
      </c>
      <c r="BT624" s="1" t="str">
        <f>HYPERLINK("https%3A%2F%2Fwww.webofscience.com%2Fwos%2Fwoscc%2Ffull-record%2FWOS:000599892000003","View Full Record in Web of Science")</f>
        <v>View Full Record in Web of Science</v>
      </c>
    </row>
    <row r="625" ht="12.75" customHeight="1">
      <c r="A625" s="1" t="s">
        <v>132</v>
      </c>
      <c r="B625" s="1" t="s">
        <v>12743</v>
      </c>
      <c r="C625" s="1" t="s">
        <v>74</v>
      </c>
      <c r="D625" s="1" t="s">
        <v>74</v>
      </c>
      <c r="E625" s="1" t="s">
        <v>74</v>
      </c>
      <c r="F625" s="1" t="s">
        <v>12744</v>
      </c>
      <c r="G625" s="1" t="s">
        <v>74</v>
      </c>
      <c r="H625" s="1" t="s">
        <v>74</v>
      </c>
      <c r="I625" s="1" t="s">
        <v>12745</v>
      </c>
      <c r="J625" s="1" t="s">
        <v>12746</v>
      </c>
      <c r="K625" s="1" t="s">
        <v>74</v>
      </c>
      <c r="L625" s="1" t="s">
        <v>74</v>
      </c>
      <c r="M625" s="1" t="s">
        <v>80</v>
      </c>
      <c r="N625" s="1" t="s">
        <v>136</v>
      </c>
      <c r="O625" s="1" t="s">
        <v>74</v>
      </c>
      <c r="P625" s="1" t="s">
        <v>74</v>
      </c>
      <c r="Q625" s="1" t="s">
        <v>74</v>
      </c>
      <c r="R625" s="1" t="s">
        <v>74</v>
      </c>
      <c r="S625" s="1" t="s">
        <v>74</v>
      </c>
      <c r="T625" s="1" t="s">
        <v>12747</v>
      </c>
      <c r="U625" s="1" t="s">
        <v>12748</v>
      </c>
      <c r="V625" s="1" t="s">
        <v>12749</v>
      </c>
      <c r="W625" s="1" t="s">
        <v>12750</v>
      </c>
      <c r="X625" s="1" t="s">
        <v>12751</v>
      </c>
      <c r="Y625" s="1" t="s">
        <v>12752</v>
      </c>
      <c r="Z625" s="1" t="s">
        <v>12753</v>
      </c>
      <c r="AA625" s="1" t="s">
        <v>12754</v>
      </c>
      <c r="AB625" s="1" t="s">
        <v>74</v>
      </c>
      <c r="AC625" s="1" t="s">
        <v>12755</v>
      </c>
      <c r="AD625" s="1" t="s">
        <v>12756</v>
      </c>
      <c r="AE625" s="1" t="s">
        <v>12757</v>
      </c>
      <c r="AF625" s="1" t="s">
        <v>74</v>
      </c>
      <c r="AG625" s="1">
        <v>115.0</v>
      </c>
      <c r="AH625" s="1">
        <v>5.0</v>
      </c>
      <c r="AI625" s="1">
        <v>5.0</v>
      </c>
      <c r="AJ625" s="1">
        <v>15.0</v>
      </c>
      <c r="AK625" s="1">
        <v>39.0</v>
      </c>
      <c r="AL625" s="1" t="s">
        <v>1831</v>
      </c>
      <c r="AM625" s="1" t="s">
        <v>349</v>
      </c>
      <c r="AN625" s="1" t="s">
        <v>1832</v>
      </c>
      <c r="AO625" s="1" t="s">
        <v>12758</v>
      </c>
      <c r="AP625" s="1" t="s">
        <v>74</v>
      </c>
      <c r="AQ625" s="1" t="s">
        <v>74</v>
      </c>
      <c r="AR625" s="1" t="s">
        <v>12759</v>
      </c>
      <c r="AS625" s="1" t="s">
        <v>12760</v>
      </c>
      <c r="AT625" s="1" t="s">
        <v>12761</v>
      </c>
      <c r="AU625" s="1">
        <v>2024.0</v>
      </c>
      <c r="AV625" s="1">
        <v>19.0</v>
      </c>
      <c r="AW625" s="1">
        <v>1.0</v>
      </c>
      <c r="AX625" s="1" t="s">
        <v>74</v>
      </c>
      <c r="AY625" s="1" t="s">
        <v>74</v>
      </c>
      <c r="AZ625" s="1" t="s">
        <v>74</v>
      </c>
      <c r="BA625" s="1" t="s">
        <v>74</v>
      </c>
      <c r="BB625" s="1" t="s">
        <v>74</v>
      </c>
      <c r="BC625" s="1" t="s">
        <v>74</v>
      </c>
      <c r="BD625" s="1">
        <v>17.0</v>
      </c>
      <c r="BE625" s="1" t="s">
        <v>12762</v>
      </c>
      <c r="BF625" s="2" t="str">
        <f>HYPERLINK("http://dx.doi.org/10.1186/s13012-024-01346-y","http://dx.doi.org/10.1186/s13012-024-01346-y")</f>
        <v>http://dx.doi.org/10.1186/s13012-024-01346-y</v>
      </c>
      <c r="BG625" s="1" t="s">
        <v>74</v>
      </c>
      <c r="BH625" s="1" t="s">
        <v>74</v>
      </c>
      <c r="BI625" s="1">
        <v>15.0</v>
      </c>
      <c r="BJ625" s="1" t="s">
        <v>5782</v>
      </c>
      <c r="BK625" s="1" t="s">
        <v>783</v>
      </c>
      <c r="BL625" s="1" t="s">
        <v>5783</v>
      </c>
      <c r="BM625" s="1" t="s">
        <v>12763</v>
      </c>
      <c r="BN625" s="1">
        <v>3.8383393E7</v>
      </c>
      <c r="BO625" s="1" t="s">
        <v>174</v>
      </c>
      <c r="BP625" s="1" t="s">
        <v>74</v>
      </c>
      <c r="BQ625" s="1" t="s">
        <v>74</v>
      </c>
      <c r="BR625" s="1" t="s">
        <v>102</v>
      </c>
      <c r="BS625" s="1" t="s">
        <v>12764</v>
      </c>
      <c r="BT625" s="1" t="str">
        <f>HYPERLINK("https%3A%2F%2Fwww.webofscience.com%2Fwos%2Fwoscc%2Ffull-record%2FWOS:001167251400001","View Full Record in Web of Science")</f>
        <v>View Full Record in Web of Science</v>
      </c>
    </row>
    <row r="626" ht="12.75" customHeight="1">
      <c r="A626" s="1" t="s">
        <v>72</v>
      </c>
      <c r="B626" s="1" t="s">
        <v>530</v>
      </c>
      <c r="C626" s="1" t="s">
        <v>74</v>
      </c>
      <c r="D626" s="1" t="s">
        <v>381</v>
      </c>
      <c r="E626" s="1" t="s">
        <v>74</v>
      </c>
      <c r="F626" s="1" t="s">
        <v>531</v>
      </c>
      <c r="G626" s="1" t="s">
        <v>74</v>
      </c>
      <c r="H626" s="1" t="s">
        <v>74</v>
      </c>
      <c r="I626" s="1" t="s">
        <v>12765</v>
      </c>
      <c r="J626" s="1" t="s">
        <v>384</v>
      </c>
      <c r="K626" s="1" t="s">
        <v>385</v>
      </c>
      <c r="L626" s="1" t="s">
        <v>74</v>
      </c>
      <c r="M626" s="1" t="s">
        <v>80</v>
      </c>
      <c r="N626" s="1" t="s">
        <v>81</v>
      </c>
      <c r="O626" s="1" t="s">
        <v>386</v>
      </c>
      <c r="P626" s="1" t="s">
        <v>387</v>
      </c>
      <c r="Q626" s="1" t="s">
        <v>388</v>
      </c>
      <c r="R626" s="1" t="s">
        <v>74</v>
      </c>
      <c r="S626" s="1" t="s">
        <v>389</v>
      </c>
      <c r="T626" s="1" t="s">
        <v>12766</v>
      </c>
      <c r="U626" s="1" t="s">
        <v>12767</v>
      </c>
      <c r="V626" s="1" t="s">
        <v>12768</v>
      </c>
      <c r="W626" s="1" t="s">
        <v>12769</v>
      </c>
      <c r="X626" s="1" t="s">
        <v>12770</v>
      </c>
      <c r="Y626" s="1" t="s">
        <v>12771</v>
      </c>
      <c r="Z626" s="1" t="s">
        <v>544</v>
      </c>
      <c r="AA626" s="1" t="s">
        <v>12772</v>
      </c>
      <c r="AB626" s="1" t="s">
        <v>12773</v>
      </c>
      <c r="AC626" s="1" t="s">
        <v>74</v>
      </c>
      <c r="AD626" s="1" t="s">
        <v>74</v>
      </c>
      <c r="AE626" s="1" t="s">
        <v>74</v>
      </c>
      <c r="AF626" s="1" t="s">
        <v>74</v>
      </c>
      <c r="AG626" s="1">
        <v>55.0</v>
      </c>
      <c r="AH626" s="1">
        <v>2.0</v>
      </c>
      <c r="AI626" s="1">
        <v>2.0</v>
      </c>
      <c r="AJ626" s="1">
        <v>2.0</v>
      </c>
      <c r="AK626" s="1">
        <v>34.0</v>
      </c>
      <c r="AL626" s="1" t="s">
        <v>223</v>
      </c>
      <c r="AM626" s="1" t="s">
        <v>224</v>
      </c>
      <c r="AN626" s="1" t="s">
        <v>225</v>
      </c>
      <c r="AO626" s="1" t="s">
        <v>399</v>
      </c>
      <c r="AP626" s="1" t="s">
        <v>400</v>
      </c>
      <c r="AQ626" s="1" t="s">
        <v>401</v>
      </c>
      <c r="AR626" s="1" t="s">
        <v>402</v>
      </c>
      <c r="AS626" s="1" t="s">
        <v>74</v>
      </c>
      <c r="AT626" s="1" t="s">
        <v>74</v>
      </c>
      <c r="AU626" s="1">
        <v>2020.0</v>
      </c>
      <c r="AV626" s="1">
        <v>377.0</v>
      </c>
      <c r="AW626" s="1" t="s">
        <v>74</v>
      </c>
      <c r="AX626" s="1" t="s">
        <v>74</v>
      </c>
      <c r="AY626" s="1" t="s">
        <v>74</v>
      </c>
      <c r="AZ626" s="1" t="s">
        <v>74</v>
      </c>
      <c r="BA626" s="1" t="s">
        <v>74</v>
      </c>
      <c r="BB626" s="1">
        <v>137.0</v>
      </c>
      <c r="BC626" s="1">
        <v>149.0</v>
      </c>
      <c r="BD626" s="1" t="s">
        <v>74</v>
      </c>
      <c r="BE626" s="1" t="s">
        <v>12774</v>
      </c>
      <c r="BF626" s="2" t="str">
        <f>HYPERLINK("http://dx.doi.org/10.1007/978-3-030-38724-2_10","http://dx.doi.org/10.1007/978-3-030-38724-2_10")</f>
        <v>http://dx.doi.org/10.1007/978-3-030-38724-2_10</v>
      </c>
      <c r="BG626" s="1" t="s">
        <v>74</v>
      </c>
      <c r="BH626" s="1" t="s">
        <v>74</v>
      </c>
      <c r="BI626" s="1">
        <v>13.0</v>
      </c>
      <c r="BJ626" s="1" t="s">
        <v>404</v>
      </c>
      <c r="BK626" s="1" t="s">
        <v>405</v>
      </c>
      <c r="BL626" s="1" t="s">
        <v>406</v>
      </c>
      <c r="BM626" s="1" t="s">
        <v>407</v>
      </c>
      <c r="BN626" s="1" t="s">
        <v>74</v>
      </c>
      <c r="BO626" s="1" t="s">
        <v>74</v>
      </c>
      <c r="BP626" s="1" t="s">
        <v>74</v>
      </c>
      <c r="BQ626" s="1" t="s">
        <v>74</v>
      </c>
      <c r="BR626" s="1" t="s">
        <v>102</v>
      </c>
      <c r="BS626" s="1" t="s">
        <v>12775</v>
      </c>
      <c r="BT626" s="1" t="str">
        <f>HYPERLINK("https%3A%2F%2Fwww.webofscience.com%2Fwos%2Fwoscc%2Ffull-record%2FWOS:000654630700010","View Full Record in Web of Science")</f>
        <v>View Full Record in Web of Science</v>
      </c>
    </row>
    <row r="627" ht="12.75" customHeight="1">
      <c r="A627" s="1" t="s">
        <v>132</v>
      </c>
      <c r="B627" s="1" t="s">
        <v>12776</v>
      </c>
      <c r="C627" s="1" t="s">
        <v>74</v>
      </c>
      <c r="D627" s="1" t="s">
        <v>74</v>
      </c>
      <c r="E627" s="1" t="s">
        <v>74</v>
      </c>
      <c r="F627" s="1" t="s">
        <v>12777</v>
      </c>
      <c r="G627" s="1" t="s">
        <v>74</v>
      </c>
      <c r="H627" s="1" t="s">
        <v>74</v>
      </c>
      <c r="I627" s="1" t="s">
        <v>12778</v>
      </c>
      <c r="J627" s="1" t="s">
        <v>12779</v>
      </c>
      <c r="K627" s="1" t="s">
        <v>74</v>
      </c>
      <c r="L627" s="1" t="s">
        <v>74</v>
      </c>
      <c r="M627" s="1" t="s">
        <v>80</v>
      </c>
      <c r="N627" s="1" t="s">
        <v>136</v>
      </c>
      <c r="O627" s="1" t="s">
        <v>74</v>
      </c>
      <c r="P627" s="1" t="s">
        <v>74</v>
      </c>
      <c r="Q627" s="1" t="s">
        <v>74</v>
      </c>
      <c r="R627" s="1" t="s">
        <v>74</v>
      </c>
      <c r="S627" s="1" t="s">
        <v>74</v>
      </c>
      <c r="T627" s="1" t="s">
        <v>12780</v>
      </c>
      <c r="U627" s="1" t="s">
        <v>74</v>
      </c>
      <c r="V627" s="1" t="s">
        <v>12781</v>
      </c>
      <c r="W627" s="1" t="s">
        <v>12782</v>
      </c>
      <c r="X627" s="1" t="s">
        <v>12783</v>
      </c>
      <c r="Y627" s="1" t="s">
        <v>12784</v>
      </c>
      <c r="Z627" s="1" t="s">
        <v>12785</v>
      </c>
      <c r="AA627" s="1" t="s">
        <v>74</v>
      </c>
      <c r="AB627" s="1" t="s">
        <v>74</v>
      </c>
      <c r="AC627" s="1" t="s">
        <v>74</v>
      </c>
      <c r="AD627" s="1" t="s">
        <v>74</v>
      </c>
      <c r="AE627" s="1" t="s">
        <v>74</v>
      </c>
      <c r="AF627" s="1" t="s">
        <v>74</v>
      </c>
      <c r="AG627" s="1">
        <v>25.0</v>
      </c>
      <c r="AH627" s="1">
        <v>0.0</v>
      </c>
      <c r="AI627" s="1">
        <v>0.0</v>
      </c>
      <c r="AJ627" s="1">
        <v>7.0</v>
      </c>
      <c r="AK627" s="1">
        <v>24.0</v>
      </c>
      <c r="AL627" s="1" t="s">
        <v>12786</v>
      </c>
      <c r="AM627" s="1" t="s">
        <v>7400</v>
      </c>
      <c r="AN627" s="1" t="s">
        <v>12787</v>
      </c>
      <c r="AO627" s="1" t="s">
        <v>12788</v>
      </c>
      <c r="AP627" s="1" t="s">
        <v>12789</v>
      </c>
      <c r="AQ627" s="1" t="s">
        <v>74</v>
      </c>
      <c r="AR627" s="1" t="s">
        <v>12790</v>
      </c>
      <c r="AS627" s="1" t="s">
        <v>12791</v>
      </c>
      <c r="AT627" s="1" t="s">
        <v>74</v>
      </c>
      <c r="AU627" s="1">
        <v>2022.0</v>
      </c>
      <c r="AV627" s="1">
        <v>33.0</v>
      </c>
      <c r="AW627" s="1">
        <v>4.0</v>
      </c>
      <c r="AX627" s="1" t="s">
        <v>74</v>
      </c>
      <c r="AY627" s="1" t="s">
        <v>74</v>
      </c>
      <c r="AZ627" s="1" t="s">
        <v>74</v>
      </c>
      <c r="BA627" s="1" t="s">
        <v>74</v>
      </c>
      <c r="BB627" s="1">
        <v>386.0</v>
      </c>
      <c r="BC627" s="1">
        <v>397.0</v>
      </c>
      <c r="BD627" s="1" t="s">
        <v>74</v>
      </c>
      <c r="BE627" s="1" t="s">
        <v>12792</v>
      </c>
      <c r="BF627" s="2" t="str">
        <f>HYPERLINK("http://dx.doi.org/10.5755/j01.ee.33.4.29543","http://dx.doi.org/10.5755/j01.ee.33.4.29543")</f>
        <v>http://dx.doi.org/10.5755/j01.ee.33.4.29543</v>
      </c>
      <c r="BG627" s="1" t="s">
        <v>74</v>
      </c>
      <c r="BH627" s="1" t="s">
        <v>74</v>
      </c>
      <c r="BI627" s="1">
        <v>12.0</v>
      </c>
      <c r="BJ627" s="1" t="s">
        <v>202</v>
      </c>
      <c r="BK627" s="1" t="s">
        <v>203</v>
      </c>
      <c r="BL627" s="1" t="s">
        <v>204</v>
      </c>
      <c r="BM627" s="1" t="s">
        <v>12793</v>
      </c>
      <c r="BN627" s="1" t="s">
        <v>74</v>
      </c>
      <c r="BO627" s="1" t="s">
        <v>174</v>
      </c>
      <c r="BP627" s="1" t="s">
        <v>74</v>
      </c>
      <c r="BQ627" s="1" t="s">
        <v>74</v>
      </c>
      <c r="BR627" s="1" t="s">
        <v>102</v>
      </c>
      <c r="BS627" s="1" t="s">
        <v>12794</v>
      </c>
      <c r="BT627" s="1" t="str">
        <f>HYPERLINK("https%3A%2F%2Fwww.webofscience.com%2Fwos%2Fwoscc%2Ffull-record%2FWOS:000930554900001","View Full Record in Web of Science")</f>
        <v>View Full Record in Web of Science</v>
      </c>
    </row>
    <row r="628" ht="12.75" customHeight="1">
      <c r="A628" s="1" t="s">
        <v>72</v>
      </c>
      <c r="B628" s="1" t="s">
        <v>12795</v>
      </c>
      <c r="C628" s="1" t="s">
        <v>74</v>
      </c>
      <c r="D628" s="1" t="s">
        <v>74</v>
      </c>
      <c r="E628" s="1" t="s">
        <v>236</v>
      </c>
      <c r="F628" s="1" t="s">
        <v>12796</v>
      </c>
      <c r="G628" s="1" t="s">
        <v>74</v>
      </c>
      <c r="H628" s="1" t="s">
        <v>74</v>
      </c>
      <c r="I628" s="1" t="s">
        <v>12797</v>
      </c>
      <c r="J628" s="1" t="s">
        <v>12798</v>
      </c>
      <c r="K628" s="1" t="s">
        <v>74</v>
      </c>
      <c r="L628" s="1" t="s">
        <v>74</v>
      </c>
      <c r="M628" s="1" t="s">
        <v>80</v>
      </c>
      <c r="N628" s="1" t="s">
        <v>81</v>
      </c>
      <c r="O628" s="1" t="s">
        <v>12799</v>
      </c>
      <c r="P628" s="1" t="s">
        <v>12800</v>
      </c>
      <c r="Q628" s="1" t="s">
        <v>12801</v>
      </c>
      <c r="R628" s="1" t="s">
        <v>12802</v>
      </c>
      <c r="S628" s="1" t="s">
        <v>12803</v>
      </c>
      <c r="T628" s="1" t="s">
        <v>12804</v>
      </c>
      <c r="U628" s="1" t="s">
        <v>74</v>
      </c>
      <c r="V628" s="1" t="s">
        <v>12805</v>
      </c>
      <c r="W628" s="1" t="s">
        <v>12806</v>
      </c>
      <c r="X628" s="1" t="s">
        <v>12807</v>
      </c>
      <c r="Y628" s="1" t="s">
        <v>12808</v>
      </c>
      <c r="Z628" s="1" t="s">
        <v>12809</v>
      </c>
      <c r="AA628" s="1" t="s">
        <v>12810</v>
      </c>
      <c r="AB628" s="1" t="s">
        <v>12811</v>
      </c>
      <c r="AC628" s="1" t="s">
        <v>74</v>
      </c>
      <c r="AD628" s="1" t="s">
        <v>74</v>
      </c>
      <c r="AE628" s="1" t="s">
        <v>74</v>
      </c>
      <c r="AF628" s="1" t="s">
        <v>74</v>
      </c>
      <c r="AG628" s="1">
        <v>8.0</v>
      </c>
      <c r="AH628" s="1">
        <v>0.0</v>
      </c>
      <c r="AI628" s="1">
        <v>0.0</v>
      </c>
      <c r="AJ628" s="1">
        <v>1.0</v>
      </c>
      <c r="AK628" s="1">
        <v>3.0</v>
      </c>
      <c r="AL628" s="1" t="s">
        <v>236</v>
      </c>
      <c r="AM628" s="1" t="s">
        <v>193</v>
      </c>
      <c r="AN628" s="1" t="s">
        <v>252</v>
      </c>
      <c r="AO628" s="1" t="s">
        <v>74</v>
      </c>
      <c r="AP628" s="1" t="s">
        <v>74</v>
      </c>
      <c r="AQ628" s="1" t="s">
        <v>12812</v>
      </c>
      <c r="AR628" s="1" t="s">
        <v>74</v>
      </c>
      <c r="AS628" s="1" t="s">
        <v>74</v>
      </c>
      <c r="AT628" s="1" t="s">
        <v>74</v>
      </c>
      <c r="AU628" s="1">
        <v>2021.0</v>
      </c>
      <c r="AV628" s="1" t="s">
        <v>74</v>
      </c>
      <c r="AW628" s="1" t="s">
        <v>74</v>
      </c>
      <c r="AX628" s="1" t="s">
        <v>74</v>
      </c>
      <c r="AY628" s="1" t="s">
        <v>74</v>
      </c>
      <c r="AZ628" s="1" t="s">
        <v>74</v>
      </c>
      <c r="BA628" s="1" t="s">
        <v>74</v>
      </c>
      <c r="BB628" s="1" t="s">
        <v>74</v>
      </c>
      <c r="BC628" s="1" t="s">
        <v>74</v>
      </c>
      <c r="BD628" s="1" t="s">
        <v>74</v>
      </c>
      <c r="BE628" s="1" t="s">
        <v>12813</v>
      </c>
      <c r="BF628" s="2" t="str">
        <f>HYPERLINK("http://dx.doi.org/10.1109/TIRVED53476.2021.9639093","http://dx.doi.org/10.1109/TIRVED53476.2021.9639093")</f>
        <v>http://dx.doi.org/10.1109/TIRVED53476.2021.9639093</v>
      </c>
      <c r="BG628" s="1" t="s">
        <v>74</v>
      </c>
      <c r="BH628" s="1" t="s">
        <v>74</v>
      </c>
      <c r="BI628" s="1">
        <v>5.0</v>
      </c>
      <c r="BJ628" s="1" t="s">
        <v>12814</v>
      </c>
      <c r="BK628" s="1" t="s">
        <v>128</v>
      </c>
      <c r="BL628" s="1" t="s">
        <v>12815</v>
      </c>
      <c r="BM628" s="1" t="s">
        <v>12816</v>
      </c>
      <c r="BN628" s="1" t="s">
        <v>74</v>
      </c>
      <c r="BO628" s="1" t="s">
        <v>74</v>
      </c>
      <c r="BP628" s="1" t="s">
        <v>74</v>
      </c>
      <c r="BQ628" s="1" t="s">
        <v>74</v>
      </c>
      <c r="BR628" s="1" t="s">
        <v>102</v>
      </c>
      <c r="BS628" s="1" t="s">
        <v>12817</v>
      </c>
      <c r="BT628" s="1" t="str">
        <f>HYPERLINK("https%3A%2F%2Fwww.webofscience.com%2Fwos%2Fwoscc%2Ffull-record%2FWOS:000771713900001","View Full Record in Web of Science")</f>
        <v>View Full Record in Web of Science</v>
      </c>
    </row>
    <row r="629" ht="12.75" customHeight="1">
      <c r="A629" s="1" t="s">
        <v>132</v>
      </c>
      <c r="B629" s="1" t="s">
        <v>12818</v>
      </c>
      <c r="C629" s="1" t="s">
        <v>74</v>
      </c>
      <c r="D629" s="1" t="s">
        <v>74</v>
      </c>
      <c r="E629" s="1" t="s">
        <v>74</v>
      </c>
      <c r="F629" s="1" t="s">
        <v>12819</v>
      </c>
      <c r="G629" s="1" t="s">
        <v>74</v>
      </c>
      <c r="H629" s="1" t="s">
        <v>74</v>
      </c>
      <c r="I629" s="1" t="s">
        <v>12820</v>
      </c>
      <c r="J629" s="1" t="s">
        <v>4035</v>
      </c>
      <c r="K629" s="1" t="s">
        <v>74</v>
      </c>
      <c r="L629" s="1" t="s">
        <v>74</v>
      </c>
      <c r="M629" s="1" t="s">
        <v>80</v>
      </c>
      <c r="N629" s="1" t="s">
        <v>136</v>
      </c>
      <c r="O629" s="1" t="s">
        <v>74</v>
      </c>
      <c r="P629" s="1" t="s">
        <v>74</v>
      </c>
      <c r="Q629" s="1" t="s">
        <v>74</v>
      </c>
      <c r="R629" s="1" t="s">
        <v>74</v>
      </c>
      <c r="S629" s="1" t="s">
        <v>74</v>
      </c>
      <c r="T629" s="1" t="s">
        <v>12821</v>
      </c>
      <c r="U629" s="1" t="s">
        <v>74</v>
      </c>
      <c r="V629" s="1" t="s">
        <v>12822</v>
      </c>
      <c r="W629" s="1" t="s">
        <v>12823</v>
      </c>
      <c r="X629" s="1" t="s">
        <v>12824</v>
      </c>
      <c r="Y629" s="1" t="s">
        <v>12825</v>
      </c>
      <c r="Z629" s="1" t="s">
        <v>12826</v>
      </c>
      <c r="AA629" s="1" t="s">
        <v>74</v>
      </c>
      <c r="AB629" s="1" t="s">
        <v>74</v>
      </c>
      <c r="AC629" s="1" t="s">
        <v>12827</v>
      </c>
      <c r="AD629" s="1" t="s">
        <v>12828</v>
      </c>
      <c r="AE629" s="1" t="s">
        <v>12829</v>
      </c>
      <c r="AF629" s="1" t="s">
        <v>74</v>
      </c>
      <c r="AG629" s="1">
        <v>27.0</v>
      </c>
      <c r="AH629" s="1">
        <v>0.0</v>
      </c>
      <c r="AI629" s="1">
        <v>0.0</v>
      </c>
      <c r="AJ629" s="1">
        <v>3.0</v>
      </c>
      <c r="AK629" s="1">
        <v>38.0</v>
      </c>
      <c r="AL629" s="1" t="s">
        <v>275</v>
      </c>
      <c r="AM629" s="1" t="s">
        <v>276</v>
      </c>
      <c r="AN629" s="1" t="s">
        <v>277</v>
      </c>
      <c r="AO629" s="1" t="s">
        <v>4044</v>
      </c>
      <c r="AP629" s="1" t="s">
        <v>74</v>
      </c>
      <c r="AQ629" s="1" t="s">
        <v>74</v>
      </c>
      <c r="AR629" s="1" t="s">
        <v>4045</v>
      </c>
      <c r="AS629" s="1" t="s">
        <v>4046</v>
      </c>
      <c r="AT629" s="1" t="s">
        <v>12830</v>
      </c>
      <c r="AU629" s="1">
        <v>2022.0</v>
      </c>
      <c r="AV629" s="1">
        <v>13.0</v>
      </c>
      <c r="AW629" s="1" t="s">
        <v>74</v>
      </c>
      <c r="AX629" s="1" t="s">
        <v>74</v>
      </c>
      <c r="AY629" s="1" t="s">
        <v>74</v>
      </c>
      <c r="AZ629" s="1" t="s">
        <v>74</v>
      </c>
      <c r="BA629" s="1" t="s">
        <v>74</v>
      </c>
      <c r="BB629" s="1" t="s">
        <v>74</v>
      </c>
      <c r="BC629" s="1" t="s">
        <v>74</v>
      </c>
      <c r="BD629" s="1">
        <v>850092.0</v>
      </c>
      <c r="BE629" s="1" t="s">
        <v>12831</v>
      </c>
      <c r="BF629" s="2" t="str">
        <f>HYPERLINK("http://dx.doi.org/10.3389/fpsyg.2022.850092","http://dx.doi.org/10.3389/fpsyg.2022.850092")</f>
        <v>http://dx.doi.org/10.3389/fpsyg.2022.850092</v>
      </c>
      <c r="BG629" s="1" t="s">
        <v>74</v>
      </c>
      <c r="BH629" s="1" t="s">
        <v>74</v>
      </c>
      <c r="BI629" s="1">
        <v>14.0</v>
      </c>
      <c r="BJ629" s="1" t="s">
        <v>3260</v>
      </c>
      <c r="BK629" s="1" t="s">
        <v>203</v>
      </c>
      <c r="BL629" s="1" t="s">
        <v>3261</v>
      </c>
      <c r="BM629" s="1" t="s">
        <v>12832</v>
      </c>
      <c r="BN629" s="1">
        <v>3.5422739E7</v>
      </c>
      <c r="BO629" s="1" t="s">
        <v>1161</v>
      </c>
      <c r="BP629" s="1" t="s">
        <v>74</v>
      </c>
      <c r="BQ629" s="1" t="s">
        <v>74</v>
      </c>
      <c r="BR629" s="1" t="s">
        <v>102</v>
      </c>
      <c r="BS629" s="1" t="s">
        <v>12833</v>
      </c>
      <c r="BT629" s="1" t="str">
        <f>HYPERLINK("https%3A%2F%2Fwww.webofscience.com%2Fwos%2Fwoscc%2Ffull-record%2FWOS:000787882000001","View Full Record in Web of Science")</f>
        <v>View Full Record in Web of Science</v>
      </c>
    </row>
    <row r="630" ht="12.75" customHeight="1">
      <c r="A630" s="1" t="s">
        <v>132</v>
      </c>
      <c r="B630" s="1" t="s">
        <v>12834</v>
      </c>
      <c r="C630" s="1" t="s">
        <v>74</v>
      </c>
      <c r="D630" s="1" t="s">
        <v>74</v>
      </c>
      <c r="E630" s="1" t="s">
        <v>74</v>
      </c>
      <c r="F630" s="1" t="s">
        <v>12835</v>
      </c>
      <c r="G630" s="1" t="s">
        <v>74</v>
      </c>
      <c r="H630" s="1" t="s">
        <v>74</v>
      </c>
      <c r="I630" s="1" t="s">
        <v>12836</v>
      </c>
      <c r="J630" s="1" t="s">
        <v>12837</v>
      </c>
      <c r="K630" s="1" t="s">
        <v>74</v>
      </c>
      <c r="L630" s="1" t="s">
        <v>74</v>
      </c>
      <c r="M630" s="1" t="s">
        <v>80</v>
      </c>
      <c r="N630" s="1" t="s">
        <v>136</v>
      </c>
      <c r="O630" s="1" t="s">
        <v>74</v>
      </c>
      <c r="P630" s="1" t="s">
        <v>74</v>
      </c>
      <c r="Q630" s="1" t="s">
        <v>74</v>
      </c>
      <c r="R630" s="1" t="s">
        <v>74</v>
      </c>
      <c r="S630" s="1" t="s">
        <v>74</v>
      </c>
      <c r="T630" s="1" t="s">
        <v>12838</v>
      </c>
      <c r="U630" s="1" t="s">
        <v>12839</v>
      </c>
      <c r="V630" s="1" t="s">
        <v>12840</v>
      </c>
      <c r="W630" s="1" t="s">
        <v>12841</v>
      </c>
      <c r="X630" s="1" t="s">
        <v>12842</v>
      </c>
      <c r="Y630" s="1" t="s">
        <v>12843</v>
      </c>
      <c r="Z630" s="1" t="s">
        <v>12844</v>
      </c>
      <c r="AA630" s="1" t="s">
        <v>12845</v>
      </c>
      <c r="AB630" s="1" t="s">
        <v>74</v>
      </c>
      <c r="AC630" s="1" t="s">
        <v>74</v>
      </c>
      <c r="AD630" s="1" t="s">
        <v>74</v>
      </c>
      <c r="AE630" s="1" t="s">
        <v>74</v>
      </c>
      <c r="AF630" s="1" t="s">
        <v>74</v>
      </c>
      <c r="AG630" s="1">
        <v>105.0</v>
      </c>
      <c r="AH630" s="1">
        <v>3.0</v>
      </c>
      <c r="AI630" s="1">
        <v>3.0</v>
      </c>
      <c r="AJ630" s="1">
        <v>2.0</v>
      </c>
      <c r="AK630" s="1">
        <v>4.0</v>
      </c>
      <c r="AL630" s="1" t="s">
        <v>1274</v>
      </c>
      <c r="AM630" s="1" t="s">
        <v>1021</v>
      </c>
      <c r="AN630" s="1" t="s">
        <v>1275</v>
      </c>
      <c r="AO630" s="1" t="s">
        <v>12846</v>
      </c>
      <c r="AP630" s="1" t="s">
        <v>12847</v>
      </c>
      <c r="AQ630" s="1" t="s">
        <v>74</v>
      </c>
      <c r="AR630" s="1" t="s">
        <v>12848</v>
      </c>
      <c r="AS630" s="1" t="s">
        <v>12849</v>
      </c>
      <c r="AT630" s="1" t="s">
        <v>1027</v>
      </c>
      <c r="AU630" s="1">
        <v>2024.0</v>
      </c>
      <c r="AV630" s="1">
        <v>35.0</v>
      </c>
      <c r="AW630" s="1">
        <v>1.0</v>
      </c>
      <c r="AX630" s="1" t="s">
        <v>74</v>
      </c>
      <c r="AY630" s="1" t="s">
        <v>74</v>
      </c>
      <c r="AZ630" s="1" t="s">
        <v>74</v>
      </c>
      <c r="BA630" s="1" t="s">
        <v>74</v>
      </c>
      <c r="BB630" s="1" t="s">
        <v>74</v>
      </c>
      <c r="BC630" s="1" t="s">
        <v>74</v>
      </c>
      <c r="BD630" s="1">
        <v>101007.0</v>
      </c>
      <c r="BE630" s="1" t="s">
        <v>12850</v>
      </c>
      <c r="BF630" s="2" t="str">
        <f>HYPERLINK("http://dx.doi.org/10.1016/j.scrs.2024.101007","http://dx.doi.org/10.1016/j.scrs.2024.101007")</f>
        <v>http://dx.doi.org/10.1016/j.scrs.2024.101007</v>
      </c>
      <c r="BG630" s="1" t="s">
        <v>74</v>
      </c>
      <c r="BH630" s="1" t="s">
        <v>2958</v>
      </c>
      <c r="BI630" s="1">
        <v>13.0</v>
      </c>
      <c r="BJ630" s="1" t="s">
        <v>5012</v>
      </c>
      <c r="BK630" s="1" t="s">
        <v>172</v>
      </c>
      <c r="BL630" s="1" t="s">
        <v>5012</v>
      </c>
      <c r="BM630" s="1" t="s">
        <v>12851</v>
      </c>
      <c r="BN630" s="1" t="s">
        <v>74</v>
      </c>
      <c r="BO630" s="1" t="s">
        <v>306</v>
      </c>
      <c r="BP630" s="1" t="s">
        <v>74</v>
      </c>
      <c r="BQ630" s="1" t="s">
        <v>74</v>
      </c>
      <c r="BR630" s="1" t="s">
        <v>102</v>
      </c>
      <c r="BS630" s="1" t="s">
        <v>12852</v>
      </c>
      <c r="BT630" s="1" t="str">
        <f>HYPERLINK("https%3A%2F%2Fwww.webofscience.com%2Fwos%2Fwoscc%2Ffull-record%2FWOS:001217680500001","View Full Record in Web of Science")</f>
        <v>View Full Record in Web of Science</v>
      </c>
    </row>
    <row r="631" ht="12.75" customHeight="1">
      <c r="A631" s="1" t="s">
        <v>132</v>
      </c>
      <c r="B631" s="1" t="s">
        <v>12853</v>
      </c>
      <c r="C631" s="1" t="s">
        <v>74</v>
      </c>
      <c r="D631" s="1" t="s">
        <v>74</v>
      </c>
      <c r="E631" s="1" t="s">
        <v>74</v>
      </c>
      <c r="F631" s="1" t="s">
        <v>12854</v>
      </c>
      <c r="G631" s="1" t="s">
        <v>74</v>
      </c>
      <c r="H631" s="1" t="s">
        <v>74</v>
      </c>
      <c r="I631" s="1" t="s">
        <v>12855</v>
      </c>
      <c r="J631" s="1" t="s">
        <v>12856</v>
      </c>
      <c r="K631" s="1" t="s">
        <v>74</v>
      </c>
      <c r="L631" s="1" t="s">
        <v>74</v>
      </c>
      <c r="M631" s="1" t="s">
        <v>80</v>
      </c>
      <c r="N631" s="1" t="s">
        <v>136</v>
      </c>
      <c r="O631" s="1" t="s">
        <v>74</v>
      </c>
      <c r="P631" s="1" t="s">
        <v>74</v>
      </c>
      <c r="Q631" s="1" t="s">
        <v>74</v>
      </c>
      <c r="R631" s="1" t="s">
        <v>74</v>
      </c>
      <c r="S631" s="1" t="s">
        <v>74</v>
      </c>
      <c r="T631" s="1" t="s">
        <v>12857</v>
      </c>
      <c r="U631" s="1" t="s">
        <v>12858</v>
      </c>
      <c r="V631" s="1" t="s">
        <v>12859</v>
      </c>
      <c r="W631" s="1" t="s">
        <v>12860</v>
      </c>
      <c r="X631" s="1" t="s">
        <v>6572</v>
      </c>
      <c r="Y631" s="1" t="s">
        <v>12861</v>
      </c>
      <c r="Z631" s="1" t="s">
        <v>12862</v>
      </c>
      <c r="AA631" s="1" t="s">
        <v>12863</v>
      </c>
      <c r="AB631" s="1" t="s">
        <v>12864</v>
      </c>
      <c r="AC631" s="1" t="s">
        <v>12865</v>
      </c>
      <c r="AD631" s="1" t="s">
        <v>12866</v>
      </c>
      <c r="AE631" s="1" t="s">
        <v>12867</v>
      </c>
      <c r="AF631" s="1" t="s">
        <v>74</v>
      </c>
      <c r="AG631" s="1">
        <v>62.0</v>
      </c>
      <c r="AH631" s="1">
        <v>56.0</v>
      </c>
      <c r="AI631" s="1">
        <v>56.0</v>
      </c>
      <c r="AJ631" s="1">
        <v>108.0</v>
      </c>
      <c r="AK631" s="1">
        <v>379.0</v>
      </c>
      <c r="AL631" s="1" t="s">
        <v>1089</v>
      </c>
      <c r="AM631" s="1" t="s">
        <v>1090</v>
      </c>
      <c r="AN631" s="1" t="s">
        <v>1091</v>
      </c>
      <c r="AO631" s="1" t="s">
        <v>12868</v>
      </c>
      <c r="AP631" s="1" t="s">
        <v>12869</v>
      </c>
      <c r="AQ631" s="1" t="s">
        <v>74</v>
      </c>
      <c r="AR631" s="1" t="s">
        <v>12870</v>
      </c>
      <c r="AS631" s="1" t="s">
        <v>12871</v>
      </c>
      <c r="AT631" s="1" t="s">
        <v>1279</v>
      </c>
      <c r="AU631" s="1">
        <v>2022.0</v>
      </c>
      <c r="AV631" s="1">
        <v>95.0</v>
      </c>
      <c r="AW631" s="1" t="s">
        <v>74</v>
      </c>
      <c r="AX631" s="1" t="s">
        <v>74</v>
      </c>
      <c r="AY631" s="1" t="s">
        <v>74</v>
      </c>
      <c r="AZ631" s="1" t="s">
        <v>74</v>
      </c>
      <c r="BA631" s="1" t="s">
        <v>74</v>
      </c>
      <c r="BB631" s="1" t="s">
        <v>74</v>
      </c>
      <c r="BC631" s="1" t="s">
        <v>74</v>
      </c>
      <c r="BD631" s="1">
        <v>103439.0</v>
      </c>
      <c r="BE631" s="1" t="s">
        <v>12872</v>
      </c>
      <c r="BF631" s="2" t="str">
        <f>HYPERLINK("http://dx.doi.org/10.1016/j.annals.2022.103439","http://dx.doi.org/10.1016/j.annals.2022.103439")</f>
        <v>http://dx.doi.org/10.1016/j.annals.2022.103439</v>
      </c>
      <c r="BG631" s="1" t="s">
        <v>74</v>
      </c>
      <c r="BH631" s="1" t="s">
        <v>74</v>
      </c>
      <c r="BI631" s="1">
        <v>20.0</v>
      </c>
      <c r="BJ631" s="1" t="s">
        <v>12873</v>
      </c>
      <c r="BK631" s="1" t="s">
        <v>203</v>
      </c>
      <c r="BL631" s="1" t="s">
        <v>2162</v>
      </c>
      <c r="BM631" s="1" t="s">
        <v>12874</v>
      </c>
      <c r="BN631" s="1" t="s">
        <v>74</v>
      </c>
      <c r="BO631" s="1" t="s">
        <v>74</v>
      </c>
      <c r="BP631" s="1" t="s">
        <v>74</v>
      </c>
      <c r="BQ631" s="1" t="s">
        <v>74</v>
      </c>
      <c r="BR631" s="1" t="s">
        <v>102</v>
      </c>
      <c r="BS631" s="1" t="s">
        <v>12875</v>
      </c>
      <c r="BT631" s="1" t="str">
        <f>HYPERLINK("https%3A%2F%2Fwww.webofscience.com%2Fwos%2Fwoscc%2Ffull-record%2FWOS:001022581900001","View Full Record in Web of Science")</f>
        <v>View Full Record in Web of Science</v>
      </c>
    </row>
    <row r="632" ht="12.75" customHeight="1">
      <c r="A632" s="1" t="s">
        <v>132</v>
      </c>
      <c r="B632" s="1" t="s">
        <v>12876</v>
      </c>
      <c r="C632" s="1" t="s">
        <v>74</v>
      </c>
      <c r="D632" s="1" t="s">
        <v>74</v>
      </c>
      <c r="E632" s="1" t="s">
        <v>74</v>
      </c>
      <c r="F632" s="1" t="s">
        <v>12877</v>
      </c>
      <c r="G632" s="1" t="s">
        <v>74</v>
      </c>
      <c r="H632" s="1" t="s">
        <v>74</v>
      </c>
      <c r="I632" s="1" t="s">
        <v>12878</v>
      </c>
      <c r="J632" s="1" t="s">
        <v>12879</v>
      </c>
      <c r="K632" s="1" t="s">
        <v>74</v>
      </c>
      <c r="L632" s="1" t="s">
        <v>74</v>
      </c>
      <c r="M632" s="1" t="s">
        <v>80</v>
      </c>
      <c r="N632" s="1" t="s">
        <v>136</v>
      </c>
      <c r="O632" s="1" t="s">
        <v>74</v>
      </c>
      <c r="P632" s="1" t="s">
        <v>74</v>
      </c>
      <c r="Q632" s="1" t="s">
        <v>74</v>
      </c>
      <c r="R632" s="1" t="s">
        <v>74</v>
      </c>
      <c r="S632" s="1" t="s">
        <v>74</v>
      </c>
      <c r="T632" s="1" t="s">
        <v>12880</v>
      </c>
      <c r="U632" s="1" t="s">
        <v>74</v>
      </c>
      <c r="V632" s="1" t="s">
        <v>12881</v>
      </c>
      <c r="W632" s="1" t="s">
        <v>12882</v>
      </c>
      <c r="X632" s="1" t="s">
        <v>12883</v>
      </c>
      <c r="Y632" s="1" t="s">
        <v>12884</v>
      </c>
      <c r="Z632" s="1" t="s">
        <v>12885</v>
      </c>
      <c r="AA632" s="1" t="s">
        <v>74</v>
      </c>
      <c r="AB632" s="1" t="s">
        <v>74</v>
      </c>
      <c r="AC632" s="1" t="s">
        <v>74</v>
      </c>
      <c r="AD632" s="1" t="s">
        <v>74</v>
      </c>
      <c r="AE632" s="1" t="s">
        <v>74</v>
      </c>
      <c r="AF632" s="1" t="s">
        <v>74</v>
      </c>
      <c r="AG632" s="1">
        <v>23.0</v>
      </c>
      <c r="AH632" s="1">
        <v>11.0</v>
      </c>
      <c r="AI632" s="1">
        <v>12.0</v>
      </c>
      <c r="AJ632" s="1">
        <v>29.0</v>
      </c>
      <c r="AK632" s="1">
        <v>114.0</v>
      </c>
      <c r="AL632" s="1" t="s">
        <v>680</v>
      </c>
      <c r="AM632" s="1" t="s">
        <v>681</v>
      </c>
      <c r="AN632" s="1" t="s">
        <v>2372</v>
      </c>
      <c r="AO632" s="1" t="s">
        <v>12886</v>
      </c>
      <c r="AP632" s="1" t="s">
        <v>12887</v>
      </c>
      <c r="AQ632" s="1" t="s">
        <v>74</v>
      </c>
      <c r="AR632" s="1" t="s">
        <v>12888</v>
      </c>
      <c r="AS632" s="1" t="s">
        <v>12889</v>
      </c>
      <c r="AT632" s="1" t="s">
        <v>1709</v>
      </c>
      <c r="AU632" s="1">
        <v>2021.0</v>
      </c>
      <c r="AV632" s="1">
        <v>10.0</v>
      </c>
      <c r="AW632" s="1">
        <v>3.0</v>
      </c>
      <c r="AX632" s="1" t="s">
        <v>74</v>
      </c>
      <c r="AY632" s="1" t="s">
        <v>74</v>
      </c>
      <c r="AZ632" s="1" t="s">
        <v>74</v>
      </c>
      <c r="BA632" s="1" t="s">
        <v>74</v>
      </c>
      <c r="BB632" s="1">
        <v>41.0</v>
      </c>
      <c r="BC632" s="1">
        <v>57.0</v>
      </c>
      <c r="BD632" s="1" t="s">
        <v>74</v>
      </c>
      <c r="BE632" s="1" t="s">
        <v>12890</v>
      </c>
      <c r="BF632" s="2" t="str">
        <f>HYPERLINK("http://dx.doi.org/10.2478/jcbtp-2021-0023","http://dx.doi.org/10.2478/jcbtp-2021-0023")</f>
        <v>http://dx.doi.org/10.2478/jcbtp-2021-0023</v>
      </c>
      <c r="BG632" s="1" t="s">
        <v>74</v>
      </c>
      <c r="BH632" s="1" t="s">
        <v>74</v>
      </c>
      <c r="BI632" s="1">
        <v>17.0</v>
      </c>
      <c r="BJ632" s="1" t="s">
        <v>3350</v>
      </c>
      <c r="BK632" s="1" t="s">
        <v>172</v>
      </c>
      <c r="BL632" s="1" t="s">
        <v>204</v>
      </c>
      <c r="BM632" s="1" t="s">
        <v>12891</v>
      </c>
      <c r="BN632" s="1" t="s">
        <v>74</v>
      </c>
      <c r="BO632" s="1" t="s">
        <v>174</v>
      </c>
      <c r="BP632" s="1" t="s">
        <v>74</v>
      </c>
      <c r="BQ632" s="1" t="s">
        <v>74</v>
      </c>
      <c r="BR632" s="1" t="s">
        <v>102</v>
      </c>
      <c r="BS632" s="1" t="s">
        <v>12892</v>
      </c>
      <c r="BT632" s="1" t="str">
        <f>HYPERLINK("https%3A%2F%2Fwww.webofscience.com%2Fwos%2Fwoscc%2Ffull-record%2FWOS:000730393300003","View Full Record in Web of Science")</f>
        <v>View Full Record in Web of Science</v>
      </c>
    </row>
    <row r="633" ht="12.75" customHeight="1">
      <c r="A633" s="1" t="s">
        <v>132</v>
      </c>
      <c r="B633" s="1" t="s">
        <v>12893</v>
      </c>
      <c r="C633" s="1" t="s">
        <v>74</v>
      </c>
      <c r="D633" s="1" t="s">
        <v>74</v>
      </c>
      <c r="E633" s="1" t="s">
        <v>74</v>
      </c>
      <c r="F633" s="1" t="s">
        <v>12894</v>
      </c>
      <c r="G633" s="1" t="s">
        <v>74</v>
      </c>
      <c r="H633" s="1" t="s">
        <v>74</v>
      </c>
      <c r="I633" s="1" t="s">
        <v>12895</v>
      </c>
      <c r="J633" s="1" t="s">
        <v>5348</v>
      </c>
      <c r="K633" s="1" t="s">
        <v>74</v>
      </c>
      <c r="L633" s="1" t="s">
        <v>74</v>
      </c>
      <c r="M633" s="1" t="s">
        <v>80</v>
      </c>
      <c r="N633" s="1" t="s">
        <v>136</v>
      </c>
      <c r="O633" s="1" t="s">
        <v>74</v>
      </c>
      <c r="P633" s="1" t="s">
        <v>74</v>
      </c>
      <c r="Q633" s="1" t="s">
        <v>74</v>
      </c>
      <c r="R633" s="1" t="s">
        <v>74</v>
      </c>
      <c r="S633" s="1" t="s">
        <v>74</v>
      </c>
      <c r="T633" s="1" t="s">
        <v>12896</v>
      </c>
      <c r="U633" s="1" t="s">
        <v>12897</v>
      </c>
      <c r="V633" s="1" t="s">
        <v>12898</v>
      </c>
      <c r="W633" s="1" t="s">
        <v>12899</v>
      </c>
      <c r="X633" s="1" t="s">
        <v>12900</v>
      </c>
      <c r="Y633" s="1" t="s">
        <v>12901</v>
      </c>
      <c r="Z633" s="1" t="s">
        <v>12902</v>
      </c>
      <c r="AA633" s="1" t="s">
        <v>12903</v>
      </c>
      <c r="AB633" s="1" t="s">
        <v>12904</v>
      </c>
      <c r="AC633" s="1" t="s">
        <v>12905</v>
      </c>
      <c r="AD633" s="1" t="s">
        <v>12906</v>
      </c>
      <c r="AE633" s="1" t="s">
        <v>12907</v>
      </c>
      <c r="AF633" s="1" t="s">
        <v>74</v>
      </c>
      <c r="AG633" s="1">
        <v>88.0</v>
      </c>
      <c r="AH633" s="1">
        <v>0.0</v>
      </c>
      <c r="AI633" s="1">
        <v>0.0</v>
      </c>
      <c r="AJ633" s="1">
        <v>7.0</v>
      </c>
      <c r="AK633" s="1">
        <v>7.0</v>
      </c>
      <c r="AL633" s="1" t="s">
        <v>3551</v>
      </c>
      <c r="AM633" s="1" t="s">
        <v>193</v>
      </c>
      <c r="AN633" s="1" t="s">
        <v>3552</v>
      </c>
      <c r="AO633" s="1" t="s">
        <v>5359</v>
      </c>
      <c r="AP633" s="1" t="s">
        <v>5360</v>
      </c>
      <c r="AQ633" s="1" t="s">
        <v>74</v>
      </c>
      <c r="AR633" s="1" t="s">
        <v>5361</v>
      </c>
      <c r="AS633" s="1" t="s">
        <v>5362</v>
      </c>
      <c r="AT633" s="1" t="s">
        <v>870</v>
      </c>
      <c r="AU633" s="1">
        <v>2025.0</v>
      </c>
      <c r="AV633" s="1">
        <v>97.0</v>
      </c>
      <c r="AW633" s="1" t="s">
        <v>74</v>
      </c>
      <c r="AX633" s="1" t="s">
        <v>74</v>
      </c>
      <c r="AY633" s="1" t="s">
        <v>74</v>
      </c>
      <c r="AZ633" s="1" t="s">
        <v>74</v>
      </c>
      <c r="BA633" s="1" t="s">
        <v>74</v>
      </c>
      <c r="BB633" s="1" t="s">
        <v>74</v>
      </c>
      <c r="BC633" s="1" t="s">
        <v>74</v>
      </c>
      <c r="BD633" s="1">
        <v>103872.0</v>
      </c>
      <c r="BE633" s="1" t="s">
        <v>12908</v>
      </c>
      <c r="BF633" s="2" t="str">
        <f>HYPERLINK("http://dx.doi.org/10.1016/j.irfa.2024.103872","http://dx.doi.org/10.1016/j.irfa.2024.103872")</f>
        <v>http://dx.doi.org/10.1016/j.irfa.2024.103872</v>
      </c>
      <c r="BG633" s="1" t="s">
        <v>74</v>
      </c>
      <c r="BH633" s="1" t="s">
        <v>2788</v>
      </c>
      <c r="BI633" s="1">
        <v>23.0</v>
      </c>
      <c r="BJ633" s="1" t="s">
        <v>3350</v>
      </c>
      <c r="BK633" s="1" t="s">
        <v>203</v>
      </c>
      <c r="BL633" s="1" t="s">
        <v>204</v>
      </c>
      <c r="BM633" s="1" t="s">
        <v>12909</v>
      </c>
      <c r="BN633" s="1" t="s">
        <v>74</v>
      </c>
      <c r="BO633" s="1" t="s">
        <v>74</v>
      </c>
      <c r="BP633" s="1" t="s">
        <v>74</v>
      </c>
      <c r="BQ633" s="1" t="s">
        <v>74</v>
      </c>
      <c r="BR633" s="1" t="s">
        <v>102</v>
      </c>
      <c r="BS633" s="1" t="s">
        <v>12910</v>
      </c>
      <c r="BT633" s="1" t="str">
        <f>HYPERLINK("https%3A%2F%2Fwww.webofscience.com%2Fwos%2Fwoscc%2Ffull-record%2FWOS:001393844300001","View Full Record in Web of Science")</f>
        <v>View Full Record in Web of Science</v>
      </c>
    </row>
    <row r="634" ht="12.75" customHeight="1">
      <c r="A634" s="1" t="s">
        <v>132</v>
      </c>
      <c r="B634" s="1" t="s">
        <v>12911</v>
      </c>
      <c r="C634" s="1" t="s">
        <v>74</v>
      </c>
      <c r="D634" s="1" t="s">
        <v>74</v>
      </c>
      <c r="E634" s="1" t="s">
        <v>74</v>
      </c>
      <c r="F634" s="1" t="s">
        <v>12912</v>
      </c>
      <c r="G634" s="1" t="s">
        <v>74</v>
      </c>
      <c r="H634" s="1" t="s">
        <v>74</v>
      </c>
      <c r="I634" s="1" t="s">
        <v>12913</v>
      </c>
      <c r="J634" s="1" t="s">
        <v>12914</v>
      </c>
      <c r="K634" s="1" t="s">
        <v>74</v>
      </c>
      <c r="L634" s="1" t="s">
        <v>74</v>
      </c>
      <c r="M634" s="1" t="s">
        <v>80</v>
      </c>
      <c r="N634" s="1" t="s">
        <v>136</v>
      </c>
      <c r="O634" s="1" t="s">
        <v>74</v>
      </c>
      <c r="P634" s="1" t="s">
        <v>74</v>
      </c>
      <c r="Q634" s="1" t="s">
        <v>74</v>
      </c>
      <c r="R634" s="1" t="s">
        <v>74</v>
      </c>
      <c r="S634" s="1" t="s">
        <v>74</v>
      </c>
      <c r="T634" s="1" t="s">
        <v>12915</v>
      </c>
      <c r="U634" s="1" t="s">
        <v>12916</v>
      </c>
      <c r="V634" s="1" t="s">
        <v>12917</v>
      </c>
      <c r="W634" s="1" t="s">
        <v>12918</v>
      </c>
      <c r="X634" s="1" t="s">
        <v>12919</v>
      </c>
      <c r="Y634" s="1" t="s">
        <v>12920</v>
      </c>
      <c r="Z634" s="1" t="s">
        <v>12921</v>
      </c>
      <c r="AA634" s="1" t="s">
        <v>74</v>
      </c>
      <c r="AB634" s="1" t="s">
        <v>74</v>
      </c>
      <c r="AC634" s="1" t="s">
        <v>12922</v>
      </c>
      <c r="AD634" s="1" t="s">
        <v>12922</v>
      </c>
      <c r="AE634" s="1" t="s">
        <v>12923</v>
      </c>
      <c r="AF634" s="1" t="s">
        <v>74</v>
      </c>
      <c r="AG634" s="1">
        <v>25.0</v>
      </c>
      <c r="AH634" s="1">
        <v>4.0</v>
      </c>
      <c r="AI634" s="1">
        <v>4.0</v>
      </c>
      <c r="AJ634" s="1">
        <v>2.0</v>
      </c>
      <c r="AK634" s="1">
        <v>7.0</v>
      </c>
      <c r="AL634" s="1" t="s">
        <v>1149</v>
      </c>
      <c r="AM634" s="1" t="s">
        <v>1150</v>
      </c>
      <c r="AN634" s="1" t="s">
        <v>1151</v>
      </c>
      <c r="AO634" s="1" t="s">
        <v>12924</v>
      </c>
      <c r="AP634" s="1" t="s">
        <v>12925</v>
      </c>
      <c r="AQ634" s="1" t="s">
        <v>74</v>
      </c>
      <c r="AR634" s="1" t="s">
        <v>12926</v>
      </c>
      <c r="AS634" s="1" t="s">
        <v>12927</v>
      </c>
      <c r="AT634" s="1" t="s">
        <v>1027</v>
      </c>
      <c r="AU634" s="1">
        <v>2023.0</v>
      </c>
      <c r="AV634" s="1">
        <v>71.0</v>
      </c>
      <c r="AW634" s="1">
        <v>3.0</v>
      </c>
      <c r="AX634" s="1" t="s">
        <v>74</v>
      </c>
      <c r="AY634" s="1" t="s">
        <v>74</v>
      </c>
      <c r="AZ634" s="1" t="s">
        <v>74</v>
      </c>
      <c r="BA634" s="1" t="s">
        <v>74</v>
      </c>
      <c r="BB634" s="1">
        <v>810.0</v>
      </c>
      <c r="BC634" s="1">
        <v>817.0</v>
      </c>
      <c r="BD634" s="1" t="s">
        <v>74</v>
      </c>
      <c r="BE634" s="1" t="s">
        <v>12928</v>
      </c>
      <c r="BF634" s="2" t="str">
        <f>HYPERLINK("http://dx.doi.org/10.4103/IJO.IJO_2718_22","http://dx.doi.org/10.4103/IJO.IJO_2718_22")</f>
        <v>http://dx.doi.org/10.4103/IJO.IJO_2718_22</v>
      </c>
      <c r="BG634" s="1" t="s">
        <v>74</v>
      </c>
      <c r="BH634" s="1" t="s">
        <v>74</v>
      </c>
      <c r="BI634" s="1">
        <v>8.0</v>
      </c>
      <c r="BJ634" s="1" t="s">
        <v>1029</v>
      </c>
      <c r="BK634" s="1" t="s">
        <v>149</v>
      </c>
      <c r="BL634" s="1" t="s">
        <v>1029</v>
      </c>
      <c r="BM634" s="1" t="s">
        <v>12929</v>
      </c>
      <c r="BN634" s="1">
        <v>3.6872684E7</v>
      </c>
      <c r="BO634" s="1" t="s">
        <v>1161</v>
      </c>
      <c r="BP634" s="1" t="s">
        <v>74</v>
      </c>
      <c r="BQ634" s="1" t="s">
        <v>74</v>
      </c>
      <c r="BR634" s="1" t="s">
        <v>102</v>
      </c>
      <c r="BS634" s="1" t="s">
        <v>12930</v>
      </c>
      <c r="BT634" s="1" t="str">
        <f>HYPERLINK("https%3A%2F%2Fwww.webofscience.com%2Fwos%2Fwoscc%2Ffull-record%2FWOS:000989168300028","View Full Record in Web of Science")</f>
        <v>View Full Record in Web of Science</v>
      </c>
    </row>
    <row r="635" ht="12.75" customHeight="1">
      <c r="A635" s="1" t="s">
        <v>132</v>
      </c>
      <c r="B635" s="1" t="s">
        <v>12931</v>
      </c>
      <c r="C635" s="1" t="s">
        <v>74</v>
      </c>
      <c r="D635" s="1" t="s">
        <v>74</v>
      </c>
      <c r="E635" s="1" t="s">
        <v>74</v>
      </c>
      <c r="F635" s="1" t="s">
        <v>12932</v>
      </c>
      <c r="G635" s="1" t="s">
        <v>74</v>
      </c>
      <c r="H635" s="1" t="s">
        <v>74</v>
      </c>
      <c r="I635" s="1" t="s">
        <v>12933</v>
      </c>
      <c r="J635" s="1" t="s">
        <v>12934</v>
      </c>
      <c r="K635" s="1" t="s">
        <v>74</v>
      </c>
      <c r="L635" s="1" t="s">
        <v>74</v>
      </c>
      <c r="M635" s="1" t="s">
        <v>80</v>
      </c>
      <c r="N635" s="1" t="s">
        <v>136</v>
      </c>
      <c r="O635" s="1" t="s">
        <v>74</v>
      </c>
      <c r="P635" s="1" t="s">
        <v>74</v>
      </c>
      <c r="Q635" s="1" t="s">
        <v>74</v>
      </c>
      <c r="R635" s="1" t="s">
        <v>74</v>
      </c>
      <c r="S635" s="1" t="s">
        <v>74</v>
      </c>
      <c r="T635" s="1" t="s">
        <v>12935</v>
      </c>
      <c r="U635" s="1" t="s">
        <v>12936</v>
      </c>
      <c r="V635" s="1" t="s">
        <v>12937</v>
      </c>
      <c r="W635" s="1" t="s">
        <v>12938</v>
      </c>
      <c r="X635" s="1" t="s">
        <v>12939</v>
      </c>
      <c r="Y635" s="1" t="s">
        <v>12940</v>
      </c>
      <c r="Z635" s="1" t="s">
        <v>12941</v>
      </c>
      <c r="AA635" s="1" t="s">
        <v>12942</v>
      </c>
      <c r="AB635" s="1" t="s">
        <v>12943</v>
      </c>
      <c r="AC635" s="1" t="s">
        <v>74</v>
      </c>
      <c r="AD635" s="1" t="s">
        <v>74</v>
      </c>
      <c r="AE635" s="1" t="s">
        <v>74</v>
      </c>
      <c r="AF635" s="1" t="s">
        <v>74</v>
      </c>
      <c r="AG635" s="1">
        <v>161.0</v>
      </c>
      <c r="AH635" s="1">
        <v>14.0</v>
      </c>
      <c r="AI635" s="1">
        <v>14.0</v>
      </c>
      <c r="AJ635" s="1">
        <v>5.0</v>
      </c>
      <c r="AK635" s="1">
        <v>24.0</v>
      </c>
      <c r="AL635" s="1" t="s">
        <v>1089</v>
      </c>
      <c r="AM635" s="1" t="s">
        <v>1090</v>
      </c>
      <c r="AN635" s="1" t="s">
        <v>1091</v>
      </c>
      <c r="AO635" s="1" t="s">
        <v>12944</v>
      </c>
      <c r="AP635" s="1" t="s">
        <v>12945</v>
      </c>
      <c r="AQ635" s="1" t="s">
        <v>74</v>
      </c>
      <c r="AR635" s="1" t="s">
        <v>12946</v>
      </c>
      <c r="AS635" s="1" t="s">
        <v>12947</v>
      </c>
      <c r="AT635" s="1" t="s">
        <v>1051</v>
      </c>
      <c r="AU635" s="1">
        <v>2022.0</v>
      </c>
      <c r="AV635" s="1">
        <v>104.0</v>
      </c>
      <c r="AW635" s="1" t="s">
        <v>74</v>
      </c>
      <c r="AX635" s="1" t="s">
        <v>3347</v>
      </c>
      <c r="AY635" s="1" t="s">
        <v>74</v>
      </c>
      <c r="AZ635" s="1" t="s">
        <v>74</v>
      </c>
      <c r="BA635" s="1" t="s">
        <v>74</v>
      </c>
      <c r="BB635" s="1" t="s">
        <v>74</v>
      </c>
      <c r="BC635" s="1" t="s">
        <v>74</v>
      </c>
      <c r="BD635" s="1">
        <v>108460.0</v>
      </c>
      <c r="BE635" s="1" t="s">
        <v>12948</v>
      </c>
      <c r="BF635" s="2" t="str">
        <f>HYPERLINK("http://dx.doi.org/10.1016/j.compeleceng.2022.108460","http://dx.doi.org/10.1016/j.compeleceng.2022.108460")</f>
        <v>http://dx.doi.org/10.1016/j.compeleceng.2022.108460</v>
      </c>
      <c r="BG635" s="1" t="s">
        <v>74</v>
      </c>
      <c r="BH635" s="1" t="s">
        <v>3050</v>
      </c>
      <c r="BI635" s="1">
        <v>36.0</v>
      </c>
      <c r="BJ635" s="1" t="s">
        <v>12949</v>
      </c>
      <c r="BK635" s="1" t="s">
        <v>149</v>
      </c>
      <c r="BL635" s="1" t="s">
        <v>1325</v>
      </c>
      <c r="BM635" s="1" t="s">
        <v>12950</v>
      </c>
      <c r="BN635" s="1" t="s">
        <v>74</v>
      </c>
      <c r="BO635" s="1" t="s">
        <v>632</v>
      </c>
      <c r="BP635" s="1" t="s">
        <v>74</v>
      </c>
      <c r="BQ635" s="1" t="s">
        <v>74</v>
      </c>
      <c r="BR635" s="1" t="s">
        <v>102</v>
      </c>
      <c r="BS635" s="1" t="s">
        <v>12951</v>
      </c>
      <c r="BT635" s="1" t="str">
        <f>HYPERLINK("https%3A%2F%2Fwww.webofscience.com%2Fwos%2Fwoscc%2Ffull-record%2FWOS:000896916300002","View Full Record in Web of Science")</f>
        <v>View Full Record in Web of Science</v>
      </c>
    </row>
    <row r="636" ht="12.75" customHeight="1">
      <c r="A636" s="1" t="s">
        <v>132</v>
      </c>
      <c r="B636" s="1" t="s">
        <v>12952</v>
      </c>
      <c r="C636" s="1" t="s">
        <v>74</v>
      </c>
      <c r="D636" s="1" t="s">
        <v>74</v>
      </c>
      <c r="E636" s="1" t="s">
        <v>74</v>
      </c>
      <c r="F636" s="1" t="s">
        <v>12953</v>
      </c>
      <c r="G636" s="1" t="s">
        <v>74</v>
      </c>
      <c r="H636" s="1" t="s">
        <v>74</v>
      </c>
      <c r="I636" s="1" t="s">
        <v>12954</v>
      </c>
      <c r="J636" s="1" t="s">
        <v>12955</v>
      </c>
      <c r="K636" s="1" t="s">
        <v>74</v>
      </c>
      <c r="L636" s="1" t="s">
        <v>74</v>
      </c>
      <c r="M636" s="1" t="s">
        <v>80</v>
      </c>
      <c r="N636" s="1" t="s">
        <v>136</v>
      </c>
      <c r="O636" s="1" t="s">
        <v>74</v>
      </c>
      <c r="P636" s="1" t="s">
        <v>74</v>
      </c>
      <c r="Q636" s="1" t="s">
        <v>74</v>
      </c>
      <c r="R636" s="1" t="s">
        <v>74</v>
      </c>
      <c r="S636" s="1" t="s">
        <v>74</v>
      </c>
      <c r="T636" s="1" t="s">
        <v>12956</v>
      </c>
      <c r="U636" s="1" t="s">
        <v>12957</v>
      </c>
      <c r="V636" s="1" t="s">
        <v>12958</v>
      </c>
      <c r="W636" s="1" t="s">
        <v>12959</v>
      </c>
      <c r="X636" s="1" t="s">
        <v>74</v>
      </c>
      <c r="Y636" s="1" t="s">
        <v>12960</v>
      </c>
      <c r="Z636" s="1" t="s">
        <v>12961</v>
      </c>
      <c r="AA636" s="1" t="s">
        <v>12962</v>
      </c>
      <c r="AB636" s="1" t="s">
        <v>12963</v>
      </c>
      <c r="AC636" s="1" t="s">
        <v>74</v>
      </c>
      <c r="AD636" s="1" t="s">
        <v>74</v>
      </c>
      <c r="AE636" s="1" t="s">
        <v>74</v>
      </c>
      <c r="AF636" s="1" t="s">
        <v>74</v>
      </c>
      <c r="AG636" s="1">
        <v>91.0</v>
      </c>
      <c r="AH636" s="1">
        <v>8.0</v>
      </c>
      <c r="AI636" s="1">
        <v>8.0</v>
      </c>
      <c r="AJ636" s="1">
        <v>20.0</v>
      </c>
      <c r="AK636" s="1">
        <v>20.0</v>
      </c>
      <c r="AL636" s="1" t="s">
        <v>321</v>
      </c>
      <c r="AM636" s="1" t="s">
        <v>322</v>
      </c>
      <c r="AN636" s="1" t="s">
        <v>323</v>
      </c>
      <c r="AO636" s="1" t="s">
        <v>74</v>
      </c>
      <c r="AP636" s="1" t="s">
        <v>12964</v>
      </c>
      <c r="AQ636" s="1" t="s">
        <v>74</v>
      </c>
      <c r="AR636" s="1" t="s">
        <v>12965</v>
      </c>
      <c r="AS636" s="1" t="s">
        <v>12966</v>
      </c>
      <c r="AT636" s="1" t="s">
        <v>1051</v>
      </c>
      <c r="AU636" s="1">
        <v>2022.0</v>
      </c>
      <c r="AV636" s="1">
        <v>3.0</v>
      </c>
      <c r="AW636" s="1" t="s">
        <v>74</v>
      </c>
      <c r="AX636" s="1" t="s">
        <v>74</v>
      </c>
      <c r="AY636" s="1" t="s">
        <v>74</v>
      </c>
      <c r="AZ636" s="1" t="s">
        <v>74</v>
      </c>
      <c r="BA636" s="1" t="s">
        <v>74</v>
      </c>
      <c r="BB636" s="1" t="s">
        <v>74</v>
      </c>
      <c r="BC636" s="1" t="s">
        <v>74</v>
      </c>
      <c r="BD636" s="1">
        <v>100068.0</v>
      </c>
      <c r="BE636" s="1" t="s">
        <v>12967</v>
      </c>
      <c r="BF636" s="2" t="str">
        <f>HYPERLINK("http://dx.doi.org/10.1016/j.plas.2022.100068","http://dx.doi.org/10.1016/j.plas.2022.100068")</f>
        <v>http://dx.doi.org/10.1016/j.plas.2022.100068</v>
      </c>
      <c r="BG636" s="1" t="s">
        <v>74</v>
      </c>
      <c r="BH636" s="1" t="s">
        <v>74</v>
      </c>
      <c r="BI636" s="1">
        <v>15.0</v>
      </c>
      <c r="BJ636" s="1" t="s">
        <v>331</v>
      </c>
      <c r="BK636" s="1" t="s">
        <v>172</v>
      </c>
      <c r="BL636" s="1" t="s">
        <v>204</v>
      </c>
      <c r="BM636" s="1" t="s">
        <v>12968</v>
      </c>
      <c r="BN636" s="1" t="s">
        <v>74</v>
      </c>
      <c r="BO636" s="1" t="s">
        <v>174</v>
      </c>
      <c r="BP636" s="1" t="s">
        <v>74</v>
      </c>
      <c r="BQ636" s="1" t="s">
        <v>74</v>
      </c>
      <c r="BR636" s="1" t="s">
        <v>102</v>
      </c>
      <c r="BS636" s="1" t="s">
        <v>12969</v>
      </c>
      <c r="BT636" s="1" t="str">
        <f>HYPERLINK("https%3A%2F%2Fwww.webofscience.com%2Fwos%2Fwoscc%2Ffull-record%2FWOS:001292016300010","View Full Record in Web of Science")</f>
        <v>View Full Record in Web of Science</v>
      </c>
    </row>
    <row r="637" ht="12.75" customHeight="1">
      <c r="A637" s="1" t="s">
        <v>132</v>
      </c>
      <c r="B637" s="1" t="s">
        <v>12970</v>
      </c>
      <c r="C637" s="1" t="s">
        <v>74</v>
      </c>
      <c r="D637" s="1" t="s">
        <v>74</v>
      </c>
      <c r="E637" s="1" t="s">
        <v>74</v>
      </c>
      <c r="F637" s="1" t="s">
        <v>12971</v>
      </c>
      <c r="G637" s="1" t="s">
        <v>74</v>
      </c>
      <c r="H637" s="1" t="s">
        <v>74</v>
      </c>
      <c r="I637" s="1" t="s">
        <v>12972</v>
      </c>
      <c r="J637" s="1" t="s">
        <v>12973</v>
      </c>
      <c r="K637" s="1" t="s">
        <v>74</v>
      </c>
      <c r="L637" s="1" t="s">
        <v>74</v>
      </c>
      <c r="M637" s="1" t="s">
        <v>80</v>
      </c>
      <c r="N637" s="1" t="s">
        <v>136</v>
      </c>
      <c r="O637" s="1" t="s">
        <v>74</v>
      </c>
      <c r="P637" s="1" t="s">
        <v>74</v>
      </c>
      <c r="Q637" s="1" t="s">
        <v>74</v>
      </c>
      <c r="R637" s="1" t="s">
        <v>74</v>
      </c>
      <c r="S637" s="1" t="s">
        <v>74</v>
      </c>
      <c r="T637" s="1" t="s">
        <v>12974</v>
      </c>
      <c r="U637" s="1" t="s">
        <v>12975</v>
      </c>
      <c r="V637" s="1" t="s">
        <v>12976</v>
      </c>
      <c r="W637" s="1" t="s">
        <v>12977</v>
      </c>
      <c r="X637" s="1" t="s">
        <v>12978</v>
      </c>
      <c r="Y637" s="1" t="s">
        <v>12979</v>
      </c>
      <c r="Z637" s="1" t="s">
        <v>12980</v>
      </c>
      <c r="AA637" s="1" t="s">
        <v>12981</v>
      </c>
      <c r="AB637" s="1" t="s">
        <v>74</v>
      </c>
      <c r="AC637" s="1" t="s">
        <v>74</v>
      </c>
      <c r="AD637" s="1" t="s">
        <v>74</v>
      </c>
      <c r="AE637" s="1" t="s">
        <v>74</v>
      </c>
      <c r="AF637" s="1" t="s">
        <v>74</v>
      </c>
      <c r="AG637" s="1">
        <v>46.0</v>
      </c>
      <c r="AH637" s="1">
        <v>0.0</v>
      </c>
      <c r="AI637" s="1">
        <v>0.0</v>
      </c>
      <c r="AJ637" s="1">
        <v>9.0</v>
      </c>
      <c r="AK637" s="1">
        <v>9.0</v>
      </c>
      <c r="AL637" s="1" t="s">
        <v>12982</v>
      </c>
      <c r="AM637" s="1" t="s">
        <v>10428</v>
      </c>
      <c r="AN637" s="1" t="s">
        <v>12983</v>
      </c>
      <c r="AO637" s="1" t="s">
        <v>12984</v>
      </c>
      <c r="AP637" s="1" t="s">
        <v>74</v>
      </c>
      <c r="AQ637" s="1" t="s">
        <v>74</v>
      </c>
      <c r="AR637" s="1" t="s">
        <v>12985</v>
      </c>
      <c r="AS637" s="1" t="s">
        <v>12986</v>
      </c>
      <c r="AT637" s="1" t="s">
        <v>328</v>
      </c>
      <c r="AU637" s="1">
        <v>2024.0</v>
      </c>
      <c r="AV637" s="1" t="s">
        <v>74</v>
      </c>
      <c r="AW637" s="1">
        <v>52.0</v>
      </c>
      <c r="AX637" s="1" t="s">
        <v>74</v>
      </c>
      <c r="AY637" s="1" t="s">
        <v>74</v>
      </c>
      <c r="AZ637" s="1" t="s">
        <v>74</v>
      </c>
      <c r="BA637" s="1" t="s">
        <v>74</v>
      </c>
      <c r="BB637" s="1" t="s">
        <v>74</v>
      </c>
      <c r="BC637" s="1" t="s">
        <v>74</v>
      </c>
      <c r="BD637" s="1">
        <v>52.0</v>
      </c>
      <c r="BE637" s="1" t="s">
        <v>12987</v>
      </c>
      <c r="BF637" s="2" t="str">
        <f>HYPERLINK("http://dx.doi.org/10.1344/bid2024.52.06","http://dx.doi.org/10.1344/bid2024.52.06")</f>
        <v>http://dx.doi.org/10.1344/bid2024.52.06</v>
      </c>
      <c r="BG637" s="1" t="s">
        <v>74</v>
      </c>
      <c r="BH637" s="1" t="s">
        <v>74</v>
      </c>
      <c r="BI637" s="1">
        <v>18.0</v>
      </c>
      <c r="BJ637" s="1" t="s">
        <v>358</v>
      </c>
      <c r="BK637" s="1" t="s">
        <v>172</v>
      </c>
      <c r="BL637" s="1" t="s">
        <v>358</v>
      </c>
      <c r="BM637" s="1" t="s">
        <v>12988</v>
      </c>
      <c r="BN637" s="1" t="s">
        <v>74</v>
      </c>
      <c r="BO637" s="1" t="s">
        <v>3076</v>
      </c>
      <c r="BP637" s="1" t="s">
        <v>74</v>
      </c>
      <c r="BQ637" s="1" t="s">
        <v>74</v>
      </c>
      <c r="BR637" s="1" t="s">
        <v>102</v>
      </c>
      <c r="BS637" s="1" t="s">
        <v>12989</v>
      </c>
      <c r="BT637" s="1" t="str">
        <f>HYPERLINK("https%3A%2F%2Fwww.webofscience.com%2Fwos%2Fwoscc%2Ffull-record%2FWOS:001301801300002","View Full Record in Web of Science")</f>
        <v>View Full Record in Web of Science</v>
      </c>
    </row>
    <row r="638" ht="12.75" customHeight="1">
      <c r="A638" s="1" t="s">
        <v>132</v>
      </c>
      <c r="B638" s="1" t="s">
        <v>12990</v>
      </c>
      <c r="C638" s="1" t="s">
        <v>74</v>
      </c>
      <c r="D638" s="1" t="s">
        <v>74</v>
      </c>
      <c r="E638" s="1" t="s">
        <v>74</v>
      </c>
      <c r="F638" s="1" t="s">
        <v>12991</v>
      </c>
      <c r="G638" s="1" t="s">
        <v>74</v>
      </c>
      <c r="H638" s="1" t="s">
        <v>74</v>
      </c>
      <c r="I638" s="1" t="s">
        <v>12992</v>
      </c>
      <c r="J638" s="1" t="s">
        <v>12993</v>
      </c>
      <c r="K638" s="1" t="s">
        <v>74</v>
      </c>
      <c r="L638" s="1" t="s">
        <v>74</v>
      </c>
      <c r="M638" s="1" t="s">
        <v>80</v>
      </c>
      <c r="N638" s="1" t="s">
        <v>136</v>
      </c>
      <c r="O638" s="1" t="s">
        <v>74</v>
      </c>
      <c r="P638" s="1" t="s">
        <v>74</v>
      </c>
      <c r="Q638" s="1" t="s">
        <v>74</v>
      </c>
      <c r="R638" s="1" t="s">
        <v>74</v>
      </c>
      <c r="S638" s="1" t="s">
        <v>74</v>
      </c>
      <c r="T638" s="1" t="s">
        <v>12994</v>
      </c>
      <c r="U638" s="1" t="s">
        <v>74</v>
      </c>
      <c r="V638" s="1" t="s">
        <v>12995</v>
      </c>
      <c r="W638" s="1" t="s">
        <v>12996</v>
      </c>
      <c r="X638" s="1" t="s">
        <v>12997</v>
      </c>
      <c r="Y638" s="1" t="s">
        <v>12998</v>
      </c>
      <c r="Z638" s="1" t="s">
        <v>12999</v>
      </c>
      <c r="AA638" s="1" t="s">
        <v>74</v>
      </c>
      <c r="AB638" s="1" t="s">
        <v>74</v>
      </c>
      <c r="AC638" s="1" t="s">
        <v>74</v>
      </c>
      <c r="AD638" s="1" t="s">
        <v>74</v>
      </c>
      <c r="AE638" s="1" t="s">
        <v>74</v>
      </c>
      <c r="AF638" s="1" t="s">
        <v>74</v>
      </c>
      <c r="AG638" s="1">
        <v>27.0</v>
      </c>
      <c r="AH638" s="1">
        <v>0.0</v>
      </c>
      <c r="AI638" s="1">
        <v>0.0</v>
      </c>
      <c r="AJ638" s="1">
        <v>2.0</v>
      </c>
      <c r="AK638" s="1">
        <v>32.0</v>
      </c>
      <c r="AL638" s="1" t="s">
        <v>13000</v>
      </c>
      <c r="AM638" s="1" t="s">
        <v>8312</v>
      </c>
      <c r="AN638" s="1" t="s">
        <v>13001</v>
      </c>
      <c r="AO638" s="1" t="s">
        <v>13002</v>
      </c>
      <c r="AP638" s="1" t="s">
        <v>13003</v>
      </c>
      <c r="AQ638" s="1" t="s">
        <v>74</v>
      </c>
      <c r="AR638" s="1" t="s">
        <v>13004</v>
      </c>
      <c r="AS638" s="1" t="s">
        <v>13005</v>
      </c>
      <c r="AT638" s="1" t="s">
        <v>1279</v>
      </c>
      <c r="AU638" s="1">
        <v>2024.0</v>
      </c>
      <c r="AV638" s="1">
        <v>16.0</v>
      </c>
      <c r="AW638" s="1">
        <v>5.0</v>
      </c>
      <c r="AX638" s="1" t="s">
        <v>74</v>
      </c>
      <c r="AY638" s="1" t="s">
        <v>74</v>
      </c>
      <c r="AZ638" s="1" t="s">
        <v>74</v>
      </c>
      <c r="BA638" s="1" t="s">
        <v>74</v>
      </c>
      <c r="BB638" s="1">
        <v>825.0</v>
      </c>
      <c r="BC638" s="1">
        <v>836.0</v>
      </c>
      <c r="BD638" s="1" t="s">
        <v>74</v>
      </c>
      <c r="BE638" s="1" t="s">
        <v>13006</v>
      </c>
      <c r="BF638" s="2" t="str">
        <f>HYPERLINK("http://dx.doi.org/10.1037/tra0001305","http://dx.doi.org/10.1037/tra0001305")</f>
        <v>http://dx.doi.org/10.1037/tra0001305</v>
      </c>
      <c r="BG638" s="1" t="s">
        <v>74</v>
      </c>
      <c r="BH638" s="1" t="s">
        <v>13007</v>
      </c>
      <c r="BI638" s="1">
        <v>12.0</v>
      </c>
      <c r="BJ638" s="1" t="s">
        <v>13008</v>
      </c>
      <c r="BK638" s="1" t="s">
        <v>203</v>
      </c>
      <c r="BL638" s="1" t="s">
        <v>13009</v>
      </c>
      <c r="BM638" s="1" t="s">
        <v>13010</v>
      </c>
      <c r="BN638" s="1">
        <v>3.5925696E7</v>
      </c>
      <c r="BO638" s="1" t="s">
        <v>74</v>
      </c>
      <c r="BP638" s="1" t="s">
        <v>74</v>
      </c>
      <c r="BQ638" s="1" t="s">
        <v>74</v>
      </c>
      <c r="BR638" s="1" t="s">
        <v>102</v>
      </c>
      <c r="BS638" s="1" t="s">
        <v>13011</v>
      </c>
      <c r="BT638" s="1" t="str">
        <f>HYPERLINK("https%3A%2F%2Fwww.webofscience.com%2Fwos%2Fwoscc%2Ffull-record%2FWOS:000835441100001","View Full Record in Web of Science")</f>
        <v>View Full Record in Web of Science</v>
      </c>
    </row>
    <row r="639" ht="12.75" customHeight="1">
      <c r="A639" s="1" t="s">
        <v>132</v>
      </c>
      <c r="B639" s="1" t="s">
        <v>13012</v>
      </c>
      <c r="C639" s="1" t="s">
        <v>74</v>
      </c>
      <c r="D639" s="1" t="s">
        <v>74</v>
      </c>
      <c r="E639" s="1" t="s">
        <v>74</v>
      </c>
      <c r="F639" s="1" t="s">
        <v>13013</v>
      </c>
      <c r="G639" s="1" t="s">
        <v>74</v>
      </c>
      <c r="H639" s="1" t="s">
        <v>74</v>
      </c>
      <c r="I639" s="1" t="s">
        <v>13014</v>
      </c>
      <c r="J639" s="1" t="s">
        <v>13015</v>
      </c>
      <c r="K639" s="1" t="s">
        <v>74</v>
      </c>
      <c r="L639" s="1" t="s">
        <v>74</v>
      </c>
      <c r="M639" s="1" t="s">
        <v>80</v>
      </c>
      <c r="N639" s="1" t="s">
        <v>1010</v>
      </c>
      <c r="O639" s="1" t="s">
        <v>74</v>
      </c>
      <c r="P639" s="1" t="s">
        <v>74</v>
      </c>
      <c r="Q639" s="1" t="s">
        <v>74</v>
      </c>
      <c r="R639" s="1" t="s">
        <v>74</v>
      </c>
      <c r="S639" s="1" t="s">
        <v>74</v>
      </c>
      <c r="T639" s="1" t="s">
        <v>13016</v>
      </c>
      <c r="U639" s="1" t="s">
        <v>13017</v>
      </c>
      <c r="V639" s="1" t="s">
        <v>13018</v>
      </c>
      <c r="W639" s="1" t="s">
        <v>13019</v>
      </c>
      <c r="X639" s="1" t="s">
        <v>13020</v>
      </c>
      <c r="Y639" s="1" t="s">
        <v>13021</v>
      </c>
      <c r="Z639" s="1" t="s">
        <v>13022</v>
      </c>
      <c r="AA639" s="1" t="s">
        <v>13023</v>
      </c>
      <c r="AB639" s="1" t="s">
        <v>13024</v>
      </c>
      <c r="AC639" s="1" t="s">
        <v>13025</v>
      </c>
      <c r="AD639" s="1" t="s">
        <v>13026</v>
      </c>
      <c r="AE639" s="1" t="s">
        <v>13027</v>
      </c>
      <c r="AF639" s="1" t="s">
        <v>74</v>
      </c>
      <c r="AG639" s="1">
        <v>432.0</v>
      </c>
      <c r="AH639" s="1">
        <v>35.0</v>
      </c>
      <c r="AI639" s="1">
        <v>36.0</v>
      </c>
      <c r="AJ639" s="1">
        <v>133.0</v>
      </c>
      <c r="AK639" s="1">
        <v>171.0</v>
      </c>
      <c r="AL639" s="1" t="s">
        <v>321</v>
      </c>
      <c r="AM639" s="1" t="s">
        <v>322</v>
      </c>
      <c r="AN639" s="1" t="s">
        <v>323</v>
      </c>
      <c r="AO639" s="1" t="s">
        <v>13028</v>
      </c>
      <c r="AP639" s="1" t="s">
        <v>13029</v>
      </c>
      <c r="AQ639" s="1" t="s">
        <v>74</v>
      </c>
      <c r="AR639" s="1" t="s">
        <v>13030</v>
      </c>
      <c r="AS639" s="1" t="s">
        <v>3052</v>
      </c>
      <c r="AT639" s="1" t="s">
        <v>302</v>
      </c>
      <c r="AU639" s="1">
        <v>2023.0</v>
      </c>
      <c r="AV639" s="1">
        <v>27.0</v>
      </c>
      <c r="AW639" s="1" t="s">
        <v>74</v>
      </c>
      <c r="AX639" s="1" t="s">
        <v>74</v>
      </c>
      <c r="AY639" s="1" t="s">
        <v>74</v>
      </c>
      <c r="AZ639" s="1" t="s">
        <v>74</v>
      </c>
      <c r="BA639" s="1" t="s">
        <v>74</v>
      </c>
      <c r="BB639" s="1">
        <v>37.0</v>
      </c>
      <c r="BC639" s="1">
        <v>69.0</v>
      </c>
      <c r="BD639" s="1" t="s">
        <v>74</v>
      </c>
      <c r="BE639" s="1" t="s">
        <v>13031</v>
      </c>
      <c r="BF639" s="2" t="str">
        <f>HYPERLINK("http://dx.doi.org/10.1016/j.eng.2023.01.014","http://dx.doi.org/10.1016/j.eng.2023.01.014")</f>
        <v>http://dx.doi.org/10.1016/j.eng.2023.01.014</v>
      </c>
      <c r="BG639" s="1" t="s">
        <v>74</v>
      </c>
      <c r="BH639" s="1" t="s">
        <v>2958</v>
      </c>
      <c r="BI639" s="1">
        <v>33.0</v>
      </c>
      <c r="BJ639" s="1" t="s">
        <v>4171</v>
      </c>
      <c r="BK639" s="1" t="s">
        <v>149</v>
      </c>
      <c r="BL639" s="1" t="s">
        <v>3052</v>
      </c>
      <c r="BM639" s="1" t="s">
        <v>13032</v>
      </c>
      <c r="BN639" s="1" t="s">
        <v>74</v>
      </c>
      <c r="BO639" s="1" t="s">
        <v>174</v>
      </c>
      <c r="BP639" s="1" t="s">
        <v>74</v>
      </c>
      <c r="BQ639" s="1" t="s">
        <v>74</v>
      </c>
      <c r="BR639" s="1" t="s">
        <v>102</v>
      </c>
      <c r="BS639" s="1" t="s">
        <v>13033</v>
      </c>
      <c r="BT639" s="1" t="str">
        <f>HYPERLINK("https%3A%2F%2Fwww.webofscience.com%2Fwos%2Fwoscc%2Ffull-record%2FWOS:001199163700001","View Full Record in Web of Science")</f>
        <v>View Full Record in Web of Science</v>
      </c>
    </row>
    <row r="640" ht="12.75" customHeight="1">
      <c r="A640" s="1" t="s">
        <v>132</v>
      </c>
      <c r="B640" s="1" t="s">
        <v>13034</v>
      </c>
      <c r="C640" s="1" t="s">
        <v>74</v>
      </c>
      <c r="D640" s="1" t="s">
        <v>74</v>
      </c>
      <c r="E640" s="1" t="s">
        <v>74</v>
      </c>
      <c r="F640" s="1" t="s">
        <v>13035</v>
      </c>
      <c r="G640" s="1" t="s">
        <v>74</v>
      </c>
      <c r="H640" s="1" t="s">
        <v>74</v>
      </c>
      <c r="I640" s="1" t="s">
        <v>13036</v>
      </c>
      <c r="J640" s="1" t="s">
        <v>2316</v>
      </c>
      <c r="K640" s="1" t="s">
        <v>74</v>
      </c>
      <c r="L640" s="1" t="s">
        <v>74</v>
      </c>
      <c r="M640" s="1" t="s">
        <v>80</v>
      </c>
      <c r="N640" s="1" t="s">
        <v>1010</v>
      </c>
      <c r="O640" s="1" t="s">
        <v>74</v>
      </c>
      <c r="P640" s="1" t="s">
        <v>74</v>
      </c>
      <c r="Q640" s="1" t="s">
        <v>74</v>
      </c>
      <c r="R640" s="1" t="s">
        <v>74</v>
      </c>
      <c r="S640" s="1" t="s">
        <v>74</v>
      </c>
      <c r="T640" s="1" t="s">
        <v>13037</v>
      </c>
      <c r="U640" s="1" t="s">
        <v>13038</v>
      </c>
      <c r="V640" s="1" t="s">
        <v>13039</v>
      </c>
      <c r="W640" s="1" t="s">
        <v>13040</v>
      </c>
      <c r="X640" s="1" t="s">
        <v>13041</v>
      </c>
      <c r="Y640" s="1" t="s">
        <v>13042</v>
      </c>
      <c r="Z640" s="1" t="s">
        <v>13043</v>
      </c>
      <c r="AA640" s="1" t="s">
        <v>13044</v>
      </c>
      <c r="AB640" s="1" t="s">
        <v>74</v>
      </c>
      <c r="AC640" s="1" t="s">
        <v>74</v>
      </c>
      <c r="AD640" s="1" t="s">
        <v>74</v>
      </c>
      <c r="AE640" s="1" t="s">
        <v>74</v>
      </c>
      <c r="AF640" s="1" t="s">
        <v>74</v>
      </c>
      <c r="AG640" s="1">
        <v>55.0</v>
      </c>
      <c r="AH640" s="1">
        <v>0.0</v>
      </c>
      <c r="AI640" s="1">
        <v>0.0</v>
      </c>
      <c r="AJ640" s="1">
        <v>1.0</v>
      </c>
      <c r="AK640" s="1">
        <v>1.0</v>
      </c>
      <c r="AL640" s="1" t="s">
        <v>1970</v>
      </c>
      <c r="AM640" s="1" t="s">
        <v>1658</v>
      </c>
      <c r="AN640" s="1" t="s">
        <v>1971</v>
      </c>
      <c r="AO640" s="1" t="s">
        <v>74</v>
      </c>
      <c r="AP640" s="1" t="s">
        <v>2326</v>
      </c>
      <c r="AQ640" s="1" t="s">
        <v>74</v>
      </c>
      <c r="AR640" s="1" t="s">
        <v>2316</v>
      </c>
      <c r="AS640" s="1" t="s">
        <v>2327</v>
      </c>
      <c r="AT640" s="1" t="s">
        <v>2469</v>
      </c>
      <c r="AU640" s="1">
        <v>2024.0</v>
      </c>
      <c r="AV640" s="1">
        <v>14.0</v>
      </c>
      <c r="AW640" s="1">
        <v>20.0</v>
      </c>
      <c r="AX640" s="1" t="s">
        <v>74</v>
      </c>
      <c r="AY640" s="1" t="s">
        <v>74</v>
      </c>
      <c r="AZ640" s="1" t="s">
        <v>74</v>
      </c>
      <c r="BA640" s="1" t="s">
        <v>74</v>
      </c>
      <c r="BB640" s="1" t="s">
        <v>74</v>
      </c>
      <c r="BC640" s="1" t="s">
        <v>74</v>
      </c>
      <c r="BD640" s="1">
        <v>2279.0</v>
      </c>
      <c r="BE640" s="1" t="s">
        <v>13045</v>
      </c>
      <c r="BF640" s="2" t="str">
        <f>HYPERLINK("http://dx.doi.org/10.3390/diagnostics14202279","http://dx.doi.org/10.3390/diagnostics14202279")</f>
        <v>http://dx.doi.org/10.3390/diagnostics14202279</v>
      </c>
      <c r="BG640" s="1" t="s">
        <v>74</v>
      </c>
      <c r="BH640" s="1" t="s">
        <v>74</v>
      </c>
      <c r="BI640" s="1">
        <v>10.0</v>
      </c>
      <c r="BJ640" s="1" t="s">
        <v>1158</v>
      </c>
      <c r="BK640" s="1" t="s">
        <v>149</v>
      </c>
      <c r="BL640" s="1" t="s">
        <v>1159</v>
      </c>
      <c r="BM640" s="1" t="s">
        <v>13046</v>
      </c>
      <c r="BN640" s="1">
        <v>3.9451602E7</v>
      </c>
      <c r="BO640" s="1" t="s">
        <v>174</v>
      </c>
      <c r="BP640" s="1" t="s">
        <v>74</v>
      </c>
      <c r="BQ640" s="1" t="s">
        <v>74</v>
      </c>
      <c r="BR640" s="1" t="s">
        <v>102</v>
      </c>
      <c r="BS640" s="1" t="s">
        <v>13047</v>
      </c>
      <c r="BT640" s="1" t="str">
        <f>HYPERLINK("https%3A%2F%2Fwww.webofscience.com%2Fwos%2Fwoscc%2Ffull-record%2FWOS:001341728600001","View Full Record in Web of Science")</f>
        <v>View Full Record in Web of Science</v>
      </c>
    </row>
    <row r="641" ht="12.75" customHeight="1">
      <c r="A641" s="1" t="s">
        <v>132</v>
      </c>
      <c r="B641" s="1" t="s">
        <v>13048</v>
      </c>
      <c r="C641" s="1" t="s">
        <v>74</v>
      </c>
      <c r="D641" s="1" t="s">
        <v>74</v>
      </c>
      <c r="E641" s="1" t="s">
        <v>74</v>
      </c>
      <c r="F641" s="1" t="s">
        <v>13049</v>
      </c>
      <c r="G641" s="1" t="s">
        <v>74</v>
      </c>
      <c r="H641" s="1" t="s">
        <v>74</v>
      </c>
      <c r="I641" s="1" t="s">
        <v>13050</v>
      </c>
      <c r="J641" s="1" t="s">
        <v>13051</v>
      </c>
      <c r="K641" s="1" t="s">
        <v>74</v>
      </c>
      <c r="L641" s="1" t="s">
        <v>74</v>
      </c>
      <c r="M641" s="1" t="s">
        <v>80</v>
      </c>
      <c r="N641" s="1" t="s">
        <v>1563</v>
      </c>
      <c r="O641" s="1" t="s">
        <v>74</v>
      </c>
      <c r="P641" s="1" t="s">
        <v>74</v>
      </c>
      <c r="Q641" s="1" t="s">
        <v>74</v>
      </c>
      <c r="R641" s="1" t="s">
        <v>74</v>
      </c>
      <c r="S641" s="1" t="s">
        <v>74</v>
      </c>
      <c r="T641" s="1" t="s">
        <v>13052</v>
      </c>
      <c r="U641" s="1" t="s">
        <v>13053</v>
      </c>
      <c r="V641" s="1" t="s">
        <v>13054</v>
      </c>
      <c r="W641" s="1" t="s">
        <v>13055</v>
      </c>
      <c r="X641" s="1" t="s">
        <v>13056</v>
      </c>
      <c r="Y641" s="1" t="s">
        <v>13057</v>
      </c>
      <c r="Z641" s="1" t="s">
        <v>13058</v>
      </c>
      <c r="AA641" s="1" t="s">
        <v>74</v>
      </c>
      <c r="AB641" s="1" t="s">
        <v>74</v>
      </c>
      <c r="AC641" s="1" t="s">
        <v>74</v>
      </c>
      <c r="AD641" s="1" t="s">
        <v>74</v>
      </c>
      <c r="AE641" s="1" t="s">
        <v>74</v>
      </c>
      <c r="AF641" s="1" t="s">
        <v>74</v>
      </c>
      <c r="AG641" s="1">
        <v>112.0</v>
      </c>
      <c r="AH641" s="1">
        <v>0.0</v>
      </c>
      <c r="AI641" s="1">
        <v>0.0</v>
      </c>
      <c r="AJ641" s="1">
        <v>11.0</v>
      </c>
      <c r="AK641" s="1">
        <v>11.0</v>
      </c>
      <c r="AL641" s="1" t="s">
        <v>13059</v>
      </c>
      <c r="AM641" s="1" t="s">
        <v>13060</v>
      </c>
      <c r="AN641" s="1" t="s">
        <v>13061</v>
      </c>
      <c r="AO641" s="1" t="s">
        <v>74</v>
      </c>
      <c r="AP641" s="1" t="s">
        <v>13062</v>
      </c>
      <c r="AQ641" s="1" t="s">
        <v>74</v>
      </c>
      <c r="AR641" s="1" t="s">
        <v>13063</v>
      </c>
      <c r="AS641" s="1" t="s">
        <v>13064</v>
      </c>
      <c r="AT641" s="1" t="s">
        <v>9981</v>
      </c>
      <c r="AU641" s="1">
        <v>2024.0</v>
      </c>
      <c r="AV641" s="1">
        <v>6.0</v>
      </c>
      <c r="AW641" s="1">
        <v>5.0</v>
      </c>
      <c r="AX641" s="1" t="s">
        <v>74</v>
      </c>
      <c r="AY641" s="1" t="s">
        <v>74</v>
      </c>
      <c r="AZ641" s="1" t="s">
        <v>74</v>
      </c>
      <c r="BA641" s="1" t="s">
        <v>74</v>
      </c>
      <c r="BB641" s="1" t="s">
        <v>74</v>
      </c>
      <c r="BC641" s="1" t="s">
        <v>74</v>
      </c>
      <c r="BD641" s="1">
        <v>50500.0</v>
      </c>
      <c r="BE641" s="1" t="s">
        <v>13065</v>
      </c>
      <c r="BF641" s="2" t="str">
        <f>HYPERLINK("http://dx.doi.org/10.1117/1.AP.6.5.050500","http://dx.doi.org/10.1117/1.AP.6.5.050500")</f>
        <v>http://dx.doi.org/10.1117/1.AP.6.5.050500</v>
      </c>
      <c r="BG641" s="1" t="s">
        <v>74</v>
      </c>
      <c r="BH641" s="1" t="s">
        <v>74</v>
      </c>
      <c r="BI641" s="1">
        <v>6.0</v>
      </c>
      <c r="BJ641" s="1" t="s">
        <v>13066</v>
      </c>
      <c r="BK641" s="1" t="s">
        <v>149</v>
      </c>
      <c r="BL641" s="1" t="s">
        <v>13066</v>
      </c>
      <c r="BM641" s="1" t="s">
        <v>13067</v>
      </c>
      <c r="BN641" s="1" t="s">
        <v>74</v>
      </c>
      <c r="BO641" s="1" t="s">
        <v>174</v>
      </c>
      <c r="BP641" s="1" t="s">
        <v>74</v>
      </c>
      <c r="BQ641" s="1" t="s">
        <v>74</v>
      </c>
      <c r="BR641" s="1" t="s">
        <v>102</v>
      </c>
      <c r="BS641" s="1" t="s">
        <v>13068</v>
      </c>
      <c r="BT641" s="1" t="str">
        <f>HYPERLINK("https%3A%2F%2Fwww.webofscience.com%2Fwos%2Fwoscc%2Ffull-record%2FWOS:001348286400007","View Full Record in Web of Science")</f>
        <v>View Full Record in Web of Science</v>
      </c>
    </row>
    <row r="642" ht="12.75" customHeight="1">
      <c r="A642" s="1" t="s">
        <v>132</v>
      </c>
      <c r="B642" s="1" t="s">
        <v>13069</v>
      </c>
      <c r="C642" s="1" t="s">
        <v>74</v>
      </c>
      <c r="D642" s="1" t="s">
        <v>74</v>
      </c>
      <c r="E642" s="1" t="s">
        <v>74</v>
      </c>
      <c r="F642" s="1" t="s">
        <v>13070</v>
      </c>
      <c r="G642" s="1" t="s">
        <v>74</v>
      </c>
      <c r="H642" s="1" t="s">
        <v>74</v>
      </c>
      <c r="I642" s="1" t="s">
        <v>13071</v>
      </c>
      <c r="J642" s="1" t="s">
        <v>13072</v>
      </c>
      <c r="K642" s="1" t="s">
        <v>74</v>
      </c>
      <c r="L642" s="1" t="s">
        <v>74</v>
      </c>
      <c r="M642" s="1" t="s">
        <v>80</v>
      </c>
      <c r="N642" s="1" t="s">
        <v>136</v>
      </c>
      <c r="O642" s="1" t="s">
        <v>74</v>
      </c>
      <c r="P642" s="1" t="s">
        <v>74</v>
      </c>
      <c r="Q642" s="1" t="s">
        <v>74</v>
      </c>
      <c r="R642" s="1" t="s">
        <v>74</v>
      </c>
      <c r="S642" s="1" t="s">
        <v>74</v>
      </c>
      <c r="T642" s="1" t="s">
        <v>13073</v>
      </c>
      <c r="U642" s="1" t="s">
        <v>74</v>
      </c>
      <c r="V642" s="1" t="s">
        <v>13074</v>
      </c>
      <c r="W642" s="1" t="s">
        <v>13075</v>
      </c>
      <c r="X642" s="1" t="s">
        <v>13076</v>
      </c>
      <c r="Y642" s="1" t="s">
        <v>13077</v>
      </c>
      <c r="Z642" s="1" t="s">
        <v>13078</v>
      </c>
      <c r="AA642" s="1" t="s">
        <v>13079</v>
      </c>
      <c r="AB642" s="1" t="s">
        <v>74</v>
      </c>
      <c r="AC642" s="1" t="s">
        <v>13080</v>
      </c>
      <c r="AD642" s="1" t="s">
        <v>13081</v>
      </c>
      <c r="AE642" s="1" t="s">
        <v>13082</v>
      </c>
      <c r="AF642" s="1" t="s">
        <v>74</v>
      </c>
      <c r="AG642" s="1">
        <v>20.0</v>
      </c>
      <c r="AH642" s="1">
        <v>0.0</v>
      </c>
      <c r="AI642" s="1">
        <v>0.0</v>
      </c>
      <c r="AJ642" s="1">
        <v>50.0</v>
      </c>
      <c r="AK642" s="1">
        <v>50.0</v>
      </c>
      <c r="AL642" s="1" t="s">
        <v>13083</v>
      </c>
      <c r="AM642" s="1" t="s">
        <v>2533</v>
      </c>
      <c r="AN642" s="1" t="s">
        <v>13084</v>
      </c>
      <c r="AO642" s="1" t="s">
        <v>13085</v>
      </c>
      <c r="AP642" s="1" t="s">
        <v>13086</v>
      </c>
      <c r="AQ642" s="1" t="s">
        <v>74</v>
      </c>
      <c r="AR642" s="1" t="s">
        <v>13087</v>
      </c>
      <c r="AS642" s="1" t="s">
        <v>13088</v>
      </c>
      <c r="AT642" s="1" t="s">
        <v>1051</v>
      </c>
      <c r="AU642" s="1">
        <v>2024.0</v>
      </c>
      <c r="AV642" s="1">
        <v>18.0</v>
      </c>
      <c r="AW642" s="1">
        <v>12.0</v>
      </c>
      <c r="AX642" s="1" t="s">
        <v>74</v>
      </c>
      <c r="AY642" s="1" t="s">
        <v>74</v>
      </c>
      <c r="AZ642" s="1" t="s">
        <v>74</v>
      </c>
      <c r="BA642" s="1" t="s">
        <v>74</v>
      </c>
      <c r="BB642" s="1" t="s">
        <v>74</v>
      </c>
      <c r="BC642" s="1" t="s">
        <v>74</v>
      </c>
      <c r="BD642" s="1">
        <v>158.0</v>
      </c>
      <c r="BE642" s="1" t="s">
        <v>13089</v>
      </c>
      <c r="BF642" s="2" t="str">
        <f>HYPERLINK("http://dx.doi.org/10.1007/s11783-024-1918-y","http://dx.doi.org/10.1007/s11783-024-1918-y")</f>
        <v>http://dx.doi.org/10.1007/s11783-024-1918-y</v>
      </c>
      <c r="BG642" s="1" t="s">
        <v>74</v>
      </c>
      <c r="BH642" s="1" t="s">
        <v>74</v>
      </c>
      <c r="BI642" s="1">
        <v>5.0</v>
      </c>
      <c r="BJ642" s="1" t="s">
        <v>13090</v>
      </c>
      <c r="BK642" s="1" t="s">
        <v>149</v>
      </c>
      <c r="BL642" s="1" t="s">
        <v>13091</v>
      </c>
      <c r="BM642" s="1" t="s">
        <v>13092</v>
      </c>
      <c r="BN642" s="1" t="s">
        <v>74</v>
      </c>
      <c r="BO642" s="1" t="s">
        <v>74</v>
      </c>
      <c r="BP642" s="1" t="s">
        <v>74</v>
      </c>
      <c r="BQ642" s="1" t="s">
        <v>74</v>
      </c>
      <c r="BR642" s="1" t="s">
        <v>102</v>
      </c>
      <c r="BS642" s="1" t="s">
        <v>13093</v>
      </c>
      <c r="BT642" s="1" t="str">
        <f>HYPERLINK("https%3A%2F%2Fwww.webofscience.com%2Fwos%2Fwoscc%2Ffull-record%2FWOS:001337775800001","View Full Record in Web of Science")</f>
        <v>View Full Record in Web of Science</v>
      </c>
    </row>
    <row r="643" ht="12.75" customHeight="1">
      <c r="A643" s="1" t="s">
        <v>132</v>
      </c>
      <c r="B643" s="1" t="s">
        <v>13094</v>
      </c>
      <c r="C643" s="1" t="s">
        <v>74</v>
      </c>
      <c r="D643" s="1" t="s">
        <v>74</v>
      </c>
      <c r="E643" s="1" t="s">
        <v>74</v>
      </c>
      <c r="F643" s="1" t="s">
        <v>13095</v>
      </c>
      <c r="G643" s="1" t="s">
        <v>74</v>
      </c>
      <c r="H643" s="1" t="s">
        <v>74</v>
      </c>
      <c r="I643" s="1" t="s">
        <v>13096</v>
      </c>
      <c r="J643" s="1" t="s">
        <v>8454</v>
      </c>
      <c r="K643" s="1" t="s">
        <v>74</v>
      </c>
      <c r="L643" s="1" t="s">
        <v>74</v>
      </c>
      <c r="M643" s="1" t="s">
        <v>80</v>
      </c>
      <c r="N643" s="1" t="s">
        <v>1563</v>
      </c>
      <c r="O643" s="1" t="s">
        <v>74</v>
      </c>
      <c r="P643" s="1" t="s">
        <v>74</v>
      </c>
      <c r="Q643" s="1" t="s">
        <v>74</v>
      </c>
      <c r="R643" s="1" t="s">
        <v>74</v>
      </c>
      <c r="S643" s="1" t="s">
        <v>74</v>
      </c>
      <c r="T643" s="1" t="s">
        <v>13097</v>
      </c>
      <c r="U643" s="1" t="s">
        <v>74</v>
      </c>
      <c r="V643" s="1" t="s">
        <v>13098</v>
      </c>
      <c r="W643" s="1" t="s">
        <v>13099</v>
      </c>
      <c r="X643" s="1" t="s">
        <v>13100</v>
      </c>
      <c r="Y643" s="1" t="s">
        <v>13101</v>
      </c>
      <c r="Z643" s="1" t="s">
        <v>13102</v>
      </c>
      <c r="AA643" s="1" t="s">
        <v>13103</v>
      </c>
      <c r="AB643" s="1" t="s">
        <v>13104</v>
      </c>
      <c r="AC643" s="1" t="s">
        <v>74</v>
      </c>
      <c r="AD643" s="1" t="s">
        <v>74</v>
      </c>
      <c r="AE643" s="1" t="s">
        <v>74</v>
      </c>
      <c r="AF643" s="1" t="s">
        <v>74</v>
      </c>
      <c r="AG643" s="1">
        <v>5.0</v>
      </c>
      <c r="AH643" s="1">
        <v>8.0</v>
      </c>
      <c r="AI643" s="1">
        <v>8.0</v>
      </c>
      <c r="AJ643" s="1">
        <v>10.0</v>
      </c>
      <c r="AK643" s="1">
        <v>22.0</v>
      </c>
      <c r="AL643" s="1" t="s">
        <v>3800</v>
      </c>
      <c r="AM643" s="1" t="s">
        <v>349</v>
      </c>
      <c r="AN643" s="1" t="s">
        <v>3801</v>
      </c>
      <c r="AO643" s="1" t="s">
        <v>74</v>
      </c>
      <c r="AP643" s="1" t="s">
        <v>8463</v>
      </c>
      <c r="AQ643" s="1" t="s">
        <v>74</v>
      </c>
      <c r="AR643" s="1" t="s">
        <v>8464</v>
      </c>
      <c r="AS643" s="1" t="s">
        <v>8465</v>
      </c>
      <c r="AT643" s="1" t="s">
        <v>13105</v>
      </c>
      <c r="AU643" s="1">
        <v>2023.0</v>
      </c>
      <c r="AV643" s="1">
        <v>15.0</v>
      </c>
      <c r="AW643" s="1">
        <v>10.0</v>
      </c>
      <c r="AX643" s="1" t="s">
        <v>74</v>
      </c>
      <c r="AY643" s="1" t="s">
        <v>74</v>
      </c>
      <c r="AZ643" s="1" t="s">
        <v>74</v>
      </c>
      <c r="BA643" s="1" t="s">
        <v>74</v>
      </c>
      <c r="BB643" s="1" t="s">
        <v>74</v>
      </c>
      <c r="BC643" s="1" t="s">
        <v>74</v>
      </c>
      <c r="BD643" s="1" t="s">
        <v>13106</v>
      </c>
      <c r="BE643" s="1" t="s">
        <v>13107</v>
      </c>
      <c r="BF643" s="2" t="str">
        <f>HYPERLINK("http://dx.doi.org/10.7759/cureus.47275","http://dx.doi.org/10.7759/cureus.47275")</f>
        <v>http://dx.doi.org/10.7759/cureus.47275</v>
      </c>
      <c r="BG643" s="1" t="s">
        <v>74</v>
      </c>
      <c r="BH643" s="1" t="s">
        <v>74</v>
      </c>
      <c r="BI643" s="1">
        <v>2.0</v>
      </c>
      <c r="BJ643" s="1" t="s">
        <v>1158</v>
      </c>
      <c r="BK643" s="1" t="s">
        <v>172</v>
      </c>
      <c r="BL643" s="1" t="s">
        <v>1159</v>
      </c>
      <c r="BM643" s="1" t="s">
        <v>13108</v>
      </c>
      <c r="BN643" s="1">
        <v>3.8021626E7</v>
      </c>
      <c r="BO643" s="1" t="s">
        <v>1161</v>
      </c>
      <c r="BP643" s="1" t="s">
        <v>74</v>
      </c>
      <c r="BQ643" s="1" t="s">
        <v>74</v>
      </c>
      <c r="BR643" s="1" t="s">
        <v>102</v>
      </c>
      <c r="BS643" s="1" t="s">
        <v>13109</v>
      </c>
      <c r="BT643" s="1" t="str">
        <f>HYPERLINK("https%3A%2F%2Fwww.webofscience.com%2Fwos%2Fwoscc%2Ffull-record%2FWOS:001109714000029","View Full Record in Web of Science")</f>
        <v>View Full Record in Web of Science</v>
      </c>
    </row>
    <row r="644" ht="12.75" customHeight="1">
      <c r="A644" s="1" t="s">
        <v>132</v>
      </c>
      <c r="B644" s="1" t="s">
        <v>13110</v>
      </c>
      <c r="C644" s="1" t="s">
        <v>74</v>
      </c>
      <c r="D644" s="1" t="s">
        <v>74</v>
      </c>
      <c r="E644" s="1" t="s">
        <v>74</v>
      </c>
      <c r="F644" s="1" t="s">
        <v>13111</v>
      </c>
      <c r="G644" s="1" t="s">
        <v>74</v>
      </c>
      <c r="H644" s="1" t="s">
        <v>74</v>
      </c>
      <c r="I644" s="1" t="s">
        <v>13112</v>
      </c>
      <c r="J644" s="1" t="s">
        <v>13113</v>
      </c>
      <c r="K644" s="1" t="s">
        <v>74</v>
      </c>
      <c r="L644" s="1" t="s">
        <v>74</v>
      </c>
      <c r="M644" s="1" t="s">
        <v>80</v>
      </c>
      <c r="N644" s="1" t="s">
        <v>1010</v>
      </c>
      <c r="O644" s="1" t="s">
        <v>74</v>
      </c>
      <c r="P644" s="1" t="s">
        <v>74</v>
      </c>
      <c r="Q644" s="1" t="s">
        <v>74</v>
      </c>
      <c r="R644" s="1" t="s">
        <v>74</v>
      </c>
      <c r="S644" s="1" t="s">
        <v>74</v>
      </c>
      <c r="T644" s="1" t="s">
        <v>13114</v>
      </c>
      <c r="U644" s="1" t="s">
        <v>13115</v>
      </c>
      <c r="V644" s="1" t="s">
        <v>13116</v>
      </c>
      <c r="W644" s="1" t="s">
        <v>13117</v>
      </c>
      <c r="X644" s="1" t="s">
        <v>13118</v>
      </c>
      <c r="Y644" s="1" t="s">
        <v>13119</v>
      </c>
      <c r="Z644" s="1" t="s">
        <v>13120</v>
      </c>
      <c r="AA644" s="1" t="s">
        <v>13121</v>
      </c>
      <c r="AB644" s="1" t="s">
        <v>13122</v>
      </c>
      <c r="AC644" s="1" t="s">
        <v>13123</v>
      </c>
      <c r="AD644" s="1" t="s">
        <v>13123</v>
      </c>
      <c r="AE644" s="1" t="s">
        <v>13124</v>
      </c>
      <c r="AF644" s="1" t="s">
        <v>74</v>
      </c>
      <c r="AG644" s="1">
        <v>96.0</v>
      </c>
      <c r="AH644" s="1">
        <v>25.0</v>
      </c>
      <c r="AI644" s="1">
        <v>27.0</v>
      </c>
      <c r="AJ644" s="1">
        <v>4.0</v>
      </c>
      <c r="AK644" s="1">
        <v>59.0</v>
      </c>
      <c r="AL644" s="1" t="s">
        <v>1357</v>
      </c>
      <c r="AM644" s="1" t="s">
        <v>1358</v>
      </c>
      <c r="AN644" s="1" t="s">
        <v>1359</v>
      </c>
      <c r="AO644" s="1" t="s">
        <v>74</v>
      </c>
      <c r="AP644" s="1" t="s">
        <v>13125</v>
      </c>
      <c r="AQ644" s="1" t="s">
        <v>74</v>
      </c>
      <c r="AR644" s="1" t="s">
        <v>13126</v>
      </c>
      <c r="AS644" s="1" t="s">
        <v>13127</v>
      </c>
      <c r="AT644" s="1" t="s">
        <v>328</v>
      </c>
      <c r="AU644" s="1">
        <v>2021.0</v>
      </c>
      <c r="AV644" s="1">
        <v>3.0</v>
      </c>
      <c r="AW644" s="1">
        <v>6.0</v>
      </c>
      <c r="AX644" s="1" t="s">
        <v>74</v>
      </c>
      <c r="AY644" s="1" t="s">
        <v>74</v>
      </c>
      <c r="AZ644" s="1" t="s">
        <v>74</v>
      </c>
      <c r="BA644" s="1" t="s">
        <v>74</v>
      </c>
      <c r="BB644" s="1" t="s">
        <v>74</v>
      </c>
      <c r="BC644" s="1" t="s">
        <v>74</v>
      </c>
      <c r="BD644" s="1">
        <v>2000261.0</v>
      </c>
      <c r="BE644" s="1" t="s">
        <v>13128</v>
      </c>
      <c r="BF644" s="2" t="str">
        <f>HYPERLINK("http://dx.doi.org/10.1002/aisy.202000261","http://dx.doi.org/10.1002/aisy.202000261")</f>
        <v>http://dx.doi.org/10.1002/aisy.202000261</v>
      </c>
      <c r="BG644" s="1" t="s">
        <v>74</v>
      </c>
      <c r="BH644" s="1" t="s">
        <v>74</v>
      </c>
      <c r="BI644" s="1">
        <v>29.0</v>
      </c>
      <c r="BJ644" s="1" t="s">
        <v>13129</v>
      </c>
      <c r="BK644" s="1" t="s">
        <v>149</v>
      </c>
      <c r="BL644" s="1" t="s">
        <v>13130</v>
      </c>
      <c r="BM644" s="1" t="s">
        <v>13131</v>
      </c>
      <c r="BN644" s="1" t="s">
        <v>74</v>
      </c>
      <c r="BO644" s="1" t="s">
        <v>1161</v>
      </c>
      <c r="BP644" s="1" t="s">
        <v>74</v>
      </c>
      <c r="BQ644" s="1" t="s">
        <v>74</v>
      </c>
      <c r="BR644" s="1" t="s">
        <v>102</v>
      </c>
      <c r="BS644" s="1" t="s">
        <v>13132</v>
      </c>
      <c r="BT644" s="1" t="str">
        <f>HYPERLINK("https%3A%2F%2Fwww.webofscience.com%2Fwos%2Fwoscc%2Ffull-record%2FWOS:000757030300010","View Full Record in Web of Science")</f>
        <v>View Full Record in Web of Science</v>
      </c>
    </row>
    <row r="645" ht="12.75" customHeight="1">
      <c r="A645" s="1" t="s">
        <v>132</v>
      </c>
      <c r="B645" s="1" t="s">
        <v>13133</v>
      </c>
      <c r="C645" s="1" t="s">
        <v>74</v>
      </c>
      <c r="D645" s="1" t="s">
        <v>74</v>
      </c>
      <c r="E645" s="1" t="s">
        <v>74</v>
      </c>
      <c r="F645" s="1" t="s">
        <v>13134</v>
      </c>
      <c r="G645" s="1" t="s">
        <v>74</v>
      </c>
      <c r="H645" s="1" t="s">
        <v>74</v>
      </c>
      <c r="I645" s="1" t="s">
        <v>13135</v>
      </c>
      <c r="J645" s="1" t="s">
        <v>13136</v>
      </c>
      <c r="K645" s="1" t="s">
        <v>74</v>
      </c>
      <c r="L645" s="1" t="s">
        <v>74</v>
      </c>
      <c r="M645" s="1" t="s">
        <v>3863</v>
      </c>
      <c r="N645" s="1" t="s">
        <v>136</v>
      </c>
      <c r="O645" s="1" t="s">
        <v>74</v>
      </c>
      <c r="P645" s="1" t="s">
        <v>74</v>
      </c>
      <c r="Q645" s="1" t="s">
        <v>74</v>
      </c>
      <c r="R645" s="1" t="s">
        <v>74</v>
      </c>
      <c r="S645" s="1" t="s">
        <v>74</v>
      </c>
      <c r="T645" s="1" t="s">
        <v>13137</v>
      </c>
      <c r="U645" s="1" t="s">
        <v>74</v>
      </c>
      <c r="V645" s="1" t="s">
        <v>13138</v>
      </c>
      <c r="W645" s="1" t="s">
        <v>13139</v>
      </c>
      <c r="X645" s="1" t="s">
        <v>13140</v>
      </c>
      <c r="Y645" s="1" t="s">
        <v>13141</v>
      </c>
      <c r="Z645" s="1" t="s">
        <v>13142</v>
      </c>
      <c r="AA645" s="1" t="s">
        <v>13143</v>
      </c>
      <c r="AB645" s="1" t="s">
        <v>13144</v>
      </c>
      <c r="AC645" s="1" t="s">
        <v>74</v>
      </c>
      <c r="AD645" s="1" t="s">
        <v>74</v>
      </c>
      <c r="AE645" s="1" t="s">
        <v>74</v>
      </c>
      <c r="AF645" s="1" t="s">
        <v>74</v>
      </c>
      <c r="AG645" s="1">
        <v>57.0</v>
      </c>
      <c r="AH645" s="1">
        <v>2.0</v>
      </c>
      <c r="AI645" s="1">
        <v>2.0</v>
      </c>
      <c r="AJ645" s="1">
        <v>15.0</v>
      </c>
      <c r="AK645" s="1">
        <v>100.0</v>
      </c>
      <c r="AL645" s="1" t="s">
        <v>13145</v>
      </c>
      <c r="AM645" s="1" t="s">
        <v>13146</v>
      </c>
      <c r="AN645" s="1" t="s">
        <v>13147</v>
      </c>
      <c r="AO645" s="1" t="s">
        <v>13148</v>
      </c>
      <c r="AP645" s="1" t="s">
        <v>74</v>
      </c>
      <c r="AQ645" s="1" t="s">
        <v>74</v>
      </c>
      <c r="AR645" s="1" t="s">
        <v>13149</v>
      </c>
      <c r="AS645" s="1" t="s">
        <v>13150</v>
      </c>
      <c r="AT645" s="1" t="s">
        <v>74</v>
      </c>
      <c r="AU645" s="1">
        <v>2021.0</v>
      </c>
      <c r="AV645" s="1" t="s">
        <v>74</v>
      </c>
      <c r="AW645" s="1">
        <v>3.0</v>
      </c>
      <c r="AX645" s="1" t="s">
        <v>74</v>
      </c>
      <c r="AY645" s="1" t="s">
        <v>74</v>
      </c>
      <c r="AZ645" s="1" t="s">
        <v>74</v>
      </c>
      <c r="BA645" s="1" t="s">
        <v>74</v>
      </c>
      <c r="BB645" s="1">
        <v>488.0</v>
      </c>
      <c r="BC645" s="1">
        <v>515.0</v>
      </c>
      <c r="BD645" s="1" t="s">
        <v>74</v>
      </c>
      <c r="BE645" s="1" t="s">
        <v>13151</v>
      </c>
      <c r="BF645" s="2" t="str">
        <f>HYPERLINK("http://dx.doi.org/10.17072/1995-4190-2021-53-488-515","http://dx.doi.org/10.17072/1995-4190-2021-53-488-515")</f>
        <v>http://dx.doi.org/10.17072/1995-4190-2021-53-488-515</v>
      </c>
      <c r="BG645" s="1" t="s">
        <v>74</v>
      </c>
      <c r="BH645" s="1" t="s">
        <v>74</v>
      </c>
      <c r="BI645" s="1">
        <v>28.0</v>
      </c>
      <c r="BJ645" s="1" t="s">
        <v>915</v>
      </c>
      <c r="BK645" s="1" t="s">
        <v>172</v>
      </c>
      <c r="BL645" s="1" t="s">
        <v>916</v>
      </c>
      <c r="BM645" s="1" t="s">
        <v>13152</v>
      </c>
      <c r="BN645" s="1" t="s">
        <v>74</v>
      </c>
      <c r="BO645" s="1" t="s">
        <v>174</v>
      </c>
      <c r="BP645" s="1" t="s">
        <v>74</v>
      </c>
      <c r="BQ645" s="1" t="s">
        <v>74</v>
      </c>
      <c r="BR645" s="1" t="s">
        <v>102</v>
      </c>
      <c r="BS645" s="1" t="s">
        <v>13153</v>
      </c>
      <c r="BT645" s="1" t="str">
        <f>HYPERLINK("https%3A%2F%2Fwww.webofscience.com%2Fwos%2Fwoscc%2Ffull-record%2FWOS:000707568900003","View Full Record in Web of Science")</f>
        <v>View Full Record in Web of Science</v>
      </c>
    </row>
    <row r="646" ht="12.75" customHeight="1">
      <c r="A646" s="1" t="s">
        <v>72</v>
      </c>
      <c r="B646" s="1" t="s">
        <v>13154</v>
      </c>
      <c r="C646" s="1" t="s">
        <v>74</v>
      </c>
      <c r="D646" s="1" t="s">
        <v>74</v>
      </c>
      <c r="E646" s="1" t="s">
        <v>236</v>
      </c>
      <c r="F646" s="1" t="s">
        <v>13155</v>
      </c>
      <c r="G646" s="1" t="s">
        <v>74</v>
      </c>
      <c r="H646" s="1" t="s">
        <v>74</v>
      </c>
      <c r="I646" s="1" t="s">
        <v>13156</v>
      </c>
      <c r="J646" s="1" t="s">
        <v>13157</v>
      </c>
      <c r="K646" s="1" t="s">
        <v>74</v>
      </c>
      <c r="L646" s="1" t="s">
        <v>74</v>
      </c>
      <c r="M646" s="1" t="s">
        <v>80</v>
      </c>
      <c r="N646" s="1" t="s">
        <v>81</v>
      </c>
      <c r="O646" s="1" t="s">
        <v>13158</v>
      </c>
      <c r="P646" s="1" t="s">
        <v>13159</v>
      </c>
      <c r="Q646" s="1" t="s">
        <v>667</v>
      </c>
      <c r="R646" s="1" t="s">
        <v>3939</v>
      </c>
      <c r="S646" s="1" t="s">
        <v>74</v>
      </c>
      <c r="T646" s="1" t="s">
        <v>13160</v>
      </c>
      <c r="U646" s="1" t="s">
        <v>74</v>
      </c>
      <c r="V646" s="1" t="s">
        <v>13161</v>
      </c>
      <c r="W646" s="1" t="s">
        <v>13162</v>
      </c>
      <c r="X646" s="1" t="s">
        <v>13163</v>
      </c>
      <c r="Y646" s="1" t="s">
        <v>13164</v>
      </c>
      <c r="Z646" s="1" t="s">
        <v>13165</v>
      </c>
      <c r="AA646" s="1" t="s">
        <v>13166</v>
      </c>
      <c r="AB646" s="1" t="s">
        <v>74</v>
      </c>
      <c r="AC646" s="1" t="s">
        <v>13167</v>
      </c>
      <c r="AD646" s="1" t="s">
        <v>13168</v>
      </c>
      <c r="AE646" s="1" t="s">
        <v>13169</v>
      </c>
      <c r="AF646" s="1" t="s">
        <v>74</v>
      </c>
      <c r="AG646" s="1">
        <v>22.0</v>
      </c>
      <c r="AH646" s="1">
        <v>4.0</v>
      </c>
      <c r="AI646" s="1">
        <v>4.0</v>
      </c>
      <c r="AJ646" s="1">
        <v>3.0</v>
      </c>
      <c r="AK646" s="1">
        <v>13.0</v>
      </c>
      <c r="AL646" s="1" t="s">
        <v>236</v>
      </c>
      <c r="AM646" s="1" t="s">
        <v>193</v>
      </c>
      <c r="AN646" s="1" t="s">
        <v>252</v>
      </c>
      <c r="AO646" s="1" t="s">
        <v>74</v>
      </c>
      <c r="AP646" s="1" t="s">
        <v>74</v>
      </c>
      <c r="AQ646" s="1" t="s">
        <v>13170</v>
      </c>
      <c r="AR646" s="1" t="s">
        <v>74</v>
      </c>
      <c r="AS646" s="1" t="s">
        <v>74</v>
      </c>
      <c r="AT646" s="1" t="s">
        <v>74</v>
      </c>
      <c r="AU646" s="1">
        <v>2022.0</v>
      </c>
      <c r="AV646" s="1" t="s">
        <v>74</v>
      </c>
      <c r="AW646" s="1" t="s">
        <v>74</v>
      </c>
      <c r="AX646" s="1" t="s">
        <v>74</v>
      </c>
      <c r="AY646" s="1" t="s">
        <v>74</v>
      </c>
      <c r="AZ646" s="1" t="s">
        <v>74</v>
      </c>
      <c r="BA646" s="1" t="s">
        <v>74</v>
      </c>
      <c r="BB646" s="1">
        <v>49.0</v>
      </c>
      <c r="BC646" s="1">
        <v>51.0</v>
      </c>
      <c r="BD646" s="1" t="s">
        <v>74</v>
      </c>
      <c r="BE646" s="1" t="s">
        <v>13171</v>
      </c>
      <c r="BF646" s="2" t="str">
        <f>HYPERLINK("http://dx.doi.org/10.1109/CogMI56440.2022.00017","http://dx.doi.org/10.1109/CogMI56440.2022.00017")</f>
        <v>http://dx.doi.org/10.1109/CogMI56440.2022.00017</v>
      </c>
      <c r="BG646" s="1" t="s">
        <v>74</v>
      </c>
      <c r="BH646" s="1" t="s">
        <v>74</v>
      </c>
      <c r="BI646" s="1">
        <v>3.0</v>
      </c>
      <c r="BJ646" s="1" t="s">
        <v>527</v>
      </c>
      <c r="BK646" s="1" t="s">
        <v>128</v>
      </c>
      <c r="BL646" s="1" t="s">
        <v>232</v>
      </c>
      <c r="BM646" s="1" t="s">
        <v>13172</v>
      </c>
      <c r="BN646" s="1" t="s">
        <v>74</v>
      </c>
      <c r="BO646" s="1" t="s">
        <v>74</v>
      </c>
      <c r="BP646" s="1" t="s">
        <v>74</v>
      </c>
      <c r="BQ646" s="1" t="s">
        <v>74</v>
      </c>
      <c r="BR646" s="1" t="s">
        <v>102</v>
      </c>
      <c r="BS646" s="1" t="s">
        <v>13173</v>
      </c>
      <c r="BT646" s="1" t="str">
        <f>HYPERLINK("https%3A%2F%2Fwww.webofscience.com%2Fwos%2Fwoscc%2Ffull-record%2FWOS:000977250500007","View Full Record in Web of Science")</f>
        <v>View Full Record in Web of Science</v>
      </c>
    </row>
    <row r="647" ht="12.75" customHeight="1">
      <c r="A647" s="1" t="s">
        <v>132</v>
      </c>
      <c r="B647" s="1" t="s">
        <v>13174</v>
      </c>
      <c r="C647" s="1" t="s">
        <v>74</v>
      </c>
      <c r="D647" s="1" t="s">
        <v>74</v>
      </c>
      <c r="E647" s="1" t="s">
        <v>74</v>
      </c>
      <c r="F647" s="1" t="s">
        <v>13175</v>
      </c>
      <c r="G647" s="1" t="s">
        <v>74</v>
      </c>
      <c r="H647" s="1" t="s">
        <v>74</v>
      </c>
      <c r="I647" s="1" t="s">
        <v>13176</v>
      </c>
      <c r="J647" s="1" t="s">
        <v>13177</v>
      </c>
      <c r="K647" s="1" t="s">
        <v>74</v>
      </c>
      <c r="L647" s="1" t="s">
        <v>74</v>
      </c>
      <c r="M647" s="1" t="s">
        <v>80</v>
      </c>
      <c r="N647" s="1" t="s">
        <v>136</v>
      </c>
      <c r="O647" s="1" t="s">
        <v>74</v>
      </c>
      <c r="P647" s="1" t="s">
        <v>74</v>
      </c>
      <c r="Q647" s="1" t="s">
        <v>74</v>
      </c>
      <c r="R647" s="1" t="s">
        <v>74</v>
      </c>
      <c r="S647" s="1" t="s">
        <v>74</v>
      </c>
      <c r="T647" s="1" t="s">
        <v>13178</v>
      </c>
      <c r="U647" s="1" t="s">
        <v>74</v>
      </c>
      <c r="V647" s="1" t="s">
        <v>13179</v>
      </c>
      <c r="W647" s="1" t="s">
        <v>13180</v>
      </c>
      <c r="X647" s="1" t="s">
        <v>13181</v>
      </c>
      <c r="Y647" s="1" t="s">
        <v>13182</v>
      </c>
      <c r="Z647" s="1" t="s">
        <v>13183</v>
      </c>
      <c r="AA647" s="1" t="s">
        <v>13184</v>
      </c>
      <c r="AB647" s="1" t="s">
        <v>13185</v>
      </c>
      <c r="AC647" s="1" t="s">
        <v>13186</v>
      </c>
      <c r="AD647" s="1" t="s">
        <v>13186</v>
      </c>
      <c r="AE647" s="1" t="s">
        <v>13187</v>
      </c>
      <c r="AF647" s="1" t="s">
        <v>74</v>
      </c>
      <c r="AG647" s="1">
        <v>25.0</v>
      </c>
      <c r="AH647" s="1">
        <v>3.0</v>
      </c>
      <c r="AI647" s="1">
        <v>3.0</v>
      </c>
      <c r="AJ647" s="1">
        <v>2.0</v>
      </c>
      <c r="AK647" s="1">
        <v>2.0</v>
      </c>
      <c r="AL647" s="1" t="s">
        <v>348</v>
      </c>
      <c r="AM647" s="1" t="s">
        <v>349</v>
      </c>
      <c r="AN647" s="1" t="s">
        <v>350</v>
      </c>
      <c r="AO647" s="1" t="s">
        <v>13188</v>
      </c>
      <c r="AP647" s="1" t="s">
        <v>13189</v>
      </c>
      <c r="AQ647" s="1" t="s">
        <v>74</v>
      </c>
      <c r="AR647" s="1" t="s">
        <v>13190</v>
      </c>
      <c r="AS647" s="1" t="s">
        <v>13191</v>
      </c>
      <c r="AT647" s="1" t="s">
        <v>1051</v>
      </c>
      <c r="AU647" s="1">
        <v>2024.0</v>
      </c>
      <c r="AV647" s="1">
        <v>9.0</v>
      </c>
      <c r="AW647" s="1">
        <v>4.0</v>
      </c>
      <c r="AX647" s="1" t="s">
        <v>74</v>
      </c>
      <c r="AY647" s="1" t="s">
        <v>74</v>
      </c>
      <c r="AZ647" s="1" t="s">
        <v>74</v>
      </c>
      <c r="BA647" s="1" t="s">
        <v>74</v>
      </c>
      <c r="BB647" s="1">
        <v>1053.0</v>
      </c>
      <c r="BC647" s="1">
        <v>1062.0</v>
      </c>
      <c r="BD647" s="1" t="s">
        <v>74</v>
      </c>
      <c r="BE647" s="1" t="s">
        <v>13192</v>
      </c>
      <c r="BF647" s="2" t="str">
        <f>HYPERLINK("http://dx.doi.org/10.1177/23969873241253366","http://dx.doi.org/10.1177/23969873241253366")</f>
        <v>http://dx.doi.org/10.1177/23969873241253366</v>
      </c>
      <c r="BG647" s="1" t="s">
        <v>74</v>
      </c>
      <c r="BH647" s="1" t="s">
        <v>3129</v>
      </c>
      <c r="BI647" s="1">
        <v>10.0</v>
      </c>
      <c r="BJ647" s="1" t="s">
        <v>10848</v>
      </c>
      <c r="BK647" s="1" t="s">
        <v>149</v>
      </c>
      <c r="BL647" s="1" t="s">
        <v>10849</v>
      </c>
      <c r="BM647" s="1" t="s">
        <v>13193</v>
      </c>
      <c r="BN647" s="1">
        <v>3.877848E7</v>
      </c>
      <c r="BO647" s="1" t="s">
        <v>306</v>
      </c>
      <c r="BP647" s="1" t="s">
        <v>74</v>
      </c>
      <c r="BQ647" s="1" t="s">
        <v>74</v>
      </c>
      <c r="BR647" s="1" t="s">
        <v>102</v>
      </c>
      <c r="BS647" s="1" t="s">
        <v>13194</v>
      </c>
      <c r="BT647" s="1" t="str">
        <f>HYPERLINK("https%3A%2F%2Fwww.webofscience.com%2Fwos%2Fwoscc%2Ffull-record%2FWOS:001229853600001","View Full Record in Web of Science")</f>
        <v>View Full Record in Web of Science</v>
      </c>
    </row>
    <row r="648" ht="12.75" customHeight="1">
      <c r="A648" s="1" t="s">
        <v>132</v>
      </c>
      <c r="B648" s="1" t="s">
        <v>13195</v>
      </c>
      <c r="C648" s="1" t="s">
        <v>74</v>
      </c>
      <c r="D648" s="1" t="s">
        <v>74</v>
      </c>
      <c r="E648" s="1" t="s">
        <v>74</v>
      </c>
      <c r="F648" s="1" t="s">
        <v>13196</v>
      </c>
      <c r="G648" s="1" t="s">
        <v>74</v>
      </c>
      <c r="H648" s="1" t="s">
        <v>74</v>
      </c>
      <c r="I648" s="1" t="s">
        <v>13197</v>
      </c>
      <c r="J648" s="1" t="s">
        <v>13198</v>
      </c>
      <c r="K648" s="1" t="s">
        <v>74</v>
      </c>
      <c r="L648" s="1" t="s">
        <v>74</v>
      </c>
      <c r="M648" s="1" t="s">
        <v>80</v>
      </c>
      <c r="N648" s="1" t="s">
        <v>1010</v>
      </c>
      <c r="O648" s="1" t="s">
        <v>74</v>
      </c>
      <c r="P648" s="1" t="s">
        <v>74</v>
      </c>
      <c r="Q648" s="1" t="s">
        <v>74</v>
      </c>
      <c r="R648" s="1" t="s">
        <v>74</v>
      </c>
      <c r="S648" s="1" t="s">
        <v>74</v>
      </c>
      <c r="T648" s="1" t="s">
        <v>13199</v>
      </c>
      <c r="U648" s="1" t="s">
        <v>13200</v>
      </c>
      <c r="V648" s="1" t="s">
        <v>13201</v>
      </c>
      <c r="W648" s="1" t="s">
        <v>13202</v>
      </c>
      <c r="X648" s="1" t="s">
        <v>13203</v>
      </c>
      <c r="Y648" s="1" t="s">
        <v>13204</v>
      </c>
      <c r="Z648" s="1" t="s">
        <v>13205</v>
      </c>
      <c r="AA648" s="1" t="s">
        <v>13206</v>
      </c>
      <c r="AB648" s="1" t="s">
        <v>13207</v>
      </c>
      <c r="AC648" s="1" t="s">
        <v>74</v>
      </c>
      <c r="AD648" s="1" t="s">
        <v>74</v>
      </c>
      <c r="AE648" s="1" t="s">
        <v>74</v>
      </c>
      <c r="AF648" s="1" t="s">
        <v>74</v>
      </c>
      <c r="AG648" s="1">
        <v>111.0</v>
      </c>
      <c r="AH648" s="1">
        <v>27.0</v>
      </c>
      <c r="AI648" s="1">
        <v>28.0</v>
      </c>
      <c r="AJ648" s="1">
        <v>9.0</v>
      </c>
      <c r="AK648" s="1">
        <v>46.0</v>
      </c>
      <c r="AL648" s="1" t="s">
        <v>275</v>
      </c>
      <c r="AM648" s="1" t="s">
        <v>276</v>
      </c>
      <c r="AN648" s="1" t="s">
        <v>277</v>
      </c>
      <c r="AO648" s="1" t="s">
        <v>74</v>
      </c>
      <c r="AP648" s="1" t="s">
        <v>13208</v>
      </c>
      <c r="AQ648" s="1" t="s">
        <v>74</v>
      </c>
      <c r="AR648" s="1" t="s">
        <v>13209</v>
      </c>
      <c r="AS648" s="1" t="s">
        <v>13210</v>
      </c>
      <c r="AT648" s="1" t="s">
        <v>13211</v>
      </c>
      <c r="AU648" s="1">
        <v>2021.0</v>
      </c>
      <c r="AV648" s="1">
        <v>8.0</v>
      </c>
      <c r="AW648" s="1" t="s">
        <v>74</v>
      </c>
      <c r="AX648" s="1" t="s">
        <v>74</v>
      </c>
      <c r="AY648" s="1" t="s">
        <v>74</v>
      </c>
      <c r="AZ648" s="1" t="s">
        <v>74</v>
      </c>
      <c r="BA648" s="1" t="s">
        <v>74</v>
      </c>
      <c r="BB648" s="1" t="s">
        <v>74</v>
      </c>
      <c r="BC648" s="1" t="s">
        <v>74</v>
      </c>
      <c r="BD648" s="1">
        <v>710329.0</v>
      </c>
      <c r="BE648" s="1" t="s">
        <v>13212</v>
      </c>
      <c r="BF648" s="2" t="str">
        <f>HYPERLINK("http://dx.doi.org/10.3389/fmed.2021.710329","http://dx.doi.org/10.3389/fmed.2021.710329")</f>
        <v>http://dx.doi.org/10.3389/fmed.2021.710329</v>
      </c>
      <c r="BG648" s="1" t="s">
        <v>74</v>
      </c>
      <c r="BH648" s="1" t="s">
        <v>74</v>
      </c>
      <c r="BI648" s="1">
        <v>11.0</v>
      </c>
      <c r="BJ648" s="1" t="s">
        <v>1158</v>
      </c>
      <c r="BK648" s="1" t="s">
        <v>149</v>
      </c>
      <c r="BL648" s="1" t="s">
        <v>1159</v>
      </c>
      <c r="BM648" s="1" t="s">
        <v>13213</v>
      </c>
      <c r="BN648" s="1">
        <v>3.4527682E7</v>
      </c>
      <c r="BO648" s="1" t="s">
        <v>284</v>
      </c>
      <c r="BP648" s="1" t="s">
        <v>74</v>
      </c>
      <c r="BQ648" s="1" t="s">
        <v>74</v>
      </c>
      <c r="BR648" s="1" t="s">
        <v>102</v>
      </c>
      <c r="BS648" s="1" t="s">
        <v>13214</v>
      </c>
      <c r="BT648" s="1" t="str">
        <f>HYPERLINK("https%3A%2F%2Fwww.webofscience.com%2Fwos%2Fwoscc%2Ffull-record%2FWOS:000698455200001","View Full Record in Web of Science")</f>
        <v>View Full Record in Web of Science</v>
      </c>
    </row>
    <row r="649" ht="12.75" customHeight="1">
      <c r="A649" s="1" t="s">
        <v>132</v>
      </c>
      <c r="B649" s="1" t="s">
        <v>13215</v>
      </c>
      <c r="C649" s="1" t="s">
        <v>74</v>
      </c>
      <c r="D649" s="1" t="s">
        <v>74</v>
      </c>
      <c r="E649" s="1" t="s">
        <v>74</v>
      </c>
      <c r="F649" s="1" t="s">
        <v>13216</v>
      </c>
      <c r="G649" s="1" t="s">
        <v>74</v>
      </c>
      <c r="H649" s="1" t="s">
        <v>74</v>
      </c>
      <c r="I649" s="1" t="s">
        <v>13217</v>
      </c>
      <c r="J649" s="1" t="s">
        <v>13218</v>
      </c>
      <c r="K649" s="1" t="s">
        <v>74</v>
      </c>
      <c r="L649" s="1" t="s">
        <v>74</v>
      </c>
      <c r="M649" s="1" t="s">
        <v>80</v>
      </c>
      <c r="N649" s="1" t="s">
        <v>136</v>
      </c>
      <c r="O649" s="1" t="s">
        <v>74</v>
      </c>
      <c r="P649" s="1" t="s">
        <v>74</v>
      </c>
      <c r="Q649" s="1" t="s">
        <v>74</v>
      </c>
      <c r="R649" s="1" t="s">
        <v>74</v>
      </c>
      <c r="S649" s="1" t="s">
        <v>74</v>
      </c>
      <c r="T649" s="1" t="s">
        <v>13219</v>
      </c>
      <c r="U649" s="1" t="s">
        <v>74</v>
      </c>
      <c r="V649" s="1" t="s">
        <v>13220</v>
      </c>
      <c r="W649" s="1" t="s">
        <v>13221</v>
      </c>
      <c r="X649" s="1" t="s">
        <v>74</v>
      </c>
      <c r="Y649" s="1" t="s">
        <v>13222</v>
      </c>
      <c r="Z649" s="1" t="s">
        <v>13223</v>
      </c>
      <c r="AA649" s="1" t="s">
        <v>74</v>
      </c>
      <c r="AB649" s="1" t="s">
        <v>74</v>
      </c>
      <c r="AC649" s="1" t="s">
        <v>74</v>
      </c>
      <c r="AD649" s="1" t="s">
        <v>74</v>
      </c>
      <c r="AE649" s="1" t="s">
        <v>74</v>
      </c>
      <c r="AF649" s="1" t="s">
        <v>74</v>
      </c>
      <c r="AG649" s="1">
        <v>42.0</v>
      </c>
      <c r="AH649" s="1">
        <v>11.0</v>
      </c>
      <c r="AI649" s="1">
        <v>11.0</v>
      </c>
      <c r="AJ649" s="1">
        <v>68.0</v>
      </c>
      <c r="AK649" s="1">
        <v>208.0</v>
      </c>
      <c r="AL649" s="1" t="s">
        <v>13224</v>
      </c>
      <c r="AM649" s="1" t="s">
        <v>193</v>
      </c>
      <c r="AN649" s="1" t="s">
        <v>13225</v>
      </c>
      <c r="AO649" s="1" t="s">
        <v>13226</v>
      </c>
      <c r="AP649" s="1" t="s">
        <v>13227</v>
      </c>
      <c r="AQ649" s="1" t="s">
        <v>74</v>
      </c>
      <c r="AR649" s="1" t="s">
        <v>13228</v>
      </c>
      <c r="AS649" s="1" t="s">
        <v>13229</v>
      </c>
      <c r="AT649" s="1" t="s">
        <v>2469</v>
      </c>
      <c r="AU649" s="1">
        <v>2023.0</v>
      </c>
      <c r="AV649" s="1">
        <v>52.0</v>
      </c>
      <c r="AW649" s="1">
        <v>5.0</v>
      </c>
      <c r="AX649" s="1" t="s">
        <v>74</v>
      </c>
      <c r="AY649" s="1" t="s">
        <v>74</v>
      </c>
      <c r="AZ649" s="1" t="s">
        <v>74</v>
      </c>
      <c r="BA649" s="1" t="s">
        <v>74</v>
      </c>
      <c r="BB649" s="1">
        <v>1525.0</v>
      </c>
      <c r="BC649" s="1">
        <v>1544.0</v>
      </c>
      <c r="BD649" s="1" t="s">
        <v>74</v>
      </c>
      <c r="BE649" s="1" t="s">
        <v>13230</v>
      </c>
      <c r="BF649" s="2" t="str">
        <f>HYPERLINK("http://dx.doi.org/10.1007/s10936-023-09960-5","http://dx.doi.org/10.1007/s10936-023-09960-5")</f>
        <v>http://dx.doi.org/10.1007/s10936-023-09960-5</v>
      </c>
      <c r="BG649" s="1" t="s">
        <v>74</v>
      </c>
      <c r="BH649" s="1" t="s">
        <v>3200</v>
      </c>
      <c r="BI649" s="1">
        <v>20.0</v>
      </c>
      <c r="BJ649" s="1" t="s">
        <v>13231</v>
      </c>
      <c r="BK649" s="1" t="s">
        <v>203</v>
      </c>
      <c r="BL649" s="1" t="s">
        <v>13232</v>
      </c>
      <c r="BM649" s="1" t="s">
        <v>13233</v>
      </c>
      <c r="BN649" s="1">
        <v>3.7100967E7</v>
      </c>
      <c r="BO649" s="1" t="s">
        <v>2021</v>
      </c>
      <c r="BP649" s="1" t="s">
        <v>74</v>
      </c>
      <c r="BQ649" s="1" t="s">
        <v>74</v>
      </c>
      <c r="BR649" s="1" t="s">
        <v>102</v>
      </c>
      <c r="BS649" s="1" t="s">
        <v>13234</v>
      </c>
      <c r="BT649" s="1" t="str">
        <f>HYPERLINK("https%3A%2F%2Fwww.webofscience.com%2Fwos%2Fwoscc%2Ffull-record%2FWOS:000975435300001","View Full Record in Web of Science")</f>
        <v>View Full Record in Web of Science</v>
      </c>
    </row>
    <row r="650" ht="12.75" customHeight="1">
      <c r="A650" s="1" t="s">
        <v>132</v>
      </c>
      <c r="B650" s="1" t="s">
        <v>13235</v>
      </c>
      <c r="C650" s="1" t="s">
        <v>74</v>
      </c>
      <c r="D650" s="1" t="s">
        <v>74</v>
      </c>
      <c r="E650" s="1" t="s">
        <v>74</v>
      </c>
      <c r="F650" s="1" t="s">
        <v>13236</v>
      </c>
      <c r="G650" s="1" t="s">
        <v>74</v>
      </c>
      <c r="H650" s="1" t="s">
        <v>74</v>
      </c>
      <c r="I650" s="1" t="s">
        <v>13237</v>
      </c>
      <c r="J650" s="1" t="s">
        <v>8682</v>
      </c>
      <c r="K650" s="1" t="s">
        <v>74</v>
      </c>
      <c r="L650" s="1" t="s">
        <v>74</v>
      </c>
      <c r="M650" s="1" t="s">
        <v>80</v>
      </c>
      <c r="N650" s="1" t="s">
        <v>136</v>
      </c>
      <c r="O650" s="1" t="s">
        <v>74</v>
      </c>
      <c r="P650" s="1" t="s">
        <v>74</v>
      </c>
      <c r="Q650" s="1" t="s">
        <v>74</v>
      </c>
      <c r="R650" s="1" t="s">
        <v>74</v>
      </c>
      <c r="S650" s="1" t="s">
        <v>74</v>
      </c>
      <c r="T650" s="1" t="s">
        <v>13238</v>
      </c>
      <c r="U650" s="1" t="s">
        <v>74</v>
      </c>
      <c r="V650" s="1" t="s">
        <v>13239</v>
      </c>
      <c r="W650" s="1" t="s">
        <v>13240</v>
      </c>
      <c r="X650" s="1" t="s">
        <v>13241</v>
      </c>
      <c r="Y650" s="1" t="s">
        <v>13242</v>
      </c>
      <c r="Z650" s="1" t="s">
        <v>13243</v>
      </c>
      <c r="AA650" s="1" t="s">
        <v>13244</v>
      </c>
      <c r="AB650" s="1" t="s">
        <v>13245</v>
      </c>
      <c r="AC650" s="1" t="s">
        <v>74</v>
      </c>
      <c r="AD650" s="1" t="s">
        <v>74</v>
      </c>
      <c r="AE650" s="1" t="s">
        <v>74</v>
      </c>
      <c r="AF650" s="1" t="s">
        <v>74</v>
      </c>
      <c r="AG650" s="1">
        <v>33.0</v>
      </c>
      <c r="AH650" s="1">
        <v>8.0</v>
      </c>
      <c r="AI650" s="1">
        <v>8.0</v>
      </c>
      <c r="AJ650" s="1">
        <v>3.0</v>
      </c>
      <c r="AK650" s="1">
        <v>7.0</v>
      </c>
      <c r="AL650" s="1" t="s">
        <v>571</v>
      </c>
      <c r="AM650" s="1" t="s">
        <v>1768</v>
      </c>
      <c r="AN650" s="1" t="s">
        <v>1769</v>
      </c>
      <c r="AO650" s="1" t="s">
        <v>8689</v>
      </c>
      <c r="AP650" s="1" t="s">
        <v>8690</v>
      </c>
      <c r="AQ650" s="1" t="s">
        <v>74</v>
      </c>
      <c r="AR650" s="1" t="s">
        <v>8691</v>
      </c>
      <c r="AS650" s="1" t="s">
        <v>8692</v>
      </c>
      <c r="AT650" s="1" t="s">
        <v>74</v>
      </c>
      <c r="AU650" s="1">
        <v>2020.0</v>
      </c>
      <c r="AV650" s="1">
        <v>23.0</v>
      </c>
      <c r="AW650" s="1">
        <v>3.0</v>
      </c>
      <c r="AX650" s="1" t="s">
        <v>74</v>
      </c>
      <c r="AY650" s="1" t="s">
        <v>74</v>
      </c>
      <c r="AZ650" s="1" t="s">
        <v>74</v>
      </c>
      <c r="BA650" s="1" t="s">
        <v>74</v>
      </c>
      <c r="BB650" s="1">
        <v>273.0</v>
      </c>
      <c r="BC650" s="1">
        <v>281.0</v>
      </c>
      <c r="BD650" s="1" t="s">
        <v>74</v>
      </c>
      <c r="BE650" s="1" t="s">
        <v>13246</v>
      </c>
      <c r="BF650" s="2" t="str">
        <f>HYPERLINK("http://dx.doi.org/10.1108/PAP-03-2020-0019","http://dx.doi.org/10.1108/PAP-03-2020-0019")</f>
        <v>http://dx.doi.org/10.1108/PAP-03-2020-0019</v>
      </c>
      <c r="BG650" s="1" t="s">
        <v>74</v>
      </c>
      <c r="BH650" s="1" t="s">
        <v>74</v>
      </c>
      <c r="BI650" s="1">
        <v>9.0</v>
      </c>
      <c r="BJ650" s="1" t="s">
        <v>8694</v>
      </c>
      <c r="BK650" s="1" t="s">
        <v>172</v>
      </c>
      <c r="BL650" s="1" t="s">
        <v>8695</v>
      </c>
      <c r="BM650" s="1" t="s">
        <v>13247</v>
      </c>
      <c r="BN650" s="1" t="s">
        <v>74</v>
      </c>
      <c r="BO650" s="1" t="s">
        <v>174</v>
      </c>
      <c r="BP650" s="1" t="s">
        <v>74</v>
      </c>
      <c r="BQ650" s="1" t="s">
        <v>74</v>
      </c>
      <c r="BR650" s="1" t="s">
        <v>102</v>
      </c>
      <c r="BS650" s="1" t="s">
        <v>13248</v>
      </c>
      <c r="BT650" s="1" t="str">
        <f>HYPERLINK("https%3A%2F%2Fwww.webofscience.com%2Fwos%2Fwoscc%2Ffull-record%2FWOS:000751641400005","View Full Record in Web of Science")</f>
        <v>View Full Record in Web of Science</v>
      </c>
    </row>
    <row r="651" ht="12.75" customHeight="1">
      <c r="A651" s="1" t="s">
        <v>132</v>
      </c>
      <c r="B651" s="1" t="s">
        <v>13249</v>
      </c>
      <c r="C651" s="1" t="s">
        <v>74</v>
      </c>
      <c r="D651" s="1" t="s">
        <v>74</v>
      </c>
      <c r="E651" s="1" t="s">
        <v>74</v>
      </c>
      <c r="F651" s="1" t="s">
        <v>13250</v>
      </c>
      <c r="G651" s="1" t="s">
        <v>74</v>
      </c>
      <c r="H651" s="1" t="s">
        <v>74</v>
      </c>
      <c r="I651" s="1" t="s">
        <v>13251</v>
      </c>
      <c r="J651" s="1" t="s">
        <v>7003</v>
      </c>
      <c r="K651" s="1" t="s">
        <v>74</v>
      </c>
      <c r="L651" s="1" t="s">
        <v>74</v>
      </c>
      <c r="M651" s="1" t="s">
        <v>80</v>
      </c>
      <c r="N651" s="1" t="s">
        <v>136</v>
      </c>
      <c r="O651" s="1" t="s">
        <v>74</v>
      </c>
      <c r="P651" s="1" t="s">
        <v>74</v>
      </c>
      <c r="Q651" s="1" t="s">
        <v>74</v>
      </c>
      <c r="R651" s="1" t="s">
        <v>74</v>
      </c>
      <c r="S651" s="1" t="s">
        <v>74</v>
      </c>
      <c r="T651" s="1" t="s">
        <v>13252</v>
      </c>
      <c r="U651" s="1" t="s">
        <v>74</v>
      </c>
      <c r="V651" s="1" t="s">
        <v>13253</v>
      </c>
      <c r="W651" s="1" t="s">
        <v>13254</v>
      </c>
      <c r="X651" s="1" t="s">
        <v>13255</v>
      </c>
      <c r="Y651" s="1" t="s">
        <v>13256</v>
      </c>
      <c r="Z651" s="1" t="s">
        <v>74</v>
      </c>
      <c r="AA651" s="1" t="s">
        <v>13257</v>
      </c>
      <c r="AB651" s="1" t="s">
        <v>13258</v>
      </c>
      <c r="AC651" s="1" t="s">
        <v>74</v>
      </c>
      <c r="AD651" s="1" t="s">
        <v>74</v>
      </c>
      <c r="AE651" s="1" t="s">
        <v>74</v>
      </c>
      <c r="AF651" s="1" t="s">
        <v>74</v>
      </c>
      <c r="AG651" s="1">
        <v>71.0</v>
      </c>
      <c r="AH651" s="1">
        <v>12.0</v>
      </c>
      <c r="AI651" s="1">
        <v>12.0</v>
      </c>
      <c r="AJ651" s="1">
        <v>84.0</v>
      </c>
      <c r="AK651" s="1">
        <v>177.0</v>
      </c>
      <c r="AL651" s="1" t="s">
        <v>7011</v>
      </c>
      <c r="AM651" s="1" t="s">
        <v>648</v>
      </c>
      <c r="AN651" s="1" t="s">
        <v>7012</v>
      </c>
      <c r="AO651" s="1" t="s">
        <v>7013</v>
      </c>
      <c r="AP651" s="1" t="s">
        <v>7014</v>
      </c>
      <c r="AQ651" s="1" t="s">
        <v>74</v>
      </c>
      <c r="AR651" s="1" t="s">
        <v>7015</v>
      </c>
      <c r="AS651" s="1" t="s">
        <v>7016</v>
      </c>
      <c r="AT651" s="1" t="s">
        <v>870</v>
      </c>
      <c r="AU651" s="1">
        <v>2024.0</v>
      </c>
      <c r="AV651" s="1">
        <v>27.0</v>
      </c>
      <c r="AW651" s="1">
        <v>1.0</v>
      </c>
      <c r="AX651" s="1" t="s">
        <v>74</v>
      </c>
      <c r="AY651" s="1" t="s">
        <v>74</v>
      </c>
      <c r="AZ651" s="1" t="s">
        <v>74</v>
      </c>
      <c r="BA651" s="1" t="s">
        <v>74</v>
      </c>
      <c r="BB651" s="1" t="s">
        <v>74</v>
      </c>
      <c r="BC651" s="1" t="s">
        <v>74</v>
      </c>
      <c r="BD651" s="1" t="s">
        <v>74</v>
      </c>
      <c r="BE651" s="1" t="s">
        <v>13259</v>
      </c>
      <c r="BF651" s="2" t="str">
        <f>HYPERLINK("http://dx.doi.org/10.5944/ried.27.1.37491","http://dx.doi.org/10.5944/ried.27.1.37491")</f>
        <v>http://dx.doi.org/10.5944/ried.27.1.37491</v>
      </c>
      <c r="BG651" s="1" t="s">
        <v>74</v>
      </c>
      <c r="BH651" s="1" t="s">
        <v>74</v>
      </c>
      <c r="BI651" s="1">
        <v>30.0</v>
      </c>
      <c r="BJ651" s="1" t="s">
        <v>171</v>
      </c>
      <c r="BK651" s="1" t="s">
        <v>203</v>
      </c>
      <c r="BL651" s="1" t="s">
        <v>171</v>
      </c>
      <c r="BM651" s="1" t="s">
        <v>7018</v>
      </c>
      <c r="BN651" s="1" t="s">
        <v>74</v>
      </c>
      <c r="BO651" s="1" t="s">
        <v>174</v>
      </c>
      <c r="BP651" s="1" t="s">
        <v>74</v>
      </c>
      <c r="BQ651" s="1" t="s">
        <v>74</v>
      </c>
      <c r="BR651" s="1" t="s">
        <v>102</v>
      </c>
      <c r="BS651" s="1" t="s">
        <v>13260</v>
      </c>
      <c r="BT651" s="1" t="str">
        <f>HYPERLINK("https%3A%2F%2Fwww.webofscience.com%2Fwos%2Fwoscc%2Ffull-record%2FWOS:001137233600005","View Full Record in Web of Science")</f>
        <v>View Full Record in Web of Science</v>
      </c>
    </row>
    <row r="652" ht="12.75" customHeight="1">
      <c r="A652" s="1" t="s">
        <v>132</v>
      </c>
      <c r="B652" s="1" t="s">
        <v>13261</v>
      </c>
      <c r="C652" s="1" t="s">
        <v>74</v>
      </c>
      <c r="D652" s="1" t="s">
        <v>74</v>
      </c>
      <c r="E652" s="1" t="s">
        <v>74</v>
      </c>
      <c r="F652" s="1" t="s">
        <v>13262</v>
      </c>
      <c r="G652" s="1" t="s">
        <v>74</v>
      </c>
      <c r="H652" s="1" t="s">
        <v>74</v>
      </c>
      <c r="I652" s="1" t="s">
        <v>13263</v>
      </c>
      <c r="J652" s="1" t="s">
        <v>13264</v>
      </c>
      <c r="K652" s="1" t="s">
        <v>74</v>
      </c>
      <c r="L652" s="1" t="s">
        <v>74</v>
      </c>
      <c r="M652" s="1" t="s">
        <v>80</v>
      </c>
      <c r="N652" s="1" t="s">
        <v>1010</v>
      </c>
      <c r="O652" s="1" t="s">
        <v>74</v>
      </c>
      <c r="P652" s="1" t="s">
        <v>74</v>
      </c>
      <c r="Q652" s="1" t="s">
        <v>74</v>
      </c>
      <c r="R652" s="1" t="s">
        <v>74</v>
      </c>
      <c r="S652" s="1" t="s">
        <v>74</v>
      </c>
      <c r="T652" s="1" t="s">
        <v>13265</v>
      </c>
      <c r="U652" s="1" t="s">
        <v>13266</v>
      </c>
      <c r="V652" s="1" t="s">
        <v>13267</v>
      </c>
      <c r="W652" s="1" t="s">
        <v>13268</v>
      </c>
      <c r="X652" s="1" t="s">
        <v>13269</v>
      </c>
      <c r="Y652" s="1" t="s">
        <v>13270</v>
      </c>
      <c r="Z652" s="1" t="s">
        <v>13271</v>
      </c>
      <c r="AA652" s="1" t="s">
        <v>13272</v>
      </c>
      <c r="AB652" s="1" t="s">
        <v>13273</v>
      </c>
      <c r="AC652" s="1" t="s">
        <v>74</v>
      </c>
      <c r="AD652" s="1" t="s">
        <v>74</v>
      </c>
      <c r="AE652" s="1" t="s">
        <v>74</v>
      </c>
      <c r="AF652" s="1" t="s">
        <v>74</v>
      </c>
      <c r="AG652" s="1">
        <v>54.0</v>
      </c>
      <c r="AH652" s="1">
        <v>1.0</v>
      </c>
      <c r="AI652" s="1">
        <v>1.0</v>
      </c>
      <c r="AJ652" s="1">
        <v>2.0</v>
      </c>
      <c r="AK652" s="1">
        <v>6.0</v>
      </c>
      <c r="AL652" s="1" t="s">
        <v>1357</v>
      </c>
      <c r="AM652" s="1" t="s">
        <v>1358</v>
      </c>
      <c r="AN652" s="1" t="s">
        <v>1359</v>
      </c>
      <c r="AO652" s="1" t="s">
        <v>13274</v>
      </c>
      <c r="AP652" s="1" t="s">
        <v>13275</v>
      </c>
      <c r="AQ652" s="1" t="s">
        <v>74</v>
      </c>
      <c r="AR652" s="1" t="s">
        <v>13276</v>
      </c>
      <c r="AS652" s="1" t="s">
        <v>13277</v>
      </c>
      <c r="AT652" s="1" t="s">
        <v>328</v>
      </c>
      <c r="AU652" s="1">
        <v>2024.0</v>
      </c>
      <c r="AV652" s="1">
        <v>46.0</v>
      </c>
      <c r="AW652" s="1">
        <v>3.0</v>
      </c>
      <c r="AX652" s="1" t="s">
        <v>74</v>
      </c>
      <c r="AY652" s="1" t="s">
        <v>74</v>
      </c>
      <c r="AZ652" s="1" t="s">
        <v>74</v>
      </c>
      <c r="BA652" s="1" t="s">
        <v>74</v>
      </c>
      <c r="BB652" s="1">
        <v>427.0</v>
      </c>
      <c r="BC652" s="1">
        <v>433.0</v>
      </c>
      <c r="BD652" s="1" t="s">
        <v>74</v>
      </c>
      <c r="BE652" s="1" t="s">
        <v>13278</v>
      </c>
      <c r="BF652" s="2" t="str">
        <f>HYPERLINK("http://dx.doi.org/10.1111/ijlh.14260","http://dx.doi.org/10.1111/ijlh.14260")</f>
        <v>http://dx.doi.org/10.1111/ijlh.14260</v>
      </c>
      <c r="BG652" s="1" t="s">
        <v>74</v>
      </c>
      <c r="BH652" s="1" t="s">
        <v>2958</v>
      </c>
      <c r="BI652" s="1">
        <v>7.0</v>
      </c>
      <c r="BJ652" s="1" t="s">
        <v>13279</v>
      </c>
      <c r="BK652" s="1" t="s">
        <v>149</v>
      </c>
      <c r="BL652" s="1" t="s">
        <v>13279</v>
      </c>
      <c r="BM652" s="1" t="s">
        <v>13280</v>
      </c>
      <c r="BN652" s="1">
        <v>3.8472155E7</v>
      </c>
      <c r="BO652" s="1" t="s">
        <v>74</v>
      </c>
      <c r="BP652" s="1" t="s">
        <v>74</v>
      </c>
      <c r="BQ652" s="1" t="s">
        <v>74</v>
      </c>
      <c r="BR652" s="1" t="s">
        <v>102</v>
      </c>
      <c r="BS652" s="1" t="s">
        <v>13281</v>
      </c>
      <c r="BT652" s="1" t="str">
        <f>HYPERLINK("https%3A%2F%2Fwww.webofscience.com%2Fwos%2Fwoscc%2Ffull-record%2FWOS:001183407900001","View Full Record in Web of Science")</f>
        <v>View Full Record in Web of Science</v>
      </c>
    </row>
    <row r="653" ht="12.75" customHeight="1">
      <c r="A653" s="1" t="s">
        <v>132</v>
      </c>
      <c r="B653" s="1" t="s">
        <v>13282</v>
      </c>
      <c r="C653" s="1" t="s">
        <v>74</v>
      </c>
      <c r="D653" s="1" t="s">
        <v>74</v>
      </c>
      <c r="E653" s="1" t="s">
        <v>74</v>
      </c>
      <c r="F653" s="1" t="s">
        <v>13283</v>
      </c>
      <c r="G653" s="1" t="s">
        <v>74</v>
      </c>
      <c r="H653" s="1" t="s">
        <v>74</v>
      </c>
      <c r="I653" s="1" t="s">
        <v>13284</v>
      </c>
      <c r="J653" s="1" t="s">
        <v>13285</v>
      </c>
      <c r="K653" s="1" t="s">
        <v>74</v>
      </c>
      <c r="L653" s="1" t="s">
        <v>74</v>
      </c>
      <c r="M653" s="1" t="s">
        <v>80</v>
      </c>
      <c r="N653" s="1" t="s">
        <v>136</v>
      </c>
      <c r="O653" s="1" t="s">
        <v>74</v>
      </c>
      <c r="P653" s="1" t="s">
        <v>74</v>
      </c>
      <c r="Q653" s="1" t="s">
        <v>74</v>
      </c>
      <c r="R653" s="1" t="s">
        <v>74</v>
      </c>
      <c r="S653" s="1" t="s">
        <v>74</v>
      </c>
      <c r="T653" s="1" t="s">
        <v>13286</v>
      </c>
      <c r="U653" s="1" t="s">
        <v>13287</v>
      </c>
      <c r="V653" s="1" t="s">
        <v>13288</v>
      </c>
      <c r="W653" s="1" t="s">
        <v>13289</v>
      </c>
      <c r="X653" s="1" t="s">
        <v>13290</v>
      </c>
      <c r="Y653" s="1" t="s">
        <v>13291</v>
      </c>
      <c r="Z653" s="1" t="s">
        <v>13292</v>
      </c>
      <c r="AA653" s="1" t="s">
        <v>74</v>
      </c>
      <c r="AB653" s="1" t="s">
        <v>74</v>
      </c>
      <c r="AC653" s="1" t="s">
        <v>74</v>
      </c>
      <c r="AD653" s="1" t="s">
        <v>74</v>
      </c>
      <c r="AE653" s="1" t="s">
        <v>74</v>
      </c>
      <c r="AF653" s="1" t="s">
        <v>74</v>
      </c>
      <c r="AG653" s="1">
        <v>62.0</v>
      </c>
      <c r="AH653" s="1">
        <v>0.0</v>
      </c>
      <c r="AI653" s="1">
        <v>0.0</v>
      </c>
      <c r="AJ653" s="1">
        <v>29.0</v>
      </c>
      <c r="AK653" s="1">
        <v>34.0</v>
      </c>
      <c r="AL653" s="1" t="s">
        <v>1571</v>
      </c>
      <c r="AM653" s="1" t="s">
        <v>1572</v>
      </c>
      <c r="AN653" s="1" t="s">
        <v>1573</v>
      </c>
      <c r="AO653" s="1" t="s">
        <v>13293</v>
      </c>
      <c r="AP653" s="1" t="s">
        <v>74</v>
      </c>
      <c r="AQ653" s="1" t="s">
        <v>74</v>
      </c>
      <c r="AR653" s="1" t="s">
        <v>13285</v>
      </c>
      <c r="AS653" s="1" t="s">
        <v>13294</v>
      </c>
      <c r="AT653" s="1" t="s">
        <v>74</v>
      </c>
      <c r="AU653" s="1">
        <v>2024.0</v>
      </c>
      <c r="AV653" s="1">
        <v>10.0</v>
      </c>
      <c r="AW653" s="1" t="s">
        <v>74</v>
      </c>
      <c r="AX653" s="1" t="s">
        <v>74</v>
      </c>
      <c r="AY653" s="1" t="s">
        <v>74</v>
      </c>
      <c r="AZ653" s="1" t="s">
        <v>74</v>
      </c>
      <c r="BA653" s="1" t="s">
        <v>74</v>
      </c>
      <c r="BB653" s="1" t="s">
        <v>74</v>
      </c>
      <c r="BC653" s="1" t="s">
        <v>74</v>
      </c>
      <c r="BD653" s="1">
        <v>2.378023124125967E16</v>
      </c>
      <c r="BE653" s="1" t="s">
        <v>13295</v>
      </c>
      <c r="BF653" s="2" t="str">
        <f>HYPERLINK("http://dx.doi.org/10.1177/23780231241259672","http://dx.doi.org/10.1177/23780231241259672")</f>
        <v>http://dx.doi.org/10.1177/23780231241259672</v>
      </c>
      <c r="BG653" s="1" t="s">
        <v>74</v>
      </c>
      <c r="BH653" s="1" t="s">
        <v>74</v>
      </c>
      <c r="BI653" s="1">
        <v>13.0</v>
      </c>
      <c r="BJ653" s="1" t="s">
        <v>3130</v>
      </c>
      <c r="BK653" s="1" t="s">
        <v>172</v>
      </c>
      <c r="BL653" s="1" t="s">
        <v>3130</v>
      </c>
      <c r="BM653" s="1" t="s">
        <v>13296</v>
      </c>
      <c r="BN653" s="1" t="s">
        <v>74</v>
      </c>
      <c r="BO653" s="1" t="s">
        <v>174</v>
      </c>
      <c r="BP653" s="1" t="s">
        <v>74</v>
      </c>
      <c r="BQ653" s="1" t="s">
        <v>74</v>
      </c>
      <c r="BR653" s="1" t="s">
        <v>102</v>
      </c>
      <c r="BS653" s="1" t="s">
        <v>13297</v>
      </c>
      <c r="BT653" s="1" t="str">
        <f>HYPERLINK("https%3A%2F%2Fwww.webofscience.com%2Fwos%2Fwoscc%2Ffull-record%2FWOS:001251385600001","View Full Record in Web of Science")</f>
        <v>View Full Record in Web of Science</v>
      </c>
    </row>
    <row r="654" ht="12.75" customHeight="1">
      <c r="A654" s="1" t="s">
        <v>132</v>
      </c>
      <c r="B654" s="1" t="s">
        <v>13298</v>
      </c>
      <c r="C654" s="1" t="s">
        <v>74</v>
      </c>
      <c r="D654" s="1" t="s">
        <v>74</v>
      </c>
      <c r="E654" s="1" t="s">
        <v>74</v>
      </c>
      <c r="F654" s="1" t="s">
        <v>13299</v>
      </c>
      <c r="G654" s="1" t="s">
        <v>74</v>
      </c>
      <c r="H654" s="1" t="s">
        <v>74</v>
      </c>
      <c r="I654" s="1" t="s">
        <v>13300</v>
      </c>
      <c r="J654" s="1" t="s">
        <v>13301</v>
      </c>
      <c r="K654" s="1" t="s">
        <v>74</v>
      </c>
      <c r="L654" s="1" t="s">
        <v>74</v>
      </c>
      <c r="M654" s="1" t="s">
        <v>80</v>
      </c>
      <c r="N654" s="1" t="s">
        <v>1010</v>
      </c>
      <c r="O654" s="1" t="s">
        <v>74</v>
      </c>
      <c r="P654" s="1" t="s">
        <v>74</v>
      </c>
      <c r="Q654" s="1" t="s">
        <v>74</v>
      </c>
      <c r="R654" s="1" t="s">
        <v>74</v>
      </c>
      <c r="S654" s="1" t="s">
        <v>74</v>
      </c>
      <c r="T654" s="1" t="s">
        <v>13302</v>
      </c>
      <c r="U654" s="1" t="s">
        <v>13303</v>
      </c>
      <c r="V654" s="1" t="s">
        <v>13304</v>
      </c>
      <c r="W654" s="1" t="s">
        <v>13305</v>
      </c>
      <c r="X654" s="1" t="s">
        <v>13306</v>
      </c>
      <c r="Y654" s="1" t="s">
        <v>13307</v>
      </c>
      <c r="Z654" s="1" t="s">
        <v>13308</v>
      </c>
      <c r="AA654" s="1" t="s">
        <v>74</v>
      </c>
      <c r="AB654" s="1" t="s">
        <v>74</v>
      </c>
      <c r="AC654" s="1" t="s">
        <v>74</v>
      </c>
      <c r="AD654" s="1" t="s">
        <v>74</v>
      </c>
      <c r="AE654" s="1" t="s">
        <v>74</v>
      </c>
      <c r="AF654" s="1" t="s">
        <v>74</v>
      </c>
      <c r="AG654" s="1">
        <v>280.0</v>
      </c>
      <c r="AH654" s="1">
        <v>81.0</v>
      </c>
      <c r="AI654" s="1">
        <v>88.0</v>
      </c>
      <c r="AJ654" s="1">
        <v>17.0</v>
      </c>
      <c r="AK654" s="1">
        <v>108.0</v>
      </c>
      <c r="AL654" s="1" t="s">
        <v>13309</v>
      </c>
      <c r="AM654" s="1" t="s">
        <v>13310</v>
      </c>
      <c r="AN654" s="1" t="s">
        <v>13311</v>
      </c>
      <c r="AO654" s="1" t="s">
        <v>13312</v>
      </c>
      <c r="AP654" s="1" t="s">
        <v>13313</v>
      </c>
      <c r="AQ654" s="1" t="s">
        <v>74</v>
      </c>
      <c r="AR654" s="1" t="s">
        <v>13314</v>
      </c>
      <c r="AS654" s="1" t="s">
        <v>13315</v>
      </c>
      <c r="AT654" s="1" t="s">
        <v>1027</v>
      </c>
      <c r="AU654" s="1">
        <v>2020.0</v>
      </c>
      <c r="AV654" s="1">
        <v>10.0</v>
      </c>
      <c r="AW654" s="1">
        <v>2.0</v>
      </c>
      <c r="AX654" s="1" t="s">
        <v>74</v>
      </c>
      <c r="AY654" s="1" t="s">
        <v>74</v>
      </c>
      <c r="AZ654" s="1" t="s">
        <v>74</v>
      </c>
      <c r="BA654" s="1" t="s">
        <v>74</v>
      </c>
      <c r="BB654" s="1" t="s">
        <v>74</v>
      </c>
      <c r="BC654" s="1" t="s">
        <v>74</v>
      </c>
      <c r="BD654" s="1" t="s">
        <v>13316</v>
      </c>
      <c r="BE654" s="1" t="s">
        <v>13317</v>
      </c>
      <c r="BF654" s="2" t="str">
        <f>HYPERLINK("http://dx.doi.org/10.1002/widm.1349","http://dx.doi.org/10.1002/widm.1349")</f>
        <v>http://dx.doi.org/10.1002/widm.1349</v>
      </c>
      <c r="BG654" s="1" t="s">
        <v>74</v>
      </c>
      <c r="BH654" s="1" t="s">
        <v>13318</v>
      </c>
      <c r="BI654" s="1">
        <v>24.0</v>
      </c>
      <c r="BJ654" s="1" t="s">
        <v>231</v>
      </c>
      <c r="BK654" s="1" t="s">
        <v>149</v>
      </c>
      <c r="BL654" s="1" t="s">
        <v>232</v>
      </c>
      <c r="BM654" s="1" t="s">
        <v>13319</v>
      </c>
      <c r="BN654" s="1" t="s">
        <v>74</v>
      </c>
      <c r="BO654" s="1" t="s">
        <v>556</v>
      </c>
      <c r="BP654" s="1" t="s">
        <v>74</v>
      </c>
      <c r="BQ654" s="1" t="s">
        <v>74</v>
      </c>
      <c r="BR654" s="1" t="s">
        <v>102</v>
      </c>
      <c r="BS654" s="1" t="s">
        <v>13320</v>
      </c>
      <c r="BT654" s="1" t="str">
        <f>HYPERLINK("https%3A%2F%2Fwww.webofscience.com%2Fwos%2Fwoscc%2Ffull-record%2FWOS:000503335100001","View Full Record in Web of Science")</f>
        <v>View Full Record in Web of Science</v>
      </c>
    </row>
    <row r="655" ht="12.75" customHeight="1">
      <c r="A655" s="1" t="s">
        <v>132</v>
      </c>
      <c r="B655" s="1" t="s">
        <v>13321</v>
      </c>
      <c r="C655" s="1" t="s">
        <v>74</v>
      </c>
      <c r="D655" s="1" t="s">
        <v>74</v>
      </c>
      <c r="E655" s="1" t="s">
        <v>74</v>
      </c>
      <c r="F655" s="1" t="s">
        <v>13322</v>
      </c>
      <c r="G655" s="1" t="s">
        <v>74</v>
      </c>
      <c r="H655" s="1" t="s">
        <v>74</v>
      </c>
      <c r="I655" s="1" t="s">
        <v>13323</v>
      </c>
      <c r="J655" s="1" t="s">
        <v>13324</v>
      </c>
      <c r="K655" s="1" t="s">
        <v>74</v>
      </c>
      <c r="L655" s="1" t="s">
        <v>74</v>
      </c>
      <c r="M655" s="1" t="s">
        <v>80</v>
      </c>
      <c r="N655" s="1" t="s">
        <v>136</v>
      </c>
      <c r="O655" s="1" t="s">
        <v>74</v>
      </c>
      <c r="P655" s="1" t="s">
        <v>74</v>
      </c>
      <c r="Q655" s="1" t="s">
        <v>74</v>
      </c>
      <c r="R655" s="1" t="s">
        <v>74</v>
      </c>
      <c r="S655" s="1" t="s">
        <v>74</v>
      </c>
      <c r="T655" s="1" t="s">
        <v>13325</v>
      </c>
      <c r="U655" s="1" t="s">
        <v>13326</v>
      </c>
      <c r="V655" s="1" t="s">
        <v>13327</v>
      </c>
      <c r="W655" s="1" t="s">
        <v>13328</v>
      </c>
      <c r="X655" s="1" t="s">
        <v>13329</v>
      </c>
      <c r="Y655" s="1" t="s">
        <v>13330</v>
      </c>
      <c r="Z655" s="1" t="s">
        <v>13331</v>
      </c>
      <c r="AA655" s="1" t="s">
        <v>74</v>
      </c>
      <c r="AB655" s="1" t="s">
        <v>74</v>
      </c>
      <c r="AC655" s="1" t="s">
        <v>13332</v>
      </c>
      <c r="AD655" s="1" t="s">
        <v>13333</v>
      </c>
      <c r="AE655" s="1" t="s">
        <v>13334</v>
      </c>
      <c r="AF655" s="1" t="s">
        <v>74</v>
      </c>
      <c r="AG655" s="1">
        <v>122.0</v>
      </c>
      <c r="AH655" s="1">
        <v>1.0</v>
      </c>
      <c r="AI655" s="1">
        <v>1.0</v>
      </c>
      <c r="AJ655" s="1">
        <v>0.0</v>
      </c>
      <c r="AK655" s="1">
        <v>0.0</v>
      </c>
      <c r="AL655" s="1" t="s">
        <v>1831</v>
      </c>
      <c r="AM655" s="1" t="s">
        <v>349</v>
      </c>
      <c r="AN655" s="1" t="s">
        <v>1832</v>
      </c>
      <c r="AO655" s="1" t="s">
        <v>74</v>
      </c>
      <c r="AP655" s="1" t="s">
        <v>13335</v>
      </c>
      <c r="AQ655" s="1" t="s">
        <v>74</v>
      </c>
      <c r="AR655" s="1" t="s">
        <v>13336</v>
      </c>
      <c r="AS655" s="1" t="s">
        <v>13337</v>
      </c>
      <c r="AT655" s="1" t="s">
        <v>13338</v>
      </c>
      <c r="AU655" s="1">
        <v>2024.0</v>
      </c>
      <c r="AV655" s="1">
        <v>24.0</v>
      </c>
      <c r="AW655" s="1">
        <v>1.0</v>
      </c>
      <c r="AX655" s="1" t="s">
        <v>74</v>
      </c>
      <c r="AY655" s="1" t="s">
        <v>74</v>
      </c>
      <c r="AZ655" s="1" t="s">
        <v>74</v>
      </c>
      <c r="BA655" s="1" t="s">
        <v>74</v>
      </c>
      <c r="BB655" s="1" t="s">
        <v>74</v>
      </c>
      <c r="BC655" s="1" t="s">
        <v>74</v>
      </c>
      <c r="BD655" s="1">
        <v>345.0</v>
      </c>
      <c r="BE655" s="1" t="s">
        <v>13339</v>
      </c>
      <c r="BF655" s="2" t="str">
        <f>HYPERLINK("http://dx.doi.org/10.1186/s12893-024-02646-2","http://dx.doi.org/10.1186/s12893-024-02646-2")</f>
        <v>http://dx.doi.org/10.1186/s12893-024-02646-2</v>
      </c>
      <c r="BG655" s="1" t="s">
        <v>74</v>
      </c>
      <c r="BH655" s="1" t="s">
        <v>74</v>
      </c>
      <c r="BI655" s="1">
        <v>31.0</v>
      </c>
      <c r="BJ655" s="1" t="s">
        <v>5012</v>
      </c>
      <c r="BK655" s="1" t="s">
        <v>149</v>
      </c>
      <c r="BL655" s="1" t="s">
        <v>5012</v>
      </c>
      <c r="BM655" s="1" t="s">
        <v>13340</v>
      </c>
      <c r="BN655" s="1">
        <v>3.9501233E7</v>
      </c>
      <c r="BO655" s="1" t="s">
        <v>174</v>
      </c>
      <c r="BP655" s="1" t="s">
        <v>74</v>
      </c>
      <c r="BQ655" s="1" t="s">
        <v>74</v>
      </c>
      <c r="BR655" s="1" t="s">
        <v>102</v>
      </c>
      <c r="BS655" s="1" t="s">
        <v>13341</v>
      </c>
      <c r="BT655" s="1" t="str">
        <f>HYPERLINK("https%3A%2F%2Fwww.webofscience.com%2Fwos%2Fwoscc%2Ffull-record%2FWOS:001352011100003","View Full Record in Web of Science")</f>
        <v>View Full Record in Web of Science</v>
      </c>
    </row>
    <row r="656" ht="12.75" customHeight="1">
      <c r="A656" s="1" t="s">
        <v>132</v>
      </c>
      <c r="B656" s="1" t="s">
        <v>13342</v>
      </c>
      <c r="C656" s="1" t="s">
        <v>74</v>
      </c>
      <c r="D656" s="1" t="s">
        <v>74</v>
      </c>
      <c r="E656" s="1" t="s">
        <v>74</v>
      </c>
      <c r="F656" s="1" t="s">
        <v>13343</v>
      </c>
      <c r="G656" s="1" t="s">
        <v>74</v>
      </c>
      <c r="H656" s="1" t="s">
        <v>74</v>
      </c>
      <c r="I656" s="1" t="s">
        <v>13344</v>
      </c>
      <c r="J656" s="1" t="s">
        <v>3159</v>
      </c>
      <c r="K656" s="1" t="s">
        <v>74</v>
      </c>
      <c r="L656" s="1" t="s">
        <v>74</v>
      </c>
      <c r="M656" s="1" t="s">
        <v>80</v>
      </c>
      <c r="N656" s="1" t="s">
        <v>136</v>
      </c>
      <c r="O656" s="1" t="s">
        <v>74</v>
      </c>
      <c r="P656" s="1" t="s">
        <v>74</v>
      </c>
      <c r="Q656" s="1" t="s">
        <v>74</v>
      </c>
      <c r="R656" s="1" t="s">
        <v>74</v>
      </c>
      <c r="S656" s="1" t="s">
        <v>74</v>
      </c>
      <c r="T656" s="1" t="s">
        <v>13345</v>
      </c>
      <c r="U656" s="1" t="s">
        <v>13346</v>
      </c>
      <c r="V656" s="1" t="s">
        <v>13347</v>
      </c>
      <c r="W656" s="1" t="s">
        <v>13348</v>
      </c>
      <c r="X656" s="1" t="s">
        <v>13349</v>
      </c>
      <c r="Y656" s="1" t="s">
        <v>13350</v>
      </c>
      <c r="Z656" s="1" t="s">
        <v>13351</v>
      </c>
      <c r="AA656" s="1" t="s">
        <v>13352</v>
      </c>
      <c r="AB656" s="1" t="s">
        <v>13353</v>
      </c>
      <c r="AC656" s="1" t="s">
        <v>74</v>
      </c>
      <c r="AD656" s="1" t="s">
        <v>74</v>
      </c>
      <c r="AE656" s="1" t="s">
        <v>74</v>
      </c>
      <c r="AF656" s="1" t="s">
        <v>74</v>
      </c>
      <c r="AG656" s="1">
        <v>186.0</v>
      </c>
      <c r="AH656" s="1">
        <v>9.0</v>
      </c>
      <c r="AI656" s="1">
        <v>9.0</v>
      </c>
      <c r="AJ656" s="1">
        <v>17.0</v>
      </c>
      <c r="AK656" s="1">
        <v>60.0</v>
      </c>
      <c r="AL656" s="1" t="s">
        <v>192</v>
      </c>
      <c r="AM656" s="1" t="s">
        <v>864</v>
      </c>
      <c r="AN656" s="1" t="s">
        <v>865</v>
      </c>
      <c r="AO656" s="1" t="s">
        <v>3172</v>
      </c>
      <c r="AP656" s="1" t="s">
        <v>3173</v>
      </c>
      <c r="AQ656" s="1" t="s">
        <v>74</v>
      </c>
      <c r="AR656" s="1" t="s">
        <v>3174</v>
      </c>
      <c r="AS656" s="1" t="s">
        <v>3175</v>
      </c>
      <c r="AT656" s="1" t="s">
        <v>2469</v>
      </c>
      <c r="AU656" s="1">
        <v>2023.0</v>
      </c>
      <c r="AV656" s="1">
        <v>56.0</v>
      </c>
      <c r="AW656" s="1" t="s">
        <v>13354</v>
      </c>
      <c r="AX656" s="1" t="s">
        <v>74</v>
      </c>
      <c r="AY656" s="1">
        <v>1.0</v>
      </c>
      <c r="AZ656" s="1" t="s">
        <v>74</v>
      </c>
      <c r="BA656" s="1" t="s">
        <v>74</v>
      </c>
      <c r="BB656" s="1">
        <v>857.0</v>
      </c>
      <c r="BC656" s="1">
        <v>892.0</v>
      </c>
      <c r="BD656" s="1" t="s">
        <v>74</v>
      </c>
      <c r="BE656" s="1" t="s">
        <v>13355</v>
      </c>
      <c r="BF656" s="2" t="str">
        <f>HYPERLINK("http://dx.doi.org/10.1007/s10462-023-10543-y","http://dx.doi.org/10.1007/s10462-023-10543-y")</f>
        <v>http://dx.doi.org/10.1007/s10462-023-10543-y</v>
      </c>
      <c r="BG656" s="1" t="s">
        <v>74</v>
      </c>
      <c r="BH656" s="1" t="s">
        <v>3074</v>
      </c>
      <c r="BI656" s="1">
        <v>36.0</v>
      </c>
      <c r="BJ656" s="1" t="s">
        <v>1214</v>
      </c>
      <c r="BK656" s="1" t="s">
        <v>149</v>
      </c>
      <c r="BL656" s="1" t="s">
        <v>232</v>
      </c>
      <c r="BM656" s="1" t="s">
        <v>13356</v>
      </c>
      <c r="BN656" s="1" t="s">
        <v>74</v>
      </c>
      <c r="BO656" s="1" t="s">
        <v>74</v>
      </c>
      <c r="BP656" s="1" t="s">
        <v>74</v>
      </c>
      <c r="BQ656" s="1" t="s">
        <v>74</v>
      </c>
      <c r="BR656" s="1" t="s">
        <v>102</v>
      </c>
      <c r="BS656" s="1" t="s">
        <v>13357</v>
      </c>
      <c r="BT656" s="1" t="str">
        <f>HYPERLINK("https%3A%2F%2Fwww.webofscience.com%2Fwos%2Fwoscc%2Ffull-record%2FWOS:001021513200001","View Full Record in Web of Science")</f>
        <v>View Full Record in Web of Science</v>
      </c>
    </row>
    <row r="657" ht="12.75" customHeight="1">
      <c r="A657" s="1" t="s">
        <v>132</v>
      </c>
      <c r="B657" s="1" t="s">
        <v>13358</v>
      </c>
      <c r="C657" s="1" t="s">
        <v>74</v>
      </c>
      <c r="D657" s="1" t="s">
        <v>74</v>
      </c>
      <c r="E657" s="1" t="s">
        <v>74</v>
      </c>
      <c r="F657" s="1" t="s">
        <v>13359</v>
      </c>
      <c r="G657" s="1" t="s">
        <v>74</v>
      </c>
      <c r="H657" s="1" t="s">
        <v>74</v>
      </c>
      <c r="I657" s="1" t="s">
        <v>13360</v>
      </c>
      <c r="J657" s="1" t="s">
        <v>3775</v>
      </c>
      <c r="K657" s="1" t="s">
        <v>74</v>
      </c>
      <c r="L657" s="1" t="s">
        <v>74</v>
      </c>
      <c r="M657" s="1" t="s">
        <v>638</v>
      </c>
      <c r="N657" s="1" t="s">
        <v>136</v>
      </c>
      <c r="O657" s="1" t="s">
        <v>74</v>
      </c>
      <c r="P657" s="1" t="s">
        <v>74</v>
      </c>
      <c r="Q657" s="1" t="s">
        <v>74</v>
      </c>
      <c r="R657" s="1" t="s">
        <v>74</v>
      </c>
      <c r="S657" s="1" t="s">
        <v>74</v>
      </c>
      <c r="T657" s="1" t="s">
        <v>13361</v>
      </c>
      <c r="U657" s="1" t="s">
        <v>74</v>
      </c>
      <c r="V657" s="1" t="s">
        <v>13362</v>
      </c>
      <c r="W657" s="1" t="s">
        <v>13363</v>
      </c>
      <c r="X657" s="1" t="s">
        <v>74</v>
      </c>
      <c r="Y657" s="1" t="s">
        <v>13364</v>
      </c>
      <c r="Z657" s="1" t="s">
        <v>13365</v>
      </c>
      <c r="AA657" s="1" t="s">
        <v>74</v>
      </c>
      <c r="AB657" s="1" t="s">
        <v>74</v>
      </c>
      <c r="AC657" s="1" t="s">
        <v>74</v>
      </c>
      <c r="AD657" s="1" t="s">
        <v>74</v>
      </c>
      <c r="AE657" s="1" t="s">
        <v>74</v>
      </c>
      <c r="AF657" s="1" t="s">
        <v>74</v>
      </c>
      <c r="AG657" s="1">
        <v>18.0</v>
      </c>
      <c r="AH657" s="1">
        <v>1.0</v>
      </c>
      <c r="AI657" s="1">
        <v>1.0</v>
      </c>
      <c r="AJ657" s="1">
        <v>0.0</v>
      </c>
      <c r="AK657" s="1">
        <v>10.0</v>
      </c>
      <c r="AL657" s="1" t="s">
        <v>3781</v>
      </c>
      <c r="AM657" s="1" t="s">
        <v>3782</v>
      </c>
      <c r="AN657" s="1" t="s">
        <v>3783</v>
      </c>
      <c r="AO657" s="1" t="s">
        <v>3784</v>
      </c>
      <c r="AP657" s="1" t="s">
        <v>74</v>
      </c>
      <c r="AQ657" s="1" t="s">
        <v>74</v>
      </c>
      <c r="AR657" s="1" t="s">
        <v>3785</v>
      </c>
      <c r="AS657" s="1" t="s">
        <v>3786</v>
      </c>
      <c r="AT657" s="1" t="s">
        <v>1051</v>
      </c>
      <c r="AU657" s="1">
        <v>2021.0</v>
      </c>
      <c r="AV657" s="1">
        <v>13.0</v>
      </c>
      <c r="AW657" s="1" t="s">
        <v>74</v>
      </c>
      <c r="AX657" s="1" t="s">
        <v>74</v>
      </c>
      <c r="AY657" s="1">
        <v>3.0</v>
      </c>
      <c r="AZ657" s="1" t="s">
        <v>74</v>
      </c>
      <c r="BA657" s="1" t="s">
        <v>74</v>
      </c>
      <c r="BB657" s="1">
        <v>340.0</v>
      </c>
      <c r="BC657" s="1">
        <v>345.0</v>
      </c>
      <c r="BD657" s="1" t="s">
        <v>74</v>
      </c>
      <c r="BE657" s="1" t="s">
        <v>74</v>
      </c>
      <c r="BF657" s="1" t="s">
        <v>74</v>
      </c>
      <c r="BG657" s="1" t="s">
        <v>74</v>
      </c>
      <c r="BH657" s="1" t="s">
        <v>74</v>
      </c>
      <c r="BI657" s="1">
        <v>6.0</v>
      </c>
      <c r="BJ657" s="1" t="s">
        <v>98</v>
      </c>
      <c r="BK657" s="1" t="s">
        <v>172</v>
      </c>
      <c r="BL657" s="1" t="s">
        <v>100</v>
      </c>
      <c r="BM657" s="1" t="s">
        <v>13366</v>
      </c>
      <c r="BN657" s="1" t="s">
        <v>74</v>
      </c>
      <c r="BO657" s="1" t="s">
        <v>74</v>
      </c>
      <c r="BP657" s="1" t="s">
        <v>74</v>
      </c>
      <c r="BQ657" s="1" t="s">
        <v>74</v>
      </c>
      <c r="BR657" s="1" t="s">
        <v>102</v>
      </c>
      <c r="BS657" s="1" t="s">
        <v>13367</v>
      </c>
      <c r="BT657" s="1" t="str">
        <f>HYPERLINK("https%3A%2F%2Fwww.webofscience.com%2Fwos%2Fwoscc%2Ffull-record%2FWOS:000726560400045","View Full Record in Web of Science")</f>
        <v>View Full Record in Web of Science</v>
      </c>
    </row>
    <row r="658" ht="12.75" customHeight="1">
      <c r="A658" s="1" t="s">
        <v>132</v>
      </c>
      <c r="B658" s="1" t="s">
        <v>13368</v>
      </c>
      <c r="C658" s="1" t="s">
        <v>74</v>
      </c>
      <c r="D658" s="1" t="s">
        <v>74</v>
      </c>
      <c r="E658" s="1" t="s">
        <v>74</v>
      </c>
      <c r="F658" s="1" t="s">
        <v>13369</v>
      </c>
      <c r="G658" s="1" t="s">
        <v>74</v>
      </c>
      <c r="H658" s="1" t="s">
        <v>74</v>
      </c>
      <c r="I658" s="1" t="s">
        <v>13370</v>
      </c>
      <c r="J658" s="1" t="s">
        <v>11489</v>
      </c>
      <c r="K658" s="1" t="s">
        <v>74</v>
      </c>
      <c r="L658" s="1" t="s">
        <v>74</v>
      </c>
      <c r="M658" s="1" t="s">
        <v>80</v>
      </c>
      <c r="N658" s="1" t="s">
        <v>136</v>
      </c>
      <c r="O658" s="1" t="s">
        <v>74</v>
      </c>
      <c r="P658" s="1" t="s">
        <v>74</v>
      </c>
      <c r="Q658" s="1" t="s">
        <v>74</v>
      </c>
      <c r="R658" s="1" t="s">
        <v>74</v>
      </c>
      <c r="S658" s="1" t="s">
        <v>74</v>
      </c>
      <c r="T658" s="1" t="s">
        <v>13371</v>
      </c>
      <c r="U658" s="1" t="s">
        <v>13372</v>
      </c>
      <c r="V658" s="1" t="s">
        <v>13373</v>
      </c>
      <c r="W658" s="1" t="s">
        <v>13374</v>
      </c>
      <c r="X658" s="1" t="s">
        <v>13375</v>
      </c>
      <c r="Y658" s="1" t="s">
        <v>13376</v>
      </c>
      <c r="Z658" s="1" t="s">
        <v>13377</v>
      </c>
      <c r="AA658" s="1" t="s">
        <v>13378</v>
      </c>
      <c r="AB658" s="1" t="s">
        <v>13379</v>
      </c>
      <c r="AC658" s="1" t="s">
        <v>13380</v>
      </c>
      <c r="AD658" s="1" t="s">
        <v>7444</v>
      </c>
      <c r="AE658" s="1" t="s">
        <v>74</v>
      </c>
      <c r="AF658" s="1" t="s">
        <v>74</v>
      </c>
      <c r="AG658" s="1">
        <v>100.0</v>
      </c>
      <c r="AH658" s="1">
        <v>17.0</v>
      </c>
      <c r="AI658" s="1">
        <v>19.0</v>
      </c>
      <c r="AJ658" s="1">
        <v>11.0</v>
      </c>
      <c r="AK658" s="1">
        <v>22.0</v>
      </c>
      <c r="AL658" s="1" t="s">
        <v>11501</v>
      </c>
      <c r="AM658" s="1" t="s">
        <v>11502</v>
      </c>
      <c r="AN658" s="1" t="s">
        <v>11503</v>
      </c>
      <c r="AO658" s="1" t="s">
        <v>11504</v>
      </c>
      <c r="AP658" s="1" t="s">
        <v>11505</v>
      </c>
      <c r="AQ658" s="1" t="s">
        <v>74</v>
      </c>
      <c r="AR658" s="1" t="s">
        <v>11506</v>
      </c>
      <c r="AS658" s="1" t="s">
        <v>11507</v>
      </c>
      <c r="AT658" s="1" t="s">
        <v>328</v>
      </c>
      <c r="AU658" s="1">
        <v>2023.0</v>
      </c>
      <c r="AV658" s="1">
        <v>128.0</v>
      </c>
      <c r="AW658" s="1">
        <v>6.0</v>
      </c>
      <c r="AX658" s="1" t="s">
        <v>74</v>
      </c>
      <c r="AY658" s="1" t="s">
        <v>74</v>
      </c>
      <c r="AZ658" s="1" t="s">
        <v>74</v>
      </c>
      <c r="BA658" s="1" t="s">
        <v>74</v>
      </c>
      <c r="BB658" s="1">
        <v>655.0</v>
      </c>
      <c r="BC658" s="1">
        <v>667.0</v>
      </c>
      <c r="BD658" s="1" t="s">
        <v>74</v>
      </c>
      <c r="BE658" s="1" t="s">
        <v>13381</v>
      </c>
      <c r="BF658" s="2" t="str">
        <f>HYPERLINK("http://dx.doi.org/10.1007/s11547-023-01638-1","http://dx.doi.org/10.1007/s11547-023-01638-1")</f>
        <v>http://dx.doi.org/10.1007/s11547-023-01638-1</v>
      </c>
      <c r="BG658" s="1" t="s">
        <v>74</v>
      </c>
      <c r="BH658" s="1" t="s">
        <v>8208</v>
      </c>
      <c r="BI658" s="1">
        <v>13.0</v>
      </c>
      <c r="BJ658" s="1" t="s">
        <v>656</v>
      </c>
      <c r="BK658" s="1" t="s">
        <v>149</v>
      </c>
      <c r="BL658" s="1" t="s">
        <v>656</v>
      </c>
      <c r="BM658" s="1" t="s">
        <v>13382</v>
      </c>
      <c r="BN658" s="1">
        <v>3.7165151E7</v>
      </c>
      <c r="BO658" s="1" t="s">
        <v>74</v>
      </c>
      <c r="BP658" s="1" t="s">
        <v>74</v>
      </c>
      <c r="BQ658" s="1" t="s">
        <v>74</v>
      </c>
      <c r="BR658" s="1" t="s">
        <v>102</v>
      </c>
      <c r="BS658" s="1" t="s">
        <v>13383</v>
      </c>
      <c r="BT658" s="1" t="str">
        <f>HYPERLINK("https%3A%2F%2Fwww.webofscience.com%2Fwos%2Fwoscc%2Ffull-record%2FWOS:000984153500001","View Full Record in Web of Science")</f>
        <v>View Full Record in Web of Science</v>
      </c>
    </row>
    <row r="659" ht="12.75" customHeight="1">
      <c r="A659" s="1" t="s">
        <v>132</v>
      </c>
      <c r="B659" s="1" t="s">
        <v>13384</v>
      </c>
      <c r="C659" s="1" t="s">
        <v>74</v>
      </c>
      <c r="D659" s="1" t="s">
        <v>74</v>
      </c>
      <c r="E659" s="1" t="s">
        <v>74</v>
      </c>
      <c r="F659" s="1" t="s">
        <v>13385</v>
      </c>
      <c r="G659" s="1" t="s">
        <v>74</v>
      </c>
      <c r="H659" s="1" t="s">
        <v>74</v>
      </c>
      <c r="I659" s="1" t="s">
        <v>13386</v>
      </c>
      <c r="J659" s="1" t="s">
        <v>13387</v>
      </c>
      <c r="K659" s="1" t="s">
        <v>74</v>
      </c>
      <c r="L659" s="1" t="s">
        <v>74</v>
      </c>
      <c r="M659" s="1" t="s">
        <v>80</v>
      </c>
      <c r="N659" s="1" t="s">
        <v>136</v>
      </c>
      <c r="O659" s="1" t="s">
        <v>74</v>
      </c>
      <c r="P659" s="1" t="s">
        <v>74</v>
      </c>
      <c r="Q659" s="1" t="s">
        <v>74</v>
      </c>
      <c r="R659" s="1" t="s">
        <v>74</v>
      </c>
      <c r="S659" s="1" t="s">
        <v>74</v>
      </c>
      <c r="T659" s="1" t="s">
        <v>13388</v>
      </c>
      <c r="U659" s="1" t="s">
        <v>9783</v>
      </c>
      <c r="V659" s="1" t="s">
        <v>13389</v>
      </c>
      <c r="W659" s="1" t="s">
        <v>13390</v>
      </c>
      <c r="X659" s="1" t="s">
        <v>13391</v>
      </c>
      <c r="Y659" s="1" t="s">
        <v>13392</v>
      </c>
      <c r="Z659" s="1" t="s">
        <v>13393</v>
      </c>
      <c r="AA659" s="1" t="s">
        <v>74</v>
      </c>
      <c r="AB659" s="1" t="s">
        <v>74</v>
      </c>
      <c r="AC659" s="1" t="s">
        <v>74</v>
      </c>
      <c r="AD659" s="1" t="s">
        <v>74</v>
      </c>
      <c r="AE659" s="1" t="s">
        <v>74</v>
      </c>
      <c r="AF659" s="1" t="s">
        <v>74</v>
      </c>
      <c r="AG659" s="1">
        <v>49.0</v>
      </c>
      <c r="AH659" s="1">
        <v>0.0</v>
      </c>
      <c r="AI659" s="1">
        <v>0.0</v>
      </c>
      <c r="AJ659" s="1">
        <v>33.0</v>
      </c>
      <c r="AK659" s="1">
        <v>115.0</v>
      </c>
      <c r="AL659" s="1" t="s">
        <v>13394</v>
      </c>
      <c r="AM659" s="1" t="s">
        <v>648</v>
      </c>
      <c r="AN659" s="1" t="s">
        <v>13395</v>
      </c>
      <c r="AO659" s="1" t="s">
        <v>13396</v>
      </c>
      <c r="AP659" s="1" t="s">
        <v>74</v>
      </c>
      <c r="AQ659" s="1" t="s">
        <v>74</v>
      </c>
      <c r="AR659" s="1" t="s">
        <v>13397</v>
      </c>
      <c r="AS659" s="1" t="s">
        <v>13398</v>
      </c>
      <c r="AT659" s="1" t="s">
        <v>74</v>
      </c>
      <c r="AU659" s="1">
        <v>2023.0</v>
      </c>
      <c r="AV659" s="1" t="s">
        <v>74</v>
      </c>
      <c r="AW659" s="1">
        <v>156.0</v>
      </c>
      <c r="AX659" s="1" t="s">
        <v>74</v>
      </c>
      <c r="AY659" s="1" t="s">
        <v>74</v>
      </c>
      <c r="AZ659" s="1" t="s">
        <v>74</v>
      </c>
      <c r="BA659" s="1" t="s">
        <v>74</v>
      </c>
      <c r="BB659" s="1">
        <v>19.0</v>
      </c>
      <c r="BC659" s="1">
        <v>37.0</v>
      </c>
      <c r="BD659" s="1" t="s">
        <v>74</v>
      </c>
      <c r="BE659" s="1" t="s">
        <v>13399</v>
      </c>
      <c r="BF659" s="2" t="str">
        <f>HYPERLINK("http://dx.doi.org/10.15178/va.2023.156.e1474","http://dx.doi.org/10.15178/va.2023.156.e1474")</f>
        <v>http://dx.doi.org/10.15178/va.2023.156.e1474</v>
      </c>
      <c r="BG659" s="1" t="s">
        <v>74</v>
      </c>
      <c r="BH659" s="1" t="s">
        <v>74</v>
      </c>
      <c r="BI659" s="1">
        <v>19.0</v>
      </c>
      <c r="BJ659" s="1" t="s">
        <v>2183</v>
      </c>
      <c r="BK659" s="1" t="s">
        <v>172</v>
      </c>
      <c r="BL659" s="1" t="s">
        <v>2183</v>
      </c>
      <c r="BM659" s="1" t="s">
        <v>13400</v>
      </c>
      <c r="BN659" s="1" t="s">
        <v>74</v>
      </c>
      <c r="BO659" s="1" t="s">
        <v>174</v>
      </c>
      <c r="BP659" s="1" t="s">
        <v>74</v>
      </c>
      <c r="BQ659" s="1" t="s">
        <v>74</v>
      </c>
      <c r="BR659" s="1" t="s">
        <v>102</v>
      </c>
      <c r="BS659" s="1" t="s">
        <v>13401</v>
      </c>
      <c r="BT659" s="1" t="str">
        <f>HYPERLINK("https%3A%2F%2Fwww.webofscience.com%2Fwos%2Fwoscc%2Ffull-record%2FWOS:001012302500001","View Full Record in Web of Science")</f>
        <v>View Full Record in Web of Science</v>
      </c>
    </row>
    <row r="660" ht="12.75" customHeight="1">
      <c r="A660" s="1" t="s">
        <v>132</v>
      </c>
      <c r="B660" s="1" t="s">
        <v>13402</v>
      </c>
      <c r="C660" s="1" t="s">
        <v>74</v>
      </c>
      <c r="D660" s="1" t="s">
        <v>74</v>
      </c>
      <c r="E660" s="1" t="s">
        <v>74</v>
      </c>
      <c r="F660" s="1" t="s">
        <v>13403</v>
      </c>
      <c r="G660" s="1" t="s">
        <v>74</v>
      </c>
      <c r="H660" s="1" t="s">
        <v>74</v>
      </c>
      <c r="I660" s="1" t="s">
        <v>13404</v>
      </c>
      <c r="J660" s="1" t="s">
        <v>13405</v>
      </c>
      <c r="K660" s="1" t="s">
        <v>74</v>
      </c>
      <c r="L660" s="1" t="s">
        <v>74</v>
      </c>
      <c r="M660" s="1" t="s">
        <v>80</v>
      </c>
      <c r="N660" s="1" t="s">
        <v>136</v>
      </c>
      <c r="O660" s="1" t="s">
        <v>74</v>
      </c>
      <c r="P660" s="1" t="s">
        <v>74</v>
      </c>
      <c r="Q660" s="1" t="s">
        <v>74</v>
      </c>
      <c r="R660" s="1" t="s">
        <v>74</v>
      </c>
      <c r="S660" s="1" t="s">
        <v>74</v>
      </c>
      <c r="T660" s="1" t="s">
        <v>13406</v>
      </c>
      <c r="U660" s="1" t="s">
        <v>74</v>
      </c>
      <c r="V660" s="1" t="s">
        <v>13407</v>
      </c>
      <c r="W660" s="1" t="s">
        <v>13408</v>
      </c>
      <c r="X660" s="1" t="s">
        <v>13409</v>
      </c>
      <c r="Y660" s="1" t="s">
        <v>13410</v>
      </c>
      <c r="Z660" s="1" t="s">
        <v>74</v>
      </c>
      <c r="AA660" s="1" t="s">
        <v>74</v>
      </c>
      <c r="AB660" s="1" t="s">
        <v>13411</v>
      </c>
      <c r="AC660" s="1" t="s">
        <v>74</v>
      </c>
      <c r="AD660" s="1" t="s">
        <v>74</v>
      </c>
      <c r="AE660" s="1" t="s">
        <v>74</v>
      </c>
      <c r="AF660" s="1" t="s">
        <v>74</v>
      </c>
      <c r="AG660" s="1">
        <v>21.0</v>
      </c>
      <c r="AH660" s="1">
        <v>6.0</v>
      </c>
      <c r="AI660" s="1">
        <v>6.0</v>
      </c>
      <c r="AJ660" s="1">
        <v>5.0</v>
      </c>
      <c r="AK660" s="1">
        <v>38.0</v>
      </c>
      <c r="AL660" s="1" t="s">
        <v>2928</v>
      </c>
      <c r="AM660" s="1" t="s">
        <v>1090</v>
      </c>
      <c r="AN660" s="1" t="s">
        <v>2929</v>
      </c>
      <c r="AO660" s="1" t="s">
        <v>13412</v>
      </c>
      <c r="AP660" s="1" t="s">
        <v>13413</v>
      </c>
      <c r="AQ660" s="1" t="s">
        <v>74</v>
      </c>
      <c r="AR660" s="1" t="s">
        <v>13414</v>
      </c>
      <c r="AS660" s="1" t="s">
        <v>13415</v>
      </c>
      <c r="AT660" s="1" t="s">
        <v>13416</v>
      </c>
      <c r="AU660" s="1">
        <v>2023.0</v>
      </c>
      <c r="AV660" s="1">
        <v>9.0</v>
      </c>
      <c r="AW660" s="1">
        <v>2.0</v>
      </c>
      <c r="AX660" s="1" t="s">
        <v>74</v>
      </c>
      <c r="AY660" s="1" t="s">
        <v>74</v>
      </c>
      <c r="AZ660" s="1" t="s">
        <v>74</v>
      </c>
      <c r="BA660" s="1" t="s">
        <v>74</v>
      </c>
      <c r="BB660" s="1">
        <v>249.0</v>
      </c>
      <c r="BC660" s="1">
        <v>257.0</v>
      </c>
      <c r="BD660" s="1" t="s">
        <v>74</v>
      </c>
      <c r="BE660" s="1" t="s">
        <v>13417</v>
      </c>
      <c r="BF660" s="2" t="str">
        <f>HYPERLINK("http://dx.doi.org/10.1093/jfr/fjad004","http://dx.doi.org/10.1093/jfr/fjad004")</f>
        <v>http://dx.doi.org/10.1093/jfr/fjad004</v>
      </c>
      <c r="BG660" s="1" t="s">
        <v>74</v>
      </c>
      <c r="BH660" s="1" t="s">
        <v>8208</v>
      </c>
      <c r="BI660" s="1">
        <v>9.0</v>
      </c>
      <c r="BJ660" s="1" t="s">
        <v>915</v>
      </c>
      <c r="BK660" s="1" t="s">
        <v>172</v>
      </c>
      <c r="BL660" s="1" t="s">
        <v>916</v>
      </c>
      <c r="BM660" s="1" t="s">
        <v>13418</v>
      </c>
      <c r="BN660" s="1" t="s">
        <v>74</v>
      </c>
      <c r="BO660" s="1" t="s">
        <v>306</v>
      </c>
      <c r="BP660" s="1" t="s">
        <v>74</v>
      </c>
      <c r="BQ660" s="1" t="s">
        <v>74</v>
      </c>
      <c r="BR660" s="1" t="s">
        <v>102</v>
      </c>
      <c r="BS660" s="1" t="s">
        <v>13419</v>
      </c>
      <c r="BT660" s="1" t="str">
        <f>HYPERLINK("https%3A%2F%2Fwww.webofscience.com%2Fwos%2Fwoscc%2Ffull-record%2FWOS:000989056600001","View Full Record in Web of Science")</f>
        <v>View Full Record in Web of Science</v>
      </c>
    </row>
    <row r="661" ht="12.75" customHeight="1">
      <c r="A661" s="1" t="s">
        <v>132</v>
      </c>
      <c r="B661" s="1" t="s">
        <v>13420</v>
      </c>
      <c r="C661" s="1" t="s">
        <v>74</v>
      </c>
      <c r="D661" s="1" t="s">
        <v>74</v>
      </c>
      <c r="E661" s="1" t="s">
        <v>74</v>
      </c>
      <c r="F661" s="1" t="s">
        <v>13421</v>
      </c>
      <c r="G661" s="1" t="s">
        <v>74</v>
      </c>
      <c r="H661" s="1" t="s">
        <v>74</v>
      </c>
      <c r="I661" s="1" t="s">
        <v>13422</v>
      </c>
      <c r="J661" s="1" t="s">
        <v>9613</v>
      </c>
      <c r="K661" s="1" t="s">
        <v>74</v>
      </c>
      <c r="L661" s="1" t="s">
        <v>74</v>
      </c>
      <c r="M661" s="1" t="s">
        <v>80</v>
      </c>
      <c r="N661" s="1" t="s">
        <v>136</v>
      </c>
      <c r="O661" s="1" t="s">
        <v>74</v>
      </c>
      <c r="P661" s="1" t="s">
        <v>74</v>
      </c>
      <c r="Q661" s="1" t="s">
        <v>74</v>
      </c>
      <c r="R661" s="1" t="s">
        <v>74</v>
      </c>
      <c r="S661" s="1" t="s">
        <v>74</v>
      </c>
      <c r="T661" s="1" t="s">
        <v>13423</v>
      </c>
      <c r="U661" s="1" t="s">
        <v>74</v>
      </c>
      <c r="V661" s="1" t="s">
        <v>13424</v>
      </c>
      <c r="W661" s="1" t="s">
        <v>13425</v>
      </c>
      <c r="X661" s="1" t="s">
        <v>13426</v>
      </c>
      <c r="Y661" s="1" t="s">
        <v>13427</v>
      </c>
      <c r="Z661" s="1" t="s">
        <v>13428</v>
      </c>
      <c r="AA661" s="1" t="s">
        <v>13429</v>
      </c>
      <c r="AB661" s="1" t="s">
        <v>13430</v>
      </c>
      <c r="AC661" s="1" t="s">
        <v>13426</v>
      </c>
      <c r="AD661" s="1" t="s">
        <v>13431</v>
      </c>
      <c r="AE661" s="1" t="s">
        <v>13432</v>
      </c>
      <c r="AF661" s="1" t="s">
        <v>74</v>
      </c>
      <c r="AG661" s="1">
        <v>28.0</v>
      </c>
      <c r="AH661" s="1">
        <v>5.0</v>
      </c>
      <c r="AI661" s="1">
        <v>5.0</v>
      </c>
      <c r="AJ661" s="1">
        <v>93.0</v>
      </c>
      <c r="AK661" s="1">
        <v>161.0</v>
      </c>
      <c r="AL661" s="1" t="s">
        <v>9622</v>
      </c>
      <c r="AM661" s="1" t="s">
        <v>4584</v>
      </c>
      <c r="AN661" s="1" t="s">
        <v>9623</v>
      </c>
      <c r="AO661" s="1" t="s">
        <v>74</v>
      </c>
      <c r="AP661" s="1" t="s">
        <v>9624</v>
      </c>
      <c r="AQ661" s="1" t="s">
        <v>74</v>
      </c>
      <c r="AR661" s="1" t="s">
        <v>9613</v>
      </c>
      <c r="AS661" s="1" t="s">
        <v>9625</v>
      </c>
      <c r="AT661" s="1" t="s">
        <v>2707</v>
      </c>
      <c r="AU661" s="1">
        <v>2024.0</v>
      </c>
      <c r="AV661" s="1">
        <v>10.0</v>
      </c>
      <c r="AW661" s="1">
        <v>6.0</v>
      </c>
      <c r="AX661" s="1" t="s">
        <v>74</v>
      </c>
      <c r="AY661" s="1" t="s">
        <v>74</v>
      </c>
      <c r="AZ661" s="1" t="s">
        <v>74</v>
      </c>
      <c r="BA661" s="1" t="s">
        <v>74</v>
      </c>
      <c r="BB661" s="1" t="s">
        <v>74</v>
      </c>
      <c r="BC661" s="1" t="s">
        <v>74</v>
      </c>
      <c r="BD661" s="1" t="s">
        <v>13433</v>
      </c>
      <c r="BE661" s="1" t="s">
        <v>13434</v>
      </c>
      <c r="BF661" s="2" t="str">
        <f>HYPERLINK("http://dx.doi.org/10.1016/j.heliyon.2024.e28106","http://dx.doi.org/10.1016/j.heliyon.2024.e28106")</f>
        <v>http://dx.doi.org/10.1016/j.heliyon.2024.e28106</v>
      </c>
      <c r="BG661" s="1" t="s">
        <v>74</v>
      </c>
      <c r="BH661" s="1" t="s">
        <v>2958</v>
      </c>
      <c r="BI661" s="1">
        <v>14.0</v>
      </c>
      <c r="BJ661" s="1" t="s">
        <v>4714</v>
      </c>
      <c r="BK661" s="1" t="s">
        <v>149</v>
      </c>
      <c r="BL661" s="1" t="s">
        <v>4715</v>
      </c>
      <c r="BM661" s="1" t="s">
        <v>13435</v>
      </c>
      <c r="BN661" s="1">
        <v>3.8524597E7</v>
      </c>
      <c r="BO661" s="1" t="s">
        <v>1161</v>
      </c>
      <c r="BP661" s="1" t="s">
        <v>74</v>
      </c>
      <c r="BQ661" s="1" t="s">
        <v>74</v>
      </c>
      <c r="BR661" s="1" t="s">
        <v>102</v>
      </c>
      <c r="BS661" s="1" t="s">
        <v>13436</v>
      </c>
      <c r="BT661" s="1" t="str">
        <f>HYPERLINK("https%3A%2F%2Fwww.webofscience.com%2Fwos%2Fwoscc%2Ffull-record%2FWOS:001208626200001","View Full Record in Web of Science")</f>
        <v>View Full Record in Web of Science</v>
      </c>
    </row>
    <row r="662" ht="12.75" customHeight="1">
      <c r="A662" s="1" t="s">
        <v>132</v>
      </c>
      <c r="B662" s="1" t="s">
        <v>13437</v>
      </c>
      <c r="C662" s="1" t="s">
        <v>74</v>
      </c>
      <c r="D662" s="1" t="s">
        <v>74</v>
      </c>
      <c r="E662" s="1" t="s">
        <v>74</v>
      </c>
      <c r="F662" s="1" t="s">
        <v>13438</v>
      </c>
      <c r="G662" s="1" t="s">
        <v>74</v>
      </c>
      <c r="H662" s="1" t="s">
        <v>74</v>
      </c>
      <c r="I662" s="1" t="s">
        <v>13439</v>
      </c>
      <c r="J662" s="1" t="s">
        <v>1288</v>
      </c>
      <c r="K662" s="1" t="s">
        <v>74</v>
      </c>
      <c r="L662" s="1" t="s">
        <v>74</v>
      </c>
      <c r="M662" s="1" t="s">
        <v>80</v>
      </c>
      <c r="N662" s="1" t="s">
        <v>136</v>
      </c>
      <c r="O662" s="1" t="s">
        <v>74</v>
      </c>
      <c r="P662" s="1" t="s">
        <v>74</v>
      </c>
      <c r="Q662" s="1" t="s">
        <v>74</v>
      </c>
      <c r="R662" s="1" t="s">
        <v>74</v>
      </c>
      <c r="S662" s="1" t="s">
        <v>74</v>
      </c>
      <c r="T662" s="1" t="s">
        <v>13440</v>
      </c>
      <c r="U662" s="1" t="s">
        <v>6053</v>
      </c>
      <c r="V662" s="1" t="s">
        <v>13441</v>
      </c>
      <c r="W662" s="1" t="s">
        <v>13442</v>
      </c>
      <c r="X662" s="1" t="s">
        <v>13443</v>
      </c>
      <c r="Y662" s="1" t="s">
        <v>13444</v>
      </c>
      <c r="Z662" s="1" t="s">
        <v>13445</v>
      </c>
      <c r="AA662" s="1" t="s">
        <v>13446</v>
      </c>
      <c r="AB662" s="1" t="s">
        <v>13447</v>
      </c>
      <c r="AC662" s="1" t="s">
        <v>74</v>
      </c>
      <c r="AD662" s="1" t="s">
        <v>74</v>
      </c>
      <c r="AE662" s="1" t="s">
        <v>74</v>
      </c>
      <c r="AF662" s="1" t="s">
        <v>74</v>
      </c>
      <c r="AG662" s="1">
        <v>56.0</v>
      </c>
      <c r="AH662" s="1">
        <v>1.0</v>
      </c>
      <c r="AI662" s="1">
        <v>2.0</v>
      </c>
      <c r="AJ662" s="1">
        <v>58.0</v>
      </c>
      <c r="AK662" s="1">
        <v>66.0</v>
      </c>
      <c r="AL662" s="1" t="s">
        <v>1294</v>
      </c>
      <c r="AM662" s="1" t="s">
        <v>1295</v>
      </c>
      <c r="AN662" s="1" t="s">
        <v>1296</v>
      </c>
      <c r="AO662" s="1" t="s">
        <v>1297</v>
      </c>
      <c r="AP662" s="1" t="s">
        <v>1298</v>
      </c>
      <c r="AQ662" s="1" t="s">
        <v>74</v>
      </c>
      <c r="AR662" s="1" t="s">
        <v>1299</v>
      </c>
      <c r="AS662" s="1" t="s">
        <v>1300</v>
      </c>
      <c r="AT662" s="1" t="s">
        <v>1301</v>
      </c>
      <c r="AU662" s="1">
        <v>2024.0</v>
      </c>
      <c r="AV662" s="1">
        <v>26.0</v>
      </c>
      <c r="AW662" s="1">
        <v>65.0</v>
      </c>
      <c r="AX662" s="1" t="s">
        <v>74</v>
      </c>
      <c r="AY662" s="1" t="s">
        <v>74</v>
      </c>
      <c r="AZ662" s="1" t="s">
        <v>74</v>
      </c>
      <c r="BA662" s="1" t="s">
        <v>74</v>
      </c>
      <c r="BB662" s="1">
        <v>241.0</v>
      </c>
      <c r="BC662" s="1">
        <v>258.0</v>
      </c>
      <c r="BD662" s="1" t="s">
        <v>74</v>
      </c>
      <c r="BE662" s="1" t="s">
        <v>13448</v>
      </c>
      <c r="BF662" s="2" t="str">
        <f>HYPERLINK("http://dx.doi.org/10.24818/EA/2024/65/241","http://dx.doi.org/10.24818/EA/2024/65/241")</f>
        <v>http://dx.doi.org/10.24818/EA/2024/65/241</v>
      </c>
      <c r="BG662" s="1" t="s">
        <v>74</v>
      </c>
      <c r="BH662" s="1" t="s">
        <v>74</v>
      </c>
      <c r="BI662" s="1">
        <v>18.0</v>
      </c>
      <c r="BJ662" s="1" t="s">
        <v>1303</v>
      </c>
      <c r="BK662" s="1" t="s">
        <v>203</v>
      </c>
      <c r="BL662" s="1" t="s">
        <v>204</v>
      </c>
      <c r="BM662" s="1" t="s">
        <v>1304</v>
      </c>
      <c r="BN662" s="1" t="s">
        <v>74</v>
      </c>
      <c r="BO662" s="1" t="s">
        <v>284</v>
      </c>
      <c r="BP662" s="1" t="s">
        <v>74</v>
      </c>
      <c r="BQ662" s="1" t="s">
        <v>74</v>
      </c>
      <c r="BR662" s="1" t="s">
        <v>102</v>
      </c>
      <c r="BS662" s="1" t="s">
        <v>13449</v>
      </c>
      <c r="BT662" s="1" t="str">
        <f>HYPERLINK("https%3A%2F%2Fwww.webofscience.com%2Fwos%2Fwoscc%2Ffull-record%2FWOS:001251298900014","View Full Record in Web of Science")</f>
        <v>View Full Record in Web of Science</v>
      </c>
    </row>
    <row r="663" ht="12.75" customHeight="1">
      <c r="A663" s="1" t="s">
        <v>132</v>
      </c>
      <c r="B663" s="1" t="s">
        <v>13450</v>
      </c>
      <c r="C663" s="1" t="s">
        <v>74</v>
      </c>
      <c r="D663" s="1" t="s">
        <v>74</v>
      </c>
      <c r="E663" s="1" t="s">
        <v>74</v>
      </c>
      <c r="F663" s="1" t="s">
        <v>13451</v>
      </c>
      <c r="G663" s="1" t="s">
        <v>74</v>
      </c>
      <c r="H663" s="1" t="s">
        <v>74</v>
      </c>
      <c r="I663" s="1" t="s">
        <v>13452</v>
      </c>
      <c r="J663" s="1" t="s">
        <v>13453</v>
      </c>
      <c r="K663" s="1" t="s">
        <v>74</v>
      </c>
      <c r="L663" s="1" t="s">
        <v>74</v>
      </c>
      <c r="M663" s="1" t="s">
        <v>80</v>
      </c>
      <c r="N663" s="1" t="s">
        <v>136</v>
      </c>
      <c r="O663" s="1" t="s">
        <v>74</v>
      </c>
      <c r="P663" s="1" t="s">
        <v>74</v>
      </c>
      <c r="Q663" s="1" t="s">
        <v>74</v>
      </c>
      <c r="R663" s="1" t="s">
        <v>74</v>
      </c>
      <c r="S663" s="1" t="s">
        <v>74</v>
      </c>
      <c r="T663" s="1" t="s">
        <v>13454</v>
      </c>
      <c r="U663" s="1" t="s">
        <v>13455</v>
      </c>
      <c r="V663" s="1" t="s">
        <v>13456</v>
      </c>
      <c r="W663" s="1" t="s">
        <v>13457</v>
      </c>
      <c r="X663" s="1" t="s">
        <v>13458</v>
      </c>
      <c r="Y663" s="1" t="s">
        <v>13459</v>
      </c>
      <c r="Z663" s="1" t="s">
        <v>13460</v>
      </c>
      <c r="AA663" s="1" t="s">
        <v>74</v>
      </c>
      <c r="AB663" s="1" t="s">
        <v>13461</v>
      </c>
      <c r="AC663" s="1" t="s">
        <v>74</v>
      </c>
      <c r="AD663" s="1" t="s">
        <v>74</v>
      </c>
      <c r="AE663" s="1" t="s">
        <v>74</v>
      </c>
      <c r="AF663" s="1" t="s">
        <v>74</v>
      </c>
      <c r="AG663" s="1">
        <v>28.0</v>
      </c>
      <c r="AH663" s="1">
        <v>13.0</v>
      </c>
      <c r="AI663" s="1">
        <v>13.0</v>
      </c>
      <c r="AJ663" s="1">
        <v>6.0</v>
      </c>
      <c r="AK663" s="1">
        <v>29.0</v>
      </c>
      <c r="AL663" s="1" t="s">
        <v>13462</v>
      </c>
      <c r="AM663" s="1" t="s">
        <v>13463</v>
      </c>
      <c r="AN663" s="1" t="s">
        <v>13464</v>
      </c>
      <c r="AO663" s="1" t="s">
        <v>13465</v>
      </c>
      <c r="AP663" s="1" t="s">
        <v>74</v>
      </c>
      <c r="AQ663" s="1" t="s">
        <v>74</v>
      </c>
      <c r="AR663" s="1" t="s">
        <v>13466</v>
      </c>
      <c r="AS663" s="1" t="s">
        <v>13467</v>
      </c>
      <c r="AT663" s="1" t="s">
        <v>870</v>
      </c>
      <c r="AU663" s="1">
        <v>2022.0</v>
      </c>
      <c r="AV663" s="1">
        <v>110.0</v>
      </c>
      <c r="AW663" s="1">
        <v>1.0</v>
      </c>
      <c r="AX663" s="1" t="s">
        <v>74</v>
      </c>
      <c r="AY663" s="1" t="s">
        <v>74</v>
      </c>
      <c r="AZ663" s="1" t="s">
        <v>74</v>
      </c>
      <c r="BA663" s="1" t="s">
        <v>74</v>
      </c>
      <c r="BB663" s="1">
        <v>15.0</v>
      </c>
      <c r="BC663" s="1">
        <v>22.0</v>
      </c>
      <c r="BD663" s="1" t="s">
        <v>74</v>
      </c>
      <c r="BE663" s="1" t="s">
        <v>13468</v>
      </c>
      <c r="BF663" s="2" t="str">
        <f>HYPERLINK("http://dx.doi.org/10.5195/jmla.2022.1236","http://dx.doi.org/10.5195/jmla.2022.1236")</f>
        <v>http://dx.doi.org/10.5195/jmla.2022.1236</v>
      </c>
      <c r="BG663" s="1" t="s">
        <v>74</v>
      </c>
      <c r="BH663" s="1" t="s">
        <v>74</v>
      </c>
      <c r="BI663" s="1">
        <v>8.0</v>
      </c>
      <c r="BJ663" s="1" t="s">
        <v>358</v>
      </c>
      <c r="BK663" s="1" t="s">
        <v>203</v>
      </c>
      <c r="BL663" s="1" t="s">
        <v>358</v>
      </c>
      <c r="BM663" s="1" t="s">
        <v>13469</v>
      </c>
      <c r="BN663" s="1">
        <v>3.5210958E7</v>
      </c>
      <c r="BO663" s="1" t="s">
        <v>11882</v>
      </c>
      <c r="BP663" s="1" t="s">
        <v>74</v>
      </c>
      <c r="BQ663" s="1" t="s">
        <v>74</v>
      </c>
      <c r="BR663" s="1" t="s">
        <v>102</v>
      </c>
      <c r="BS663" s="1" t="s">
        <v>13470</v>
      </c>
      <c r="BT663" s="1" t="str">
        <f>HYPERLINK("https%3A%2F%2Fwww.webofscience.com%2Fwos%2Fwoscc%2Ffull-record%2FWOS:000757437900002","View Full Record in Web of Science")</f>
        <v>View Full Record in Web of Science</v>
      </c>
    </row>
    <row r="664" ht="12.75" customHeight="1">
      <c r="A664" s="1" t="s">
        <v>132</v>
      </c>
      <c r="B664" s="1" t="s">
        <v>13471</v>
      </c>
      <c r="C664" s="1" t="s">
        <v>74</v>
      </c>
      <c r="D664" s="1" t="s">
        <v>74</v>
      </c>
      <c r="E664" s="1" t="s">
        <v>74</v>
      </c>
      <c r="F664" s="1" t="s">
        <v>13472</v>
      </c>
      <c r="G664" s="1" t="s">
        <v>74</v>
      </c>
      <c r="H664" s="1" t="s">
        <v>74</v>
      </c>
      <c r="I664" s="1" t="s">
        <v>13473</v>
      </c>
      <c r="J664" s="1" t="s">
        <v>13474</v>
      </c>
      <c r="K664" s="1" t="s">
        <v>74</v>
      </c>
      <c r="L664" s="1" t="s">
        <v>74</v>
      </c>
      <c r="M664" s="1" t="s">
        <v>80</v>
      </c>
      <c r="N664" s="1" t="s">
        <v>136</v>
      </c>
      <c r="O664" s="1" t="s">
        <v>74</v>
      </c>
      <c r="P664" s="1" t="s">
        <v>74</v>
      </c>
      <c r="Q664" s="1" t="s">
        <v>74</v>
      </c>
      <c r="R664" s="1" t="s">
        <v>74</v>
      </c>
      <c r="S664" s="1" t="s">
        <v>74</v>
      </c>
      <c r="T664" s="1" t="s">
        <v>13475</v>
      </c>
      <c r="U664" s="1" t="s">
        <v>74</v>
      </c>
      <c r="V664" s="1" t="s">
        <v>13476</v>
      </c>
      <c r="W664" s="1" t="s">
        <v>13477</v>
      </c>
      <c r="X664" s="1" t="s">
        <v>13478</v>
      </c>
      <c r="Y664" s="1" t="s">
        <v>13479</v>
      </c>
      <c r="Z664" s="1" t="s">
        <v>13480</v>
      </c>
      <c r="AA664" s="1" t="s">
        <v>13481</v>
      </c>
      <c r="AB664" s="1" t="s">
        <v>13482</v>
      </c>
      <c r="AC664" s="1" t="s">
        <v>74</v>
      </c>
      <c r="AD664" s="1" t="s">
        <v>74</v>
      </c>
      <c r="AE664" s="1" t="s">
        <v>74</v>
      </c>
      <c r="AF664" s="1" t="s">
        <v>74</v>
      </c>
      <c r="AG664" s="1">
        <v>35.0</v>
      </c>
      <c r="AH664" s="1">
        <v>223.0</v>
      </c>
      <c r="AI664" s="1">
        <v>231.0</v>
      </c>
      <c r="AJ664" s="1">
        <v>90.0</v>
      </c>
      <c r="AK664" s="1">
        <v>444.0</v>
      </c>
      <c r="AL664" s="1" t="s">
        <v>2745</v>
      </c>
      <c r="AM664" s="1" t="s">
        <v>1090</v>
      </c>
      <c r="AN664" s="1" t="s">
        <v>2903</v>
      </c>
      <c r="AO664" s="1" t="s">
        <v>13483</v>
      </c>
      <c r="AP664" s="1" t="s">
        <v>13484</v>
      </c>
      <c r="AQ664" s="1" t="s">
        <v>74</v>
      </c>
      <c r="AR664" s="1" t="s">
        <v>13485</v>
      </c>
      <c r="AS664" s="1" t="s">
        <v>13486</v>
      </c>
      <c r="AT664" s="1" t="s">
        <v>1027</v>
      </c>
      <c r="AU664" s="1">
        <v>2020.0</v>
      </c>
      <c r="AV664" s="1">
        <v>18.0</v>
      </c>
      <c r="AW664" s="1">
        <v>1.0</v>
      </c>
      <c r="AX664" s="1" t="s">
        <v>74</v>
      </c>
      <c r="AY664" s="1" t="s">
        <v>74</v>
      </c>
      <c r="AZ664" s="1" t="s">
        <v>74</v>
      </c>
      <c r="BA664" s="1" t="s">
        <v>74</v>
      </c>
      <c r="BB664" s="1" t="s">
        <v>74</v>
      </c>
      <c r="BC664" s="1" t="s">
        <v>74</v>
      </c>
      <c r="BD664" s="1">
        <v>100330.0</v>
      </c>
      <c r="BE664" s="1" t="s">
        <v>13487</v>
      </c>
      <c r="BF664" s="2" t="str">
        <f>HYPERLINK("http://dx.doi.org/10.1016/j.ijme.2019.100330","http://dx.doi.org/10.1016/j.ijme.2019.100330")</f>
        <v>http://dx.doi.org/10.1016/j.ijme.2019.100330</v>
      </c>
      <c r="BG664" s="1" t="s">
        <v>74</v>
      </c>
      <c r="BH664" s="1" t="s">
        <v>74</v>
      </c>
      <c r="BI664" s="1">
        <v>9.0</v>
      </c>
      <c r="BJ664" s="1" t="s">
        <v>13488</v>
      </c>
      <c r="BK664" s="1" t="s">
        <v>203</v>
      </c>
      <c r="BL664" s="1" t="s">
        <v>5620</v>
      </c>
      <c r="BM664" s="1" t="s">
        <v>13489</v>
      </c>
      <c r="BN664" s="1" t="s">
        <v>74</v>
      </c>
      <c r="BO664" s="1" t="s">
        <v>74</v>
      </c>
      <c r="BP664" s="1" t="s">
        <v>74</v>
      </c>
      <c r="BQ664" s="1" t="s">
        <v>74</v>
      </c>
      <c r="BR664" s="1" t="s">
        <v>102</v>
      </c>
      <c r="BS664" s="1" t="s">
        <v>13490</v>
      </c>
      <c r="BT664" s="1" t="str">
        <f>HYPERLINK("https%3A%2F%2Fwww.webofscience.com%2Fwos%2Fwoscc%2Ffull-record%2FWOS:000514842200005","View Full Record in Web of Science")</f>
        <v>View Full Record in Web of Science</v>
      </c>
    </row>
    <row r="665" ht="12.75" customHeight="1">
      <c r="A665" s="1" t="s">
        <v>132</v>
      </c>
      <c r="B665" s="1" t="s">
        <v>13491</v>
      </c>
      <c r="C665" s="1" t="s">
        <v>74</v>
      </c>
      <c r="D665" s="1" t="s">
        <v>74</v>
      </c>
      <c r="E665" s="1" t="s">
        <v>74</v>
      </c>
      <c r="F665" s="1" t="s">
        <v>13492</v>
      </c>
      <c r="G665" s="1" t="s">
        <v>74</v>
      </c>
      <c r="H665" s="1" t="s">
        <v>74</v>
      </c>
      <c r="I665" s="1" t="s">
        <v>13493</v>
      </c>
      <c r="J665" s="1" t="s">
        <v>13494</v>
      </c>
      <c r="K665" s="1" t="s">
        <v>74</v>
      </c>
      <c r="L665" s="1" t="s">
        <v>74</v>
      </c>
      <c r="M665" s="1" t="s">
        <v>638</v>
      </c>
      <c r="N665" s="1" t="s">
        <v>136</v>
      </c>
      <c r="O665" s="1" t="s">
        <v>74</v>
      </c>
      <c r="P665" s="1" t="s">
        <v>74</v>
      </c>
      <c r="Q665" s="1" t="s">
        <v>74</v>
      </c>
      <c r="R665" s="1" t="s">
        <v>74</v>
      </c>
      <c r="S665" s="1" t="s">
        <v>74</v>
      </c>
      <c r="T665" s="1" t="s">
        <v>13495</v>
      </c>
      <c r="U665" s="1" t="s">
        <v>74</v>
      </c>
      <c r="V665" s="1" t="s">
        <v>13496</v>
      </c>
      <c r="W665" s="1" t="s">
        <v>13497</v>
      </c>
      <c r="X665" s="1" t="s">
        <v>74</v>
      </c>
      <c r="Y665" s="1" t="s">
        <v>13498</v>
      </c>
      <c r="Z665" s="1" t="s">
        <v>13499</v>
      </c>
      <c r="AA665" s="1" t="s">
        <v>74</v>
      </c>
      <c r="AB665" s="1" t="s">
        <v>74</v>
      </c>
      <c r="AC665" s="1" t="s">
        <v>74</v>
      </c>
      <c r="AD665" s="1" t="s">
        <v>74</v>
      </c>
      <c r="AE665" s="1" t="s">
        <v>74</v>
      </c>
      <c r="AF665" s="1" t="s">
        <v>74</v>
      </c>
      <c r="AG665" s="1">
        <v>29.0</v>
      </c>
      <c r="AH665" s="1">
        <v>0.0</v>
      </c>
      <c r="AI665" s="1">
        <v>0.0</v>
      </c>
      <c r="AJ665" s="1">
        <v>8.0</v>
      </c>
      <c r="AK665" s="1">
        <v>8.0</v>
      </c>
      <c r="AL665" s="1" t="s">
        <v>13500</v>
      </c>
      <c r="AM665" s="1" t="s">
        <v>13501</v>
      </c>
      <c r="AN665" s="1" t="s">
        <v>13502</v>
      </c>
      <c r="AO665" s="1" t="s">
        <v>13503</v>
      </c>
      <c r="AP665" s="1" t="s">
        <v>74</v>
      </c>
      <c r="AQ665" s="1" t="s">
        <v>74</v>
      </c>
      <c r="AR665" s="1" t="s">
        <v>13504</v>
      </c>
      <c r="AS665" s="1" t="s">
        <v>13505</v>
      </c>
      <c r="AT665" s="1" t="s">
        <v>7797</v>
      </c>
      <c r="AU665" s="1">
        <v>2024.0</v>
      </c>
      <c r="AV665" s="1">
        <v>23.0</v>
      </c>
      <c r="AW665" s="1">
        <v>2.0</v>
      </c>
      <c r="AX665" s="1" t="s">
        <v>74</v>
      </c>
      <c r="AY665" s="1" t="s">
        <v>74</v>
      </c>
      <c r="AZ665" s="1" t="s">
        <v>74</v>
      </c>
      <c r="BA665" s="1" t="s">
        <v>74</v>
      </c>
      <c r="BB665" s="1">
        <v>295.0</v>
      </c>
      <c r="BC665" s="1">
        <v>323.0</v>
      </c>
      <c r="BD665" s="1" t="s">
        <v>74</v>
      </c>
      <c r="BE665" s="1" t="s">
        <v>13506</v>
      </c>
      <c r="BF665" s="2" t="str">
        <f>HYPERLINK("http://dx.doi.org/10.18601/16923960.v23n2.09","http://dx.doi.org/10.18601/16923960.v23n2.09")</f>
        <v>http://dx.doi.org/10.18601/16923960.v23n2.09</v>
      </c>
      <c r="BG665" s="1" t="s">
        <v>74</v>
      </c>
      <c r="BH665" s="1" t="s">
        <v>74</v>
      </c>
      <c r="BI665" s="1">
        <v>29.0</v>
      </c>
      <c r="BJ665" s="1" t="s">
        <v>915</v>
      </c>
      <c r="BK665" s="1" t="s">
        <v>172</v>
      </c>
      <c r="BL665" s="1" t="s">
        <v>916</v>
      </c>
      <c r="BM665" s="1" t="s">
        <v>13507</v>
      </c>
      <c r="BN665" s="1" t="s">
        <v>74</v>
      </c>
      <c r="BO665" s="1" t="s">
        <v>174</v>
      </c>
      <c r="BP665" s="1" t="s">
        <v>74</v>
      </c>
      <c r="BQ665" s="1" t="s">
        <v>74</v>
      </c>
      <c r="BR665" s="1" t="s">
        <v>102</v>
      </c>
      <c r="BS665" s="1" t="s">
        <v>13508</v>
      </c>
      <c r="BT665" s="1" t="str">
        <f>HYPERLINK("https%3A%2F%2Fwww.webofscience.com%2Fwos%2Fwoscc%2Ffull-record%2FWOS:001303715000009","View Full Record in Web of Science")</f>
        <v>View Full Record in Web of Science</v>
      </c>
    </row>
    <row r="666" ht="12.75" customHeight="1">
      <c r="A666" s="1" t="s">
        <v>132</v>
      </c>
      <c r="B666" s="1" t="s">
        <v>13509</v>
      </c>
      <c r="C666" s="1" t="s">
        <v>74</v>
      </c>
      <c r="D666" s="1" t="s">
        <v>74</v>
      </c>
      <c r="E666" s="1" t="s">
        <v>74</v>
      </c>
      <c r="F666" s="1" t="s">
        <v>13510</v>
      </c>
      <c r="G666" s="1" t="s">
        <v>74</v>
      </c>
      <c r="H666" s="1" t="s">
        <v>74</v>
      </c>
      <c r="I666" s="1" t="s">
        <v>13511</v>
      </c>
      <c r="J666" s="1" t="s">
        <v>13512</v>
      </c>
      <c r="K666" s="1" t="s">
        <v>74</v>
      </c>
      <c r="L666" s="1" t="s">
        <v>74</v>
      </c>
      <c r="M666" s="1" t="s">
        <v>80</v>
      </c>
      <c r="N666" s="1" t="s">
        <v>136</v>
      </c>
      <c r="O666" s="1" t="s">
        <v>74</v>
      </c>
      <c r="P666" s="1" t="s">
        <v>74</v>
      </c>
      <c r="Q666" s="1" t="s">
        <v>74</v>
      </c>
      <c r="R666" s="1" t="s">
        <v>74</v>
      </c>
      <c r="S666" s="1" t="s">
        <v>74</v>
      </c>
      <c r="T666" s="1" t="s">
        <v>13513</v>
      </c>
      <c r="U666" s="1" t="s">
        <v>13514</v>
      </c>
      <c r="V666" s="1" t="s">
        <v>13515</v>
      </c>
      <c r="W666" s="1" t="s">
        <v>13516</v>
      </c>
      <c r="X666" s="1" t="s">
        <v>13517</v>
      </c>
      <c r="Y666" s="1" t="s">
        <v>13518</v>
      </c>
      <c r="Z666" s="1" t="s">
        <v>13519</v>
      </c>
      <c r="AA666" s="1" t="s">
        <v>13520</v>
      </c>
      <c r="AB666" s="1" t="s">
        <v>74</v>
      </c>
      <c r="AC666" s="1" t="s">
        <v>13521</v>
      </c>
      <c r="AD666" s="1" t="s">
        <v>13522</v>
      </c>
      <c r="AE666" s="1" t="s">
        <v>13523</v>
      </c>
      <c r="AF666" s="1" t="s">
        <v>74</v>
      </c>
      <c r="AG666" s="1">
        <v>86.0</v>
      </c>
      <c r="AH666" s="1">
        <v>0.0</v>
      </c>
      <c r="AI666" s="1">
        <v>0.0</v>
      </c>
      <c r="AJ666" s="1">
        <v>36.0</v>
      </c>
      <c r="AK666" s="1">
        <v>36.0</v>
      </c>
      <c r="AL666" s="1" t="s">
        <v>1357</v>
      </c>
      <c r="AM666" s="1" t="s">
        <v>1358</v>
      </c>
      <c r="AN666" s="1" t="s">
        <v>1359</v>
      </c>
      <c r="AO666" s="1" t="s">
        <v>13524</v>
      </c>
      <c r="AP666" s="1" t="s">
        <v>13525</v>
      </c>
      <c r="AQ666" s="1" t="s">
        <v>74</v>
      </c>
      <c r="AR666" s="1" t="s">
        <v>13526</v>
      </c>
      <c r="AS666" s="1" t="s">
        <v>13527</v>
      </c>
      <c r="AT666" s="1" t="s">
        <v>1301</v>
      </c>
      <c r="AU666" s="1">
        <v>2025.0</v>
      </c>
      <c r="AV666" s="1">
        <v>42.0</v>
      </c>
      <c r="AW666" s="1">
        <v>2.0</v>
      </c>
      <c r="AX666" s="1" t="s">
        <v>74</v>
      </c>
      <c r="AY666" s="1" t="s">
        <v>74</v>
      </c>
      <c r="AZ666" s="1" t="s">
        <v>74</v>
      </c>
      <c r="BA666" s="1" t="s">
        <v>74</v>
      </c>
      <c r="BB666" s="1">
        <v>579.0</v>
      </c>
      <c r="BC666" s="1">
        <v>599.0</v>
      </c>
      <c r="BD666" s="1" t="s">
        <v>74</v>
      </c>
      <c r="BE666" s="1" t="s">
        <v>13528</v>
      </c>
      <c r="BF666" s="2" t="str">
        <f>HYPERLINK("http://dx.doi.org/10.1002/mar.22137","http://dx.doi.org/10.1002/mar.22137")</f>
        <v>http://dx.doi.org/10.1002/mar.22137</v>
      </c>
      <c r="BG666" s="1" t="s">
        <v>74</v>
      </c>
      <c r="BH666" s="1" t="s">
        <v>2753</v>
      </c>
      <c r="BI666" s="1">
        <v>21.0</v>
      </c>
      <c r="BJ666" s="1" t="s">
        <v>13529</v>
      </c>
      <c r="BK666" s="1" t="s">
        <v>203</v>
      </c>
      <c r="BL666" s="1" t="s">
        <v>8763</v>
      </c>
      <c r="BM666" s="1" t="s">
        <v>13530</v>
      </c>
      <c r="BN666" s="1" t="s">
        <v>74</v>
      </c>
      <c r="BO666" s="1" t="s">
        <v>632</v>
      </c>
      <c r="BP666" s="1" t="s">
        <v>74</v>
      </c>
      <c r="BQ666" s="1" t="s">
        <v>74</v>
      </c>
      <c r="BR666" s="1" t="s">
        <v>102</v>
      </c>
      <c r="BS666" s="1" t="s">
        <v>13531</v>
      </c>
      <c r="BT666" s="1" t="str">
        <f>HYPERLINK("https%3A%2F%2Fwww.webofscience.com%2Fwos%2Fwoscc%2Ffull-record%2FWOS:001329788400001","View Full Record in Web of Science")</f>
        <v>View Full Record in Web of Science</v>
      </c>
    </row>
    <row r="667" ht="12.75" customHeight="1">
      <c r="A667" s="1" t="s">
        <v>72</v>
      </c>
      <c r="B667" s="1" t="s">
        <v>104</v>
      </c>
      <c r="C667" s="1" t="s">
        <v>74</v>
      </c>
      <c r="D667" s="1" t="s">
        <v>362</v>
      </c>
      <c r="E667" s="1" t="s">
        <v>74</v>
      </c>
      <c r="F667" s="1" t="s">
        <v>106</v>
      </c>
      <c r="G667" s="1" t="s">
        <v>74</v>
      </c>
      <c r="H667" s="1" t="s">
        <v>74</v>
      </c>
      <c r="I667" s="1" t="s">
        <v>13532</v>
      </c>
      <c r="J667" s="1" t="s">
        <v>365</v>
      </c>
      <c r="K667" s="1" t="s">
        <v>74</v>
      </c>
      <c r="L667" s="1" t="s">
        <v>74</v>
      </c>
      <c r="M667" s="1" t="s">
        <v>80</v>
      </c>
      <c r="N667" s="1" t="s">
        <v>81</v>
      </c>
      <c r="O667" s="1" t="s">
        <v>366</v>
      </c>
      <c r="P667" s="1" t="s">
        <v>367</v>
      </c>
      <c r="Q667" s="1" t="s">
        <v>368</v>
      </c>
      <c r="R667" s="1" t="s">
        <v>74</v>
      </c>
      <c r="S667" s="1" t="s">
        <v>369</v>
      </c>
      <c r="T667" s="1" t="s">
        <v>13533</v>
      </c>
      <c r="U667" s="1" t="s">
        <v>74</v>
      </c>
      <c r="V667" s="1" t="s">
        <v>13534</v>
      </c>
      <c r="W667" s="1" t="s">
        <v>117</v>
      </c>
      <c r="X667" s="1" t="s">
        <v>118</v>
      </c>
      <c r="Y667" s="1" t="s">
        <v>119</v>
      </c>
      <c r="Z667" s="1" t="s">
        <v>120</v>
      </c>
      <c r="AA667" s="1" t="s">
        <v>121</v>
      </c>
      <c r="AB667" s="1" t="s">
        <v>74</v>
      </c>
      <c r="AC667" s="1" t="s">
        <v>74</v>
      </c>
      <c r="AD667" s="1" t="s">
        <v>74</v>
      </c>
      <c r="AE667" s="1" t="s">
        <v>74</v>
      </c>
      <c r="AF667" s="1" t="s">
        <v>74</v>
      </c>
      <c r="AG667" s="1">
        <v>19.0</v>
      </c>
      <c r="AH667" s="1">
        <v>0.0</v>
      </c>
      <c r="AI667" s="1">
        <v>0.0</v>
      </c>
      <c r="AJ667" s="1">
        <v>3.0</v>
      </c>
      <c r="AK667" s="1">
        <v>19.0</v>
      </c>
      <c r="AL667" s="1" t="s">
        <v>122</v>
      </c>
      <c r="AM667" s="1" t="s">
        <v>123</v>
      </c>
      <c r="AN667" s="1" t="s">
        <v>124</v>
      </c>
      <c r="AO667" s="1" t="s">
        <v>74</v>
      </c>
      <c r="AP667" s="1" t="s">
        <v>74</v>
      </c>
      <c r="AQ667" s="1" t="s">
        <v>376</v>
      </c>
      <c r="AR667" s="1" t="s">
        <v>74</v>
      </c>
      <c r="AS667" s="1" t="s">
        <v>74</v>
      </c>
      <c r="AT667" s="1" t="s">
        <v>74</v>
      </c>
      <c r="AU667" s="1">
        <v>2019.0</v>
      </c>
      <c r="AV667" s="1" t="s">
        <v>74</v>
      </c>
      <c r="AW667" s="1" t="s">
        <v>74</v>
      </c>
      <c r="AX667" s="1" t="s">
        <v>74</v>
      </c>
      <c r="AY667" s="1" t="s">
        <v>74</v>
      </c>
      <c r="AZ667" s="1" t="s">
        <v>74</v>
      </c>
      <c r="BA667" s="1" t="s">
        <v>74</v>
      </c>
      <c r="BB667" s="1">
        <v>304.0</v>
      </c>
      <c r="BC667" s="1">
        <v>311.0</v>
      </c>
      <c r="BD667" s="1" t="s">
        <v>74</v>
      </c>
      <c r="BE667" s="1" t="s">
        <v>13535</v>
      </c>
      <c r="BF667" s="2" t="str">
        <f>HYPERLINK("http://dx.doi.org/10.34190/ECIAIR.19.026","http://dx.doi.org/10.34190/ECIAIR.19.026")</f>
        <v>http://dx.doi.org/10.34190/ECIAIR.19.026</v>
      </c>
      <c r="BG667" s="1" t="s">
        <v>74</v>
      </c>
      <c r="BH667" s="1" t="s">
        <v>74</v>
      </c>
      <c r="BI667" s="1">
        <v>8.0</v>
      </c>
      <c r="BJ667" s="1" t="s">
        <v>127</v>
      </c>
      <c r="BK667" s="1" t="s">
        <v>128</v>
      </c>
      <c r="BL667" s="1" t="s">
        <v>129</v>
      </c>
      <c r="BM667" s="1" t="s">
        <v>378</v>
      </c>
      <c r="BN667" s="1" t="s">
        <v>74</v>
      </c>
      <c r="BO667" s="1" t="s">
        <v>74</v>
      </c>
      <c r="BP667" s="1" t="s">
        <v>74</v>
      </c>
      <c r="BQ667" s="1" t="s">
        <v>74</v>
      </c>
      <c r="BR667" s="1" t="s">
        <v>102</v>
      </c>
      <c r="BS667" s="1" t="s">
        <v>13536</v>
      </c>
      <c r="BT667" s="1" t="str">
        <f>HYPERLINK("https%3A%2F%2Fwww.webofscience.com%2Fwos%2Fwoscc%2Ffull-record%2FWOS:000539633500036","View Full Record in Web of Science")</f>
        <v>View Full Record in Web of Science</v>
      </c>
    </row>
    <row r="668" ht="12.75" customHeight="1">
      <c r="A668" s="1" t="s">
        <v>72</v>
      </c>
      <c r="B668" s="1" t="s">
        <v>13537</v>
      </c>
      <c r="C668" s="1" t="s">
        <v>74</v>
      </c>
      <c r="D668" s="1" t="s">
        <v>74</v>
      </c>
      <c r="E668" s="1" t="s">
        <v>1411</v>
      </c>
      <c r="F668" s="1" t="s">
        <v>13538</v>
      </c>
      <c r="G668" s="1" t="s">
        <v>74</v>
      </c>
      <c r="H668" s="1" t="s">
        <v>74</v>
      </c>
      <c r="I668" s="1" t="s">
        <v>13539</v>
      </c>
      <c r="J668" s="1" t="s">
        <v>13540</v>
      </c>
      <c r="K668" s="1" t="s">
        <v>74</v>
      </c>
      <c r="L668" s="1" t="s">
        <v>74</v>
      </c>
      <c r="M668" s="1" t="s">
        <v>80</v>
      </c>
      <c r="N668" s="1" t="s">
        <v>81</v>
      </c>
      <c r="O668" s="1" t="s">
        <v>13541</v>
      </c>
      <c r="P668" s="1" t="s">
        <v>13542</v>
      </c>
      <c r="Q668" s="1" t="s">
        <v>13543</v>
      </c>
      <c r="R668" s="1" t="s">
        <v>13544</v>
      </c>
      <c r="S668" s="1" t="s">
        <v>74</v>
      </c>
      <c r="T668" s="1" t="s">
        <v>13545</v>
      </c>
      <c r="U668" s="1" t="s">
        <v>74</v>
      </c>
      <c r="V668" s="1" t="s">
        <v>13546</v>
      </c>
      <c r="W668" s="1" t="s">
        <v>13547</v>
      </c>
      <c r="X668" s="1" t="s">
        <v>13548</v>
      </c>
      <c r="Y668" s="1" t="s">
        <v>13549</v>
      </c>
      <c r="Z668" s="1" t="s">
        <v>13550</v>
      </c>
      <c r="AA668" s="1" t="s">
        <v>74</v>
      </c>
      <c r="AB668" s="1" t="s">
        <v>13551</v>
      </c>
      <c r="AC668" s="1" t="s">
        <v>74</v>
      </c>
      <c r="AD668" s="1" t="s">
        <v>74</v>
      </c>
      <c r="AE668" s="1" t="s">
        <v>74</v>
      </c>
      <c r="AF668" s="1" t="s">
        <v>74</v>
      </c>
      <c r="AG668" s="1">
        <v>12.0</v>
      </c>
      <c r="AH668" s="1">
        <v>5.0</v>
      </c>
      <c r="AI668" s="1">
        <v>5.0</v>
      </c>
      <c r="AJ668" s="1">
        <v>3.0</v>
      </c>
      <c r="AK668" s="1">
        <v>17.0</v>
      </c>
      <c r="AL668" s="1" t="s">
        <v>1426</v>
      </c>
      <c r="AM668" s="1" t="s">
        <v>193</v>
      </c>
      <c r="AN668" s="1" t="s">
        <v>1427</v>
      </c>
      <c r="AO668" s="1" t="s">
        <v>74</v>
      </c>
      <c r="AP668" s="1" t="s">
        <v>74</v>
      </c>
      <c r="AQ668" s="1" t="s">
        <v>13552</v>
      </c>
      <c r="AR668" s="1" t="s">
        <v>74</v>
      </c>
      <c r="AS668" s="1" t="s">
        <v>74</v>
      </c>
      <c r="AT668" s="1" t="s">
        <v>74</v>
      </c>
      <c r="AU668" s="1">
        <v>2019.0</v>
      </c>
      <c r="AV668" s="1" t="s">
        <v>74</v>
      </c>
      <c r="AW668" s="1" t="s">
        <v>74</v>
      </c>
      <c r="AX668" s="1" t="s">
        <v>74</v>
      </c>
      <c r="AY668" s="1" t="s">
        <v>74</v>
      </c>
      <c r="AZ668" s="1" t="s">
        <v>74</v>
      </c>
      <c r="BA668" s="1" t="s">
        <v>74</v>
      </c>
      <c r="BB668" s="1">
        <v>28.0</v>
      </c>
      <c r="BC668" s="1">
        <v>32.0</v>
      </c>
      <c r="BD668" s="1" t="s">
        <v>74</v>
      </c>
      <c r="BE668" s="1" t="s">
        <v>13553</v>
      </c>
      <c r="BF668" s="2" t="str">
        <f>HYPERLINK("http://dx.doi.org/10.1145/3311957.3361858","http://dx.doi.org/10.1145/3311957.3361858")</f>
        <v>http://dx.doi.org/10.1145/3311957.3361858</v>
      </c>
      <c r="BG668" s="1" t="s">
        <v>74</v>
      </c>
      <c r="BH668" s="1" t="s">
        <v>74</v>
      </c>
      <c r="BI668" s="1">
        <v>5.0</v>
      </c>
      <c r="BJ668" s="1" t="s">
        <v>2245</v>
      </c>
      <c r="BK668" s="1" t="s">
        <v>128</v>
      </c>
      <c r="BL668" s="1" t="s">
        <v>232</v>
      </c>
      <c r="BM668" s="1" t="s">
        <v>13554</v>
      </c>
      <c r="BN668" s="1" t="s">
        <v>74</v>
      </c>
      <c r="BO668" s="1" t="s">
        <v>74</v>
      </c>
      <c r="BP668" s="1" t="s">
        <v>74</v>
      </c>
      <c r="BQ668" s="1" t="s">
        <v>74</v>
      </c>
      <c r="BR668" s="1" t="s">
        <v>102</v>
      </c>
      <c r="BS668" s="1" t="s">
        <v>13555</v>
      </c>
      <c r="BT668" s="1" t="str">
        <f>HYPERLINK("https%3A%2F%2Fwww.webofscience.com%2Fwos%2Fwoscc%2Ffull-record%2FWOS:000539904100007","View Full Record in Web of Science")</f>
        <v>View Full Record in Web of Science</v>
      </c>
    </row>
    <row r="669" ht="12.75" customHeight="1">
      <c r="A669" s="1" t="s">
        <v>72</v>
      </c>
      <c r="B669" s="1" t="s">
        <v>13556</v>
      </c>
      <c r="C669" s="1" t="s">
        <v>74</v>
      </c>
      <c r="D669" s="1" t="s">
        <v>13557</v>
      </c>
      <c r="E669" s="1" t="s">
        <v>74</v>
      </c>
      <c r="F669" s="1" t="s">
        <v>13558</v>
      </c>
      <c r="G669" s="1" t="s">
        <v>74</v>
      </c>
      <c r="H669" s="1" t="s">
        <v>74</v>
      </c>
      <c r="I669" s="1" t="s">
        <v>13559</v>
      </c>
      <c r="J669" s="1" t="s">
        <v>13560</v>
      </c>
      <c r="K669" s="1" t="s">
        <v>212</v>
      </c>
      <c r="L669" s="1" t="s">
        <v>74</v>
      </c>
      <c r="M669" s="1" t="s">
        <v>80</v>
      </c>
      <c r="N669" s="1" t="s">
        <v>81</v>
      </c>
      <c r="O669" s="1" t="s">
        <v>13561</v>
      </c>
      <c r="P669" s="1" t="s">
        <v>13562</v>
      </c>
      <c r="Q669" s="1" t="s">
        <v>13563</v>
      </c>
      <c r="R669" s="1" t="s">
        <v>13564</v>
      </c>
      <c r="S669" s="1" t="s">
        <v>74</v>
      </c>
      <c r="T669" s="1" t="s">
        <v>13565</v>
      </c>
      <c r="U669" s="1" t="s">
        <v>13566</v>
      </c>
      <c r="V669" s="1" t="s">
        <v>13567</v>
      </c>
      <c r="W669" s="1" t="s">
        <v>13568</v>
      </c>
      <c r="X669" s="1" t="s">
        <v>12333</v>
      </c>
      <c r="Y669" s="1" t="s">
        <v>13569</v>
      </c>
      <c r="Z669" s="1" t="s">
        <v>13570</v>
      </c>
      <c r="AA669" s="1" t="s">
        <v>13571</v>
      </c>
      <c r="AB669" s="1" t="s">
        <v>13572</v>
      </c>
      <c r="AC669" s="1" t="s">
        <v>74</v>
      </c>
      <c r="AD669" s="1" t="s">
        <v>74</v>
      </c>
      <c r="AE669" s="1" t="s">
        <v>74</v>
      </c>
      <c r="AF669" s="1" t="s">
        <v>74</v>
      </c>
      <c r="AG669" s="1">
        <v>22.0</v>
      </c>
      <c r="AH669" s="1">
        <v>0.0</v>
      </c>
      <c r="AI669" s="1">
        <v>0.0</v>
      </c>
      <c r="AJ669" s="1">
        <v>1.0</v>
      </c>
      <c r="AK669" s="1">
        <v>1.0</v>
      </c>
      <c r="AL669" s="1" t="s">
        <v>223</v>
      </c>
      <c r="AM669" s="1" t="s">
        <v>224</v>
      </c>
      <c r="AN669" s="1" t="s">
        <v>225</v>
      </c>
      <c r="AO669" s="1" t="s">
        <v>226</v>
      </c>
      <c r="AP669" s="1" t="s">
        <v>227</v>
      </c>
      <c r="AQ669" s="1" t="s">
        <v>13573</v>
      </c>
      <c r="AR669" s="1" t="s">
        <v>4988</v>
      </c>
      <c r="AS669" s="1" t="s">
        <v>74</v>
      </c>
      <c r="AT669" s="1" t="s">
        <v>74</v>
      </c>
      <c r="AU669" s="1">
        <v>2023.0</v>
      </c>
      <c r="AV669" s="1">
        <v>1452.0</v>
      </c>
      <c r="AW669" s="1" t="s">
        <v>74</v>
      </c>
      <c r="AX669" s="1" t="s">
        <v>74</v>
      </c>
      <c r="AY669" s="1" t="s">
        <v>74</v>
      </c>
      <c r="AZ669" s="1" t="s">
        <v>74</v>
      </c>
      <c r="BA669" s="1" t="s">
        <v>74</v>
      </c>
      <c r="BB669" s="1">
        <v>219.0</v>
      </c>
      <c r="BC669" s="1">
        <v>232.0</v>
      </c>
      <c r="BD669" s="1" t="s">
        <v>74</v>
      </c>
      <c r="BE669" s="1" t="s">
        <v>13574</v>
      </c>
      <c r="BF669" s="2" t="str">
        <f>HYPERLINK("http://dx.doi.org/10.1007/978-3-031-38344-1_21","http://dx.doi.org/10.1007/978-3-031-38344-1_21")</f>
        <v>http://dx.doi.org/10.1007/978-3-031-38344-1_21</v>
      </c>
      <c r="BG669" s="1" t="s">
        <v>74</v>
      </c>
      <c r="BH669" s="1" t="s">
        <v>74</v>
      </c>
      <c r="BI669" s="1">
        <v>14.0</v>
      </c>
      <c r="BJ669" s="1" t="s">
        <v>527</v>
      </c>
      <c r="BK669" s="1" t="s">
        <v>128</v>
      </c>
      <c r="BL669" s="1" t="s">
        <v>232</v>
      </c>
      <c r="BM669" s="1" t="s">
        <v>13575</v>
      </c>
      <c r="BN669" s="1" t="s">
        <v>74</v>
      </c>
      <c r="BO669" s="1" t="s">
        <v>74</v>
      </c>
      <c r="BP669" s="1" t="s">
        <v>74</v>
      </c>
      <c r="BQ669" s="1" t="s">
        <v>74</v>
      </c>
      <c r="BR669" s="1" t="s">
        <v>102</v>
      </c>
      <c r="BS669" s="1" t="s">
        <v>13576</v>
      </c>
      <c r="BT669" s="1" t="str">
        <f>HYPERLINK("https%3A%2F%2Fwww.webofscience.com%2Fwos%2Fwoscc%2Ffull-record%2FWOS:001334574100021","View Full Record in Web of Science")</f>
        <v>View Full Record in Web of Science</v>
      </c>
    </row>
    <row r="670" ht="12.75" customHeight="1">
      <c r="A670" s="1" t="s">
        <v>132</v>
      </c>
      <c r="B670" s="1" t="s">
        <v>13577</v>
      </c>
      <c r="C670" s="1" t="s">
        <v>74</v>
      </c>
      <c r="D670" s="1" t="s">
        <v>74</v>
      </c>
      <c r="E670" s="1" t="s">
        <v>74</v>
      </c>
      <c r="F670" s="1" t="s">
        <v>13578</v>
      </c>
      <c r="G670" s="1" t="s">
        <v>74</v>
      </c>
      <c r="H670" s="1" t="s">
        <v>74</v>
      </c>
      <c r="I670" s="1" t="s">
        <v>13579</v>
      </c>
      <c r="J670" s="1" t="s">
        <v>13580</v>
      </c>
      <c r="K670" s="1" t="s">
        <v>74</v>
      </c>
      <c r="L670" s="1" t="s">
        <v>74</v>
      </c>
      <c r="M670" s="1" t="s">
        <v>80</v>
      </c>
      <c r="N670" s="1" t="s">
        <v>10638</v>
      </c>
      <c r="O670" s="1" t="s">
        <v>74</v>
      </c>
      <c r="P670" s="1" t="s">
        <v>74</v>
      </c>
      <c r="Q670" s="1" t="s">
        <v>74</v>
      </c>
      <c r="R670" s="1" t="s">
        <v>74</v>
      </c>
      <c r="S670" s="1" t="s">
        <v>74</v>
      </c>
      <c r="T670" s="1" t="s">
        <v>13581</v>
      </c>
      <c r="U670" s="1" t="s">
        <v>13582</v>
      </c>
      <c r="V670" s="1" t="s">
        <v>13583</v>
      </c>
      <c r="W670" s="1" t="s">
        <v>13584</v>
      </c>
      <c r="X670" s="1" t="s">
        <v>13585</v>
      </c>
      <c r="Y670" s="1" t="s">
        <v>13586</v>
      </c>
      <c r="Z670" s="1" t="s">
        <v>13587</v>
      </c>
      <c r="AA670" s="1" t="s">
        <v>13588</v>
      </c>
      <c r="AB670" s="1" t="s">
        <v>13589</v>
      </c>
      <c r="AC670" s="1" t="s">
        <v>74</v>
      </c>
      <c r="AD670" s="1" t="s">
        <v>74</v>
      </c>
      <c r="AE670" s="1" t="s">
        <v>74</v>
      </c>
      <c r="AF670" s="1" t="s">
        <v>74</v>
      </c>
      <c r="AG670" s="1">
        <v>307.0</v>
      </c>
      <c r="AH670" s="1">
        <v>0.0</v>
      </c>
      <c r="AI670" s="1">
        <v>0.0</v>
      </c>
      <c r="AJ670" s="1">
        <v>5.0</v>
      </c>
      <c r="AK670" s="1">
        <v>5.0</v>
      </c>
      <c r="AL670" s="1" t="s">
        <v>192</v>
      </c>
      <c r="AM670" s="1" t="s">
        <v>193</v>
      </c>
      <c r="AN670" s="1" t="s">
        <v>194</v>
      </c>
      <c r="AO670" s="1" t="s">
        <v>13590</v>
      </c>
      <c r="AP670" s="1" t="s">
        <v>13591</v>
      </c>
      <c r="AQ670" s="1" t="s">
        <v>74</v>
      </c>
      <c r="AR670" s="1" t="s">
        <v>13592</v>
      </c>
      <c r="AS670" s="1" t="s">
        <v>13593</v>
      </c>
      <c r="AT670" s="1" t="s">
        <v>13594</v>
      </c>
      <c r="AU670" s="1">
        <v>2024.0</v>
      </c>
      <c r="AV670" s="1" t="s">
        <v>74</v>
      </c>
      <c r="AW670" s="1" t="s">
        <v>74</v>
      </c>
      <c r="AX670" s="1" t="s">
        <v>74</v>
      </c>
      <c r="AY670" s="1" t="s">
        <v>74</v>
      </c>
      <c r="AZ670" s="1" t="s">
        <v>74</v>
      </c>
      <c r="BA670" s="1" t="s">
        <v>74</v>
      </c>
      <c r="BB670" s="1" t="s">
        <v>74</v>
      </c>
      <c r="BC670" s="1" t="s">
        <v>74</v>
      </c>
      <c r="BD670" s="1" t="s">
        <v>74</v>
      </c>
      <c r="BE670" s="1" t="s">
        <v>13595</v>
      </c>
      <c r="BF670" s="2" t="str">
        <f>HYPERLINK("http://dx.doi.org/10.1007/s11604-024-01702-4","http://dx.doi.org/10.1007/s11604-024-01702-4")</f>
        <v>http://dx.doi.org/10.1007/s11604-024-01702-4</v>
      </c>
      <c r="BG670" s="1" t="s">
        <v>74</v>
      </c>
      <c r="BH670" s="1" t="s">
        <v>499</v>
      </c>
      <c r="BI670" s="1">
        <v>35.0</v>
      </c>
      <c r="BJ670" s="1" t="s">
        <v>656</v>
      </c>
      <c r="BK670" s="1" t="s">
        <v>149</v>
      </c>
      <c r="BL670" s="1" t="s">
        <v>656</v>
      </c>
      <c r="BM670" s="1" t="s">
        <v>13596</v>
      </c>
      <c r="BN670" s="1">
        <v>3.9538068E7</v>
      </c>
      <c r="BO670" s="1" t="s">
        <v>74</v>
      </c>
      <c r="BP670" s="1" t="s">
        <v>74</v>
      </c>
      <c r="BQ670" s="1" t="s">
        <v>74</v>
      </c>
      <c r="BR670" s="1" t="s">
        <v>102</v>
      </c>
      <c r="BS670" s="1" t="s">
        <v>13597</v>
      </c>
      <c r="BT670" s="1" t="str">
        <f>HYPERLINK("https%3A%2F%2Fwww.webofscience.com%2Fwos%2Fwoscc%2Ffull-record%2FWOS:001353829700001","View Full Record in Web of Science")</f>
        <v>View Full Record in Web of Science</v>
      </c>
    </row>
    <row r="671" ht="12.75" customHeight="1">
      <c r="A671" s="1" t="s">
        <v>132</v>
      </c>
      <c r="B671" s="1" t="s">
        <v>13598</v>
      </c>
      <c r="C671" s="1" t="s">
        <v>74</v>
      </c>
      <c r="D671" s="1" t="s">
        <v>74</v>
      </c>
      <c r="E671" s="1" t="s">
        <v>74</v>
      </c>
      <c r="F671" s="1" t="s">
        <v>13599</v>
      </c>
      <c r="G671" s="1" t="s">
        <v>74</v>
      </c>
      <c r="H671" s="1" t="s">
        <v>74</v>
      </c>
      <c r="I671" s="1" t="s">
        <v>13600</v>
      </c>
      <c r="J671" s="1" t="s">
        <v>13601</v>
      </c>
      <c r="K671" s="1" t="s">
        <v>74</v>
      </c>
      <c r="L671" s="1" t="s">
        <v>74</v>
      </c>
      <c r="M671" s="1" t="s">
        <v>80</v>
      </c>
      <c r="N671" s="1" t="s">
        <v>338</v>
      </c>
      <c r="O671" s="1" t="s">
        <v>74</v>
      </c>
      <c r="P671" s="1" t="s">
        <v>74</v>
      </c>
      <c r="Q671" s="1" t="s">
        <v>74</v>
      </c>
      <c r="R671" s="1" t="s">
        <v>74</v>
      </c>
      <c r="S671" s="1" t="s">
        <v>74</v>
      </c>
      <c r="T671" s="1" t="s">
        <v>13602</v>
      </c>
      <c r="U671" s="1" t="s">
        <v>2084</v>
      </c>
      <c r="V671" s="1" t="s">
        <v>13603</v>
      </c>
      <c r="W671" s="1" t="s">
        <v>13604</v>
      </c>
      <c r="X671" s="1" t="s">
        <v>13605</v>
      </c>
      <c r="Y671" s="1" t="s">
        <v>13606</v>
      </c>
      <c r="Z671" s="1" t="s">
        <v>13607</v>
      </c>
      <c r="AA671" s="1" t="s">
        <v>74</v>
      </c>
      <c r="AB671" s="1" t="s">
        <v>74</v>
      </c>
      <c r="AC671" s="1" t="s">
        <v>74</v>
      </c>
      <c r="AD671" s="1" t="s">
        <v>74</v>
      </c>
      <c r="AE671" s="1" t="s">
        <v>74</v>
      </c>
      <c r="AF671" s="1" t="s">
        <v>74</v>
      </c>
      <c r="AG671" s="1">
        <v>16.0</v>
      </c>
      <c r="AH671" s="1">
        <v>1.0</v>
      </c>
      <c r="AI671" s="1">
        <v>1.0</v>
      </c>
      <c r="AJ671" s="1">
        <v>19.0</v>
      </c>
      <c r="AK671" s="1">
        <v>83.0</v>
      </c>
      <c r="AL671" s="1" t="s">
        <v>192</v>
      </c>
      <c r="AM671" s="1" t="s">
        <v>193</v>
      </c>
      <c r="AN671" s="1" t="s">
        <v>194</v>
      </c>
      <c r="AO671" s="1" t="s">
        <v>13608</v>
      </c>
      <c r="AP671" s="1" t="s">
        <v>13609</v>
      </c>
      <c r="AQ671" s="1" t="s">
        <v>74</v>
      </c>
      <c r="AR671" s="1" t="s">
        <v>13610</v>
      </c>
      <c r="AS671" s="1" t="s">
        <v>13611</v>
      </c>
      <c r="AT671" s="1" t="s">
        <v>13612</v>
      </c>
      <c r="AU671" s="1">
        <v>2023.0</v>
      </c>
      <c r="AV671" s="1" t="s">
        <v>74</v>
      </c>
      <c r="AW671" s="1" t="s">
        <v>74</v>
      </c>
      <c r="AX671" s="1" t="s">
        <v>74</v>
      </c>
      <c r="AY671" s="1" t="s">
        <v>74</v>
      </c>
      <c r="AZ671" s="1" t="s">
        <v>74</v>
      </c>
      <c r="BA671" s="1" t="s">
        <v>74</v>
      </c>
      <c r="BB671" s="1" t="s">
        <v>74</v>
      </c>
      <c r="BC671" s="1" t="s">
        <v>74</v>
      </c>
      <c r="BD671" s="1" t="s">
        <v>74</v>
      </c>
      <c r="BE671" s="1" t="s">
        <v>13613</v>
      </c>
      <c r="BF671" s="2" t="str">
        <f>HYPERLINK("http://dx.doi.org/10.1007/s00500-023-08796-4","http://dx.doi.org/10.1007/s00500-023-08796-4")</f>
        <v>http://dx.doi.org/10.1007/s00500-023-08796-4</v>
      </c>
      <c r="BG671" s="1" t="s">
        <v>74</v>
      </c>
      <c r="BH671" s="1" t="s">
        <v>4124</v>
      </c>
      <c r="BI671" s="1">
        <v>13.0</v>
      </c>
      <c r="BJ671" s="1" t="s">
        <v>257</v>
      </c>
      <c r="BK671" s="1" t="s">
        <v>149</v>
      </c>
      <c r="BL671" s="1" t="s">
        <v>232</v>
      </c>
      <c r="BM671" s="1" t="s">
        <v>13614</v>
      </c>
      <c r="BN671" s="1" t="s">
        <v>74</v>
      </c>
      <c r="BO671" s="1" t="s">
        <v>74</v>
      </c>
      <c r="BP671" s="1" t="s">
        <v>74</v>
      </c>
      <c r="BQ671" s="1" t="s">
        <v>74</v>
      </c>
      <c r="BR671" s="1" t="s">
        <v>102</v>
      </c>
      <c r="BS671" s="1" t="s">
        <v>13615</v>
      </c>
      <c r="BT671" s="1" t="str">
        <f>HYPERLINK("https%3A%2F%2Fwww.webofscience.com%2Fwos%2Fwoscc%2Ffull-record%2FWOS:001016427800009","View Full Record in Web of Science")</f>
        <v>View Full Record in Web of Science</v>
      </c>
    </row>
    <row r="672" ht="12.75" customHeight="1">
      <c r="A672" s="1" t="s">
        <v>132</v>
      </c>
      <c r="B672" s="1" t="s">
        <v>13616</v>
      </c>
      <c r="C672" s="1" t="s">
        <v>74</v>
      </c>
      <c r="D672" s="1" t="s">
        <v>74</v>
      </c>
      <c r="E672" s="1" t="s">
        <v>74</v>
      </c>
      <c r="F672" s="1" t="s">
        <v>13617</v>
      </c>
      <c r="G672" s="1" t="s">
        <v>74</v>
      </c>
      <c r="H672" s="1" t="s">
        <v>74</v>
      </c>
      <c r="I672" s="1" t="s">
        <v>13618</v>
      </c>
      <c r="J672" s="1" t="s">
        <v>13619</v>
      </c>
      <c r="K672" s="1" t="s">
        <v>74</v>
      </c>
      <c r="L672" s="1" t="s">
        <v>74</v>
      </c>
      <c r="M672" s="1" t="s">
        <v>80</v>
      </c>
      <c r="N672" s="1" t="s">
        <v>1563</v>
      </c>
      <c r="O672" s="1" t="s">
        <v>74</v>
      </c>
      <c r="P672" s="1" t="s">
        <v>74</v>
      </c>
      <c r="Q672" s="1" t="s">
        <v>74</v>
      </c>
      <c r="R672" s="1" t="s">
        <v>74</v>
      </c>
      <c r="S672" s="1" t="s">
        <v>74</v>
      </c>
      <c r="T672" s="1" t="s">
        <v>13620</v>
      </c>
      <c r="U672" s="1" t="s">
        <v>74</v>
      </c>
      <c r="V672" s="1" t="s">
        <v>13621</v>
      </c>
      <c r="W672" s="1" t="s">
        <v>13622</v>
      </c>
      <c r="X672" s="1" t="s">
        <v>13623</v>
      </c>
      <c r="Y672" s="1" t="s">
        <v>13624</v>
      </c>
      <c r="Z672" s="1" t="s">
        <v>13625</v>
      </c>
      <c r="AA672" s="1" t="s">
        <v>13626</v>
      </c>
      <c r="AB672" s="1" t="s">
        <v>13627</v>
      </c>
      <c r="AC672" s="1" t="s">
        <v>74</v>
      </c>
      <c r="AD672" s="1" t="s">
        <v>74</v>
      </c>
      <c r="AE672" s="1" t="s">
        <v>74</v>
      </c>
      <c r="AF672" s="1" t="s">
        <v>74</v>
      </c>
      <c r="AG672" s="1">
        <v>6.0</v>
      </c>
      <c r="AH672" s="1">
        <v>0.0</v>
      </c>
      <c r="AI672" s="1">
        <v>0.0</v>
      </c>
      <c r="AJ672" s="1">
        <v>0.0</v>
      </c>
      <c r="AK672" s="1">
        <v>1.0</v>
      </c>
      <c r="AL672" s="1" t="s">
        <v>13628</v>
      </c>
      <c r="AM672" s="1" t="s">
        <v>13629</v>
      </c>
      <c r="AN672" s="1" t="s">
        <v>13630</v>
      </c>
      <c r="AO672" s="1" t="s">
        <v>74</v>
      </c>
      <c r="AP672" s="1" t="s">
        <v>13631</v>
      </c>
      <c r="AQ672" s="1" t="s">
        <v>74</v>
      </c>
      <c r="AR672" s="1" t="s">
        <v>13632</v>
      </c>
      <c r="AS672" s="1" t="s">
        <v>13633</v>
      </c>
      <c r="AT672" s="1" t="s">
        <v>74</v>
      </c>
      <c r="AU672" s="1">
        <v>2022.0</v>
      </c>
      <c r="AV672" s="1">
        <v>11.0</v>
      </c>
      <c r="AW672" s="1">
        <v>3.0</v>
      </c>
      <c r="AX672" s="1" t="s">
        <v>74</v>
      </c>
      <c r="AY672" s="1" t="s">
        <v>74</v>
      </c>
      <c r="AZ672" s="1" t="s">
        <v>74</v>
      </c>
      <c r="BA672" s="1" t="s">
        <v>74</v>
      </c>
      <c r="BB672" s="1">
        <v>290.0</v>
      </c>
      <c r="BC672" s="1">
        <v>292.0</v>
      </c>
      <c r="BD672" s="1" t="s">
        <v>74</v>
      </c>
      <c r="BE672" s="1" t="s">
        <v>13634</v>
      </c>
      <c r="BF672" s="2" t="str">
        <f>HYPERLINK("http://dx.doi.org/10.18267/j.aip.203","http://dx.doi.org/10.18267/j.aip.203")</f>
        <v>http://dx.doi.org/10.18267/j.aip.203</v>
      </c>
      <c r="BG672" s="1" t="s">
        <v>74</v>
      </c>
      <c r="BH672" s="1" t="s">
        <v>74</v>
      </c>
      <c r="BI672" s="1">
        <v>3.0</v>
      </c>
      <c r="BJ672" s="1" t="s">
        <v>13635</v>
      </c>
      <c r="BK672" s="1" t="s">
        <v>172</v>
      </c>
      <c r="BL672" s="1" t="s">
        <v>4526</v>
      </c>
      <c r="BM672" s="1" t="s">
        <v>13636</v>
      </c>
      <c r="BN672" s="1" t="s">
        <v>74</v>
      </c>
      <c r="BO672" s="1" t="s">
        <v>174</v>
      </c>
      <c r="BP672" s="1" t="s">
        <v>74</v>
      </c>
      <c r="BQ672" s="1" t="s">
        <v>74</v>
      </c>
      <c r="BR672" s="1" t="s">
        <v>102</v>
      </c>
      <c r="BS672" s="1" t="s">
        <v>13637</v>
      </c>
      <c r="BT672" s="1" t="str">
        <f>HYPERLINK("https%3A%2F%2Fwww.webofscience.com%2Fwos%2Fwoscc%2Ffull-record%2FWOS:001105633500001","View Full Record in Web of Science")</f>
        <v>View Full Record in Web of Science</v>
      </c>
    </row>
    <row r="673" ht="12.75" customHeight="1">
      <c r="A673" s="1" t="s">
        <v>132</v>
      </c>
      <c r="B673" s="1" t="s">
        <v>13638</v>
      </c>
      <c r="C673" s="1" t="s">
        <v>74</v>
      </c>
      <c r="D673" s="1" t="s">
        <v>74</v>
      </c>
      <c r="E673" s="1" t="s">
        <v>74</v>
      </c>
      <c r="F673" s="1" t="s">
        <v>13639</v>
      </c>
      <c r="G673" s="1" t="s">
        <v>74</v>
      </c>
      <c r="H673" s="1" t="s">
        <v>74</v>
      </c>
      <c r="I673" s="1" t="s">
        <v>13640</v>
      </c>
      <c r="J673" s="1" t="s">
        <v>13641</v>
      </c>
      <c r="K673" s="1" t="s">
        <v>74</v>
      </c>
      <c r="L673" s="1" t="s">
        <v>74</v>
      </c>
      <c r="M673" s="1" t="s">
        <v>80</v>
      </c>
      <c r="N673" s="1" t="s">
        <v>136</v>
      </c>
      <c r="O673" s="1" t="s">
        <v>74</v>
      </c>
      <c r="P673" s="1" t="s">
        <v>74</v>
      </c>
      <c r="Q673" s="1" t="s">
        <v>74</v>
      </c>
      <c r="R673" s="1" t="s">
        <v>74</v>
      </c>
      <c r="S673" s="1" t="s">
        <v>74</v>
      </c>
      <c r="T673" s="1" t="s">
        <v>13642</v>
      </c>
      <c r="U673" s="1" t="s">
        <v>74</v>
      </c>
      <c r="V673" s="1" t="s">
        <v>13643</v>
      </c>
      <c r="W673" s="1" t="s">
        <v>13644</v>
      </c>
      <c r="X673" s="1" t="s">
        <v>13645</v>
      </c>
      <c r="Y673" s="1" t="s">
        <v>13646</v>
      </c>
      <c r="Z673" s="1" t="s">
        <v>13647</v>
      </c>
      <c r="AA673" s="1" t="s">
        <v>13648</v>
      </c>
      <c r="AB673" s="1" t="s">
        <v>13649</v>
      </c>
      <c r="AC673" s="1" t="s">
        <v>13650</v>
      </c>
      <c r="AD673" s="1" t="s">
        <v>13650</v>
      </c>
      <c r="AE673" s="1" t="s">
        <v>13651</v>
      </c>
      <c r="AF673" s="1" t="s">
        <v>74</v>
      </c>
      <c r="AG673" s="1">
        <v>39.0</v>
      </c>
      <c r="AH673" s="1">
        <v>6.0</v>
      </c>
      <c r="AI673" s="1">
        <v>6.0</v>
      </c>
      <c r="AJ673" s="1">
        <v>8.0</v>
      </c>
      <c r="AK673" s="1">
        <v>14.0</v>
      </c>
      <c r="AL673" s="1" t="s">
        <v>2745</v>
      </c>
      <c r="AM673" s="1" t="s">
        <v>2746</v>
      </c>
      <c r="AN673" s="1" t="s">
        <v>2747</v>
      </c>
      <c r="AO673" s="1" t="s">
        <v>13652</v>
      </c>
      <c r="AP673" s="1" t="s">
        <v>74</v>
      </c>
      <c r="AQ673" s="1" t="s">
        <v>74</v>
      </c>
      <c r="AR673" s="1" t="s">
        <v>13653</v>
      </c>
      <c r="AS673" s="1" t="s">
        <v>13654</v>
      </c>
      <c r="AT673" s="1" t="s">
        <v>328</v>
      </c>
      <c r="AU673" s="1">
        <v>2024.0</v>
      </c>
      <c r="AV673" s="1">
        <v>11.0</v>
      </c>
      <c r="AW673" s="1" t="s">
        <v>74</v>
      </c>
      <c r="AX673" s="1" t="s">
        <v>74</v>
      </c>
      <c r="AY673" s="1" t="s">
        <v>74</v>
      </c>
      <c r="AZ673" s="1" t="s">
        <v>74</v>
      </c>
      <c r="BA673" s="1" t="s">
        <v>74</v>
      </c>
      <c r="BB673" s="1" t="s">
        <v>74</v>
      </c>
      <c r="BC673" s="1" t="s">
        <v>74</v>
      </c>
      <c r="BD673" s="1">
        <v>100151.0</v>
      </c>
      <c r="BE673" s="1" t="s">
        <v>13655</v>
      </c>
      <c r="BF673" s="2" t="str">
        <f>HYPERLINK("http://dx.doi.org/10.1016/j.dche.2024.100151","http://dx.doi.org/10.1016/j.dche.2024.100151")</f>
        <v>http://dx.doi.org/10.1016/j.dche.2024.100151</v>
      </c>
      <c r="BG673" s="1" t="s">
        <v>74</v>
      </c>
      <c r="BH673" s="1" t="s">
        <v>580</v>
      </c>
      <c r="BI673" s="1">
        <v>10.0</v>
      </c>
      <c r="BJ673" s="1" t="s">
        <v>13656</v>
      </c>
      <c r="BK673" s="1" t="s">
        <v>172</v>
      </c>
      <c r="BL673" s="1" t="s">
        <v>3052</v>
      </c>
      <c r="BM673" s="1" t="s">
        <v>13657</v>
      </c>
      <c r="BN673" s="1" t="s">
        <v>74</v>
      </c>
      <c r="BO673" s="1" t="s">
        <v>174</v>
      </c>
      <c r="BP673" s="1" t="s">
        <v>74</v>
      </c>
      <c r="BQ673" s="1" t="s">
        <v>74</v>
      </c>
      <c r="BR673" s="1" t="s">
        <v>102</v>
      </c>
      <c r="BS673" s="1" t="s">
        <v>13658</v>
      </c>
      <c r="BT673" s="1" t="str">
        <f>HYPERLINK("https%3A%2F%2Fwww.webofscience.com%2Fwos%2Fwoscc%2Ffull-record%2FWOS:001229659900001","View Full Record in Web of Science")</f>
        <v>View Full Record in Web of Science</v>
      </c>
    </row>
    <row r="674" ht="12.75" customHeight="1">
      <c r="A674" s="1" t="s">
        <v>132</v>
      </c>
      <c r="B674" s="1" t="s">
        <v>13659</v>
      </c>
      <c r="C674" s="1" t="s">
        <v>74</v>
      </c>
      <c r="D674" s="1" t="s">
        <v>74</v>
      </c>
      <c r="E674" s="1" t="s">
        <v>74</v>
      </c>
      <c r="F674" s="1" t="s">
        <v>13660</v>
      </c>
      <c r="G674" s="1" t="s">
        <v>74</v>
      </c>
      <c r="H674" s="1" t="s">
        <v>74</v>
      </c>
      <c r="I674" s="1" t="s">
        <v>13661</v>
      </c>
      <c r="J674" s="1" t="s">
        <v>9613</v>
      </c>
      <c r="K674" s="1" t="s">
        <v>74</v>
      </c>
      <c r="L674" s="1" t="s">
        <v>74</v>
      </c>
      <c r="M674" s="1" t="s">
        <v>80</v>
      </c>
      <c r="N674" s="1" t="s">
        <v>136</v>
      </c>
      <c r="O674" s="1" t="s">
        <v>74</v>
      </c>
      <c r="P674" s="1" t="s">
        <v>74</v>
      </c>
      <c r="Q674" s="1" t="s">
        <v>74</v>
      </c>
      <c r="R674" s="1" t="s">
        <v>74</v>
      </c>
      <c r="S674" s="1" t="s">
        <v>74</v>
      </c>
      <c r="T674" s="1" t="s">
        <v>13662</v>
      </c>
      <c r="U674" s="1" t="s">
        <v>74</v>
      </c>
      <c r="V674" s="1" t="s">
        <v>13663</v>
      </c>
      <c r="W674" s="1" t="s">
        <v>13664</v>
      </c>
      <c r="X674" s="1" t="s">
        <v>13665</v>
      </c>
      <c r="Y674" s="1" t="s">
        <v>13666</v>
      </c>
      <c r="Z674" s="1" t="s">
        <v>13667</v>
      </c>
      <c r="AA674" s="1" t="s">
        <v>13668</v>
      </c>
      <c r="AB674" s="1" t="s">
        <v>74</v>
      </c>
      <c r="AC674" s="1" t="s">
        <v>13669</v>
      </c>
      <c r="AD674" s="1" t="s">
        <v>13670</v>
      </c>
      <c r="AE674" s="1" t="s">
        <v>13671</v>
      </c>
      <c r="AF674" s="1" t="s">
        <v>74</v>
      </c>
      <c r="AG674" s="1">
        <v>99.0</v>
      </c>
      <c r="AH674" s="1">
        <v>15.0</v>
      </c>
      <c r="AI674" s="1">
        <v>16.0</v>
      </c>
      <c r="AJ674" s="1">
        <v>24.0</v>
      </c>
      <c r="AK674" s="1">
        <v>100.0</v>
      </c>
      <c r="AL674" s="1" t="s">
        <v>9622</v>
      </c>
      <c r="AM674" s="1" t="s">
        <v>4584</v>
      </c>
      <c r="AN674" s="1" t="s">
        <v>9623</v>
      </c>
      <c r="AO674" s="1" t="s">
        <v>74</v>
      </c>
      <c r="AP674" s="1" t="s">
        <v>9624</v>
      </c>
      <c r="AQ674" s="1" t="s">
        <v>74</v>
      </c>
      <c r="AR674" s="1" t="s">
        <v>9613</v>
      </c>
      <c r="AS674" s="1" t="s">
        <v>9625</v>
      </c>
      <c r="AT674" s="1" t="s">
        <v>1301</v>
      </c>
      <c r="AU674" s="1">
        <v>2022.0</v>
      </c>
      <c r="AV674" s="1">
        <v>8.0</v>
      </c>
      <c r="AW674" s="1">
        <v>2.0</v>
      </c>
      <c r="AX674" s="1" t="s">
        <v>74</v>
      </c>
      <c r="AY674" s="1" t="s">
        <v>74</v>
      </c>
      <c r="AZ674" s="1" t="s">
        <v>74</v>
      </c>
      <c r="BA674" s="1" t="s">
        <v>74</v>
      </c>
      <c r="BB674" s="1" t="s">
        <v>74</v>
      </c>
      <c r="BC674" s="1" t="s">
        <v>74</v>
      </c>
      <c r="BD674" s="1" t="s">
        <v>13672</v>
      </c>
      <c r="BE674" s="1" t="s">
        <v>13673</v>
      </c>
      <c r="BF674" s="2" t="str">
        <f>HYPERLINK("http://dx.doi.org/10.1016/j.heliyon.2022.e08946","http://dx.doi.org/10.1016/j.heliyon.2022.e08946")</f>
        <v>http://dx.doi.org/10.1016/j.heliyon.2022.e08946</v>
      </c>
      <c r="BG674" s="1" t="s">
        <v>74</v>
      </c>
      <c r="BH674" s="1" t="s">
        <v>13674</v>
      </c>
      <c r="BI674" s="1">
        <v>9.0</v>
      </c>
      <c r="BJ674" s="1" t="s">
        <v>4714</v>
      </c>
      <c r="BK674" s="1" t="s">
        <v>149</v>
      </c>
      <c r="BL674" s="1" t="s">
        <v>4715</v>
      </c>
      <c r="BM674" s="1" t="s">
        <v>13675</v>
      </c>
      <c r="BN674" s="1">
        <v>3.5243068E7</v>
      </c>
      <c r="BO674" s="1" t="s">
        <v>1997</v>
      </c>
      <c r="BP674" s="1" t="s">
        <v>74</v>
      </c>
      <c r="BQ674" s="1" t="s">
        <v>74</v>
      </c>
      <c r="BR674" s="1" t="s">
        <v>102</v>
      </c>
      <c r="BS674" s="1" t="s">
        <v>13676</v>
      </c>
      <c r="BT674" s="1" t="str">
        <f>HYPERLINK("https%3A%2F%2Fwww.webofscience.com%2Fwos%2Fwoscc%2Ffull-record%2FWOS:000767225100111","View Full Record in Web of Science")</f>
        <v>View Full Record in Web of Science</v>
      </c>
    </row>
    <row r="675" ht="12.75" customHeight="1">
      <c r="A675" s="1" t="s">
        <v>132</v>
      </c>
      <c r="B675" s="1" t="s">
        <v>13677</v>
      </c>
      <c r="C675" s="1" t="s">
        <v>74</v>
      </c>
      <c r="D675" s="1" t="s">
        <v>74</v>
      </c>
      <c r="E675" s="1" t="s">
        <v>74</v>
      </c>
      <c r="F675" s="1" t="s">
        <v>13678</v>
      </c>
      <c r="G675" s="1" t="s">
        <v>74</v>
      </c>
      <c r="H675" s="1" t="s">
        <v>74</v>
      </c>
      <c r="I675" s="1" t="s">
        <v>13679</v>
      </c>
      <c r="J675" s="1" t="s">
        <v>13680</v>
      </c>
      <c r="K675" s="1" t="s">
        <v>74</v>
      </c>
      <c r="L675" s="1" t="s">
        <v>74</v>
      </c>
      <c r="M675" s="1" t="s">
        <v>80</v>
      </c>
      <c r="N675" s="1" t="s">
        <v>136</v>
      </c>
      <c r="O675" s="1" t="s">
        <v>74</v>
      </c>
      <c r="P675" s="1" t="s">
        <v>74</v>
      </c>
      <c r="Q675" s="1" t="s">
        <v>74</v>
      </c>
      <c r="R675" s="1" t="s">
        <v>74</v>
      </c>
      <c r="S675" s="1" t="s">
        <v>74</v>
      </c>
      <c r="T675" s="1" t="s">
        <v>13681</v>
      </c>
      <c r="U675" s="1" t="s">
        <v>13682</v>
      </c>
      <c r="V675" s="1" t="s">
        <v>13683</v>
      </c>
      <c r="W675" s="1" t="s">
        <v>13684</v>
      </c>
      <c r="X675" s="1" t="s">
        <v>13685</v>
      </c>
      <c r="Y675" s="1" t="s">
        <v>13686</v>
      </c>
      <c r="Z675" s="1" t="s">
        <v>13687</v>
      </c>
      <c r="AA675" s="1" t="s">
        <v>13688</v>
      </c>
      <c r="AB675" s="1" t="s">
        <v>74</v>
      </c>
      <c r="AC675" s="1" t="s">
        <v>13689</v>
      </c>
      <c r="AD675" s="1" t="s">
        <v>13690</v>
      </c>
      <c r="AE675" s="1" t="s">
        <v>13691</v>
      </c>
      <c r="AF675" s="1" t="s">
        <v>74</v>
      </c>
      <c r="AG675" s="1">
        <v>26.0</v>
      </c>
      <c r="AH675" s="1">
        <v>508.0</v>
      </c>
      <c r="AI675" s="1">
        <v>553.0</v>
      </c>
      <c r="AJ675" s="1">
        <v>293.0</v>
      </c>
      <c r="AK675" s="1">
        <v>1555.0</v>
      </c>
      <c r="AL675" s="1" t="s">
        <v>13692</v>
      </c>
      <c r="AM675" s="1" t="s">
        <v>13693</v>
      </c>
      <c r="AN675" s="1" t="s">
        <v>13694</v>
      </c>
      <c r="AO675" s="1" t="s">
        <v>13695</v>
      </c>
      <c r="AP675" s="1" t="s">
        <v>13696</v>
      </c>
      <c r="AQ675" s="1" t="s">
        <v>74</v>
      </c>
      <c r="AR675" s="1" t="s">
        <v>13697</v>
      </c>
      <c r="AS675" s="1" t="s">
        <v>13698</v>
      </c>
      <c r="AT675" s="1" t="s">
        <v>654</v>
      </c>
      <c r="AU675" s="1">
        <v>2019.0</v>
      </c>
      <c r="AV675" s="1">
        <v>38.0</v>
      </c>
      <c r="AW675" s="1">
        <v>6.0</v>
      </c>
      <c r="AX675" s="1" t="s">
        <v>74</v>
      </c>
      <c r="AY675" s="1" t="s">
        <v>74</v>
      </c>
      <c r="AZ675" s="1" t="s">
        <v>74</v>
      </c>
      <c r="BA675" s="1" t="s">
        <v>74</v>
      </c>
      <c r="BB675" s="1">
        <v>937.0</v>
      </c>
      <c r="BC675" s="1">
        <v>947.0</v>
      </c>
      <c r="BD675" s="1" t="s">
        <v>74</v>
      </c>
      <c r="BE675" s="1" t="s">
        <v>13699</v>
      </c>
      <c r="BF675" s="2" t="str">
        <f>HYPERLINK("http://dx.doi.org/10.1287/mksc.2019.1192","http://dx.doi.org/10.1287/mksc.2019.1192")</f>
        <v>http://dx.doi.org/10.1287/mksc.2019.1192</v>
      </c>
      <c r="BG675" s="1" t="s">
        <v>74</v>
      </c>
      <c r="BH675" s="1" t="s">
        <v>74</v>
      </c>
      <c r="BI675" s="1">
        <v>11.0</v>
      </c>
      <c r="BJ675" s="1" t="s">
        <v>2040</v>
      </c>
      <c r="BK675" s="1" t="s">
        <v>203</v>
      </c>
      <c r="BL675" s="1" t="s">
        <v>204</v>
      </c>
      <c r="BM675" s="1" t="s">
        <v>13700</v>
      </c>
      <c r="BN675" s="1" t="s">
        <v>74</v>
      </c>
      <c r="BO675" s="1" t="s">
        <v>632</v>
      </c>
      <c r="BP675" s="1" t="s">
        <v>74</v>
      </c>
      <c r="BQ675" s="1" t="s">
        <v>74</v>
      </c>
      <c r="BR675" s="1" t="s">
        <v>102</v>
      </c>
      <c r="BS675" s="1" t="s">
        <v>13701</v>
      </c>
      <c r="BT675" s="1" t="str">
        <f>HYPERLINK("https%3A%2F%2Fwww.webofscience.com%2Fwos%2Fwoscc%2Ffull-record%2FWOS:000501598400004","View Full Record in Web of Science")</f>
        <v>View Full Record in Web of Science</v>
      </c>
    </row>
    <row r="676" ht="12.75" customHeight="1">
      <c r="A676" s="1" t="s">
        <v>132</v>
      </c>
      <c r="B676" s="1" t="s">
        <v>13702</v>
      </c>
      <c r="C676" s="1" t="s">
        <v>74</v>
      </c>
      <c r="D676" s="1" t="s">
        <v>74</v>
      </c>
      <c r="E676" s="1" t="s">
        <v>74</v>
      </c>
      <c r="F676" s="1" t="s">
        <v>13703</v>
      </c>
      <c r="G676" s="1" t="s">
        <v>74</v>
      </c>
      <c r="H676" s="1" t="s">
        <v>74</v>
      </c>
      <c r="I676" s="1" t="s">
        <v>13704</v>
      </c>
      <c r="J676" s="1" t="s">
        <v>13705</v>
      </c>
      <c r="K676" s="1" t="s">
        <v>74</v>
      </c>
      <c r="L676" s="1" t="s">
        <v>74</v>
      </c>
      <c r="M676" s="1" t="s">
        <v>80</v>
      </c>
      <c r="N676" s="1" t="s">
        <v>1010</v>
      </c>
      <c r="O676" s="1" t="s">
        <v>74</v>
      </c>
      <c r="P676" s="1" t="s">
        <v>74</v>
      </c>
      <c r="Q676" s="1" t="s">
        <v>74</v>
      </c>
      <c r="R676" s="1" t="s">
        <v>74</v>
      </c>
      <c r="S676" s="1" t="s">
        <v>74</v>
      </c>
      <c r="T676" s="1" t="s">
        <v>13706</v>
      </c>
      <c r="U676" s="1" t="s">
        <v>13707</v>
      </c>
      <c r="V676" s="1" t="s">
        <v>13708</v>
      </c>
      <c r="W676" s="1" t="s">
        <v>13709</v>
      </c>
      <c r="X676" s="1" t="s">
        <v>13710</v>
      </c>
      <c r="Y676" s="1" t="s">
        <v>13711</v>
      </c>
      <c r="Z676" s="1" t="s">
        <v>13712</v>
      </c>
      <c r="AA676" s="1" t="s">
        <v>13713</v>
      </c>
      <c r="AB676" s="1" t="s">
        <v>13714</v>
      </c>
      <c r="AC676" s="1" t="s">
        <v>13715</v>
      </c>
      <c r="AD676" s="1" t="s">
        <v>13716</v>
      </c>
      <c r="AE676" s="1" t="s">
        <v>13717</v>
      </c>
      <c r="AF676" s="1" t="s">
        <v>74</v>
      </c>
      <c r="AG676" s="1">
        <v>89.0</v>
      </c>
      <c r="AH676" s="1">
        <v>60.0</v>
      </c>
      <c r="AI676" s="1">
        <v>60.0</v>
      </c>
      <c r="AJ676" s="1">
        <v>5.0</v>
      </c>
      <c r="AK676" s="1">
        <v>47.0</v>
      </c>
      <c r="AL676" s="1" t="s">
        <v>1357</v>
      </c>
      <c r="AM676" s="1" t="s">
        <v>1358</v>
      </c>
      <c r="AN676" s="1" t="s">
        <v>1359</v>
      </c>
      <c r="AO676" s="1" t="s">
        <v>13718</v>
      </c>
      <c r="AP676" s="1" t="s">
        <v>74</v>
      </c>
      <c r="AQ676" s="1" t="s">
        <v>74</v>
      </c>
      <c r="AR676" s="1" t="s">
        <v>13719</v>
      </c>
      <c r="AS676" s="1" t="s">
        <v>13720</v>
      </c>
      <c r="AT676" s="1" t="s">
        <v>328</v>
      </c>
      <c r="AU676" s="1">
        <v>2021.0</v>
      </c>
      <c r="AV676" s="1">
        <v>10.0</v>
      </c>
      <c r="AW676" s="1">
        <v>12.0</v>
      </c>
      <c r="AX676" s="1" t="s">
        <v>74</v>
      </c>
      <c r="AY676" s="1" t="s">
        <v>74</v>
      </c>
      <c r="AZ676" s="1" t="s">
        <v>74</v>
      </c>
      <c r="BA676" s="1" t="s">
        <v>74</v>
      </c>
      <c r="BB676" s="1">
        <v>4138.0</v>
      </c>
      <c r="BC676" s="1">
        <v>4149.0</v>
      </c>
      <c r="BD676" s="1" t="s">
        <v>74</v>
      </c>
      <c r="BE676" s="1" t="s">
        <v>13721</v>
      </c>
      <c r="BF676" s="2" t="str">
        <f>HYPERLINK("http://dx.doi.org/10.1002/cam4.3935","http://dx.doi.org/10.1002/cam4.3935")</f>
        <v>http://dx.doi.org/10.1002/cam4.3935</v>
      </c>
      <c r="BG676" s="1" t="s">
        <v>74</v>
      </c>
      <c r="BH676" s="1" t="s">
        <v>4307</v>
      </c>
      <c r="BI676" s="1">
        <v>12.0</v>
      </c>
      <c r="BJ676" s="1" t="s">
        <v>1904</v>
      </c>
      <c r="BK676" s="1" t="s">
        <v>149</v>
      </c>
      <c r="BL676" s="1" t="s">
        <v>1904</v>
      </c>
      <c r="BM676" s="1" t="s">
        <v>13722</v>
      </c>
      <c r="BN676" s="1">
        <v>3.3960708E7</v>
      </c>
      <c r="BO676" s="1" t="s">
        <v>284</v>
      </c>
      <c r="BP676" s="1" t="s">
        <v>74</v>
      </c>
      <c r="BQ676" s="1" t="s">
        <v>74</v>
      </c>
      <c r="BR676" s="1" t="s">
        <v>102</v>
      </c>
      <c r="BS676" s="1" t="s">
        <v>13723</v>
      </c>
      <c r="BT676" s="1" t="str">
        <f>HYPERLINK("https%3A%2F%2Fwww.webofscience.com%2Fwos%2Fwoscc%2Ffull-record%2FWOS:000648073000001","View Full Record in Web of Science")</f>
        <v>View Full Record in Web of Science</v>
      </c>
    </row>
    <row r="677" ht="12.75" customHeight="1">
      <c r="A677" s="1" t="s">
        <v>132</v>
      </c>
      <c r="B677" s="1" t="s">
        <v>13724</v>
      </c>
      <c r="C677" s="1" t="s">
        <v>74</v>
      </c>
      <c r="D677" s="1" t="s">
        <v>74</v>
      </c>
      <c r="E677" s="1" t="s">
        <v>74</v>
      </c>
      <c r="F677" s="1" t="s">
        <v>13725</v>
      </c>
      <c r="G677" s="1" t="s">
        <v>74</v>
      </c>
      <c r="H677" s="1" t="s">
        <v>74</v>
      </c>
      <c r="I677" s="1" t="s">
        <v>13726</v>
      </c>
      <c r="J677" s="1" t="s">
        <v>13727</v>
      </c>
      <c r="K677" s="1" t="s">
        <v>74</v>
      </c>
      <c r="L677" s="1" t="s">
        <v>74</v>
      </c>
      <c r="M677" s="1" t="s">
        <v>80</v>
      </c>
      <c r="N677" s="1" t="s">
        <v>136</v>
      </c>
      <c r="O677" s="1" t="s">
        <v>74</v>
      </c>
      <c r="P677" s="1" t="s">
        <v>74</v>
      </c>
      <c r="Q677" s="1" t="s">
        <v>74</v>
      </c>
      <c r="R677" s="1" t="s">
        <v>74</v>
      </c>
      <c r="S677" s="1" t="s">
        <v>74</v>
      </c>
      <c r="T677" s="1" t="s">
        <v>13728</v>
      </c>
      <c r="U677" s="1" t="s">
        <v>74</v>
      </c>
      <c r="V677" s="1" t="s">
        <v>13729</v>
      </c>
      <c r="W677" s="1" t="s">
        <v>13730</v>
      </c>
      <c r="X677" s="1" t="s">
        <v>13731</v>
      </c>
      <c r="Y677" s="1" t="s">
        <v>13732</v>
      </c>
      <c r="Z677" s="1" t="s">
        <v>13733</v>
      </c>
      <c r="AA677" s="1" t="s">
        <v>13734</v>
      </c>
      <c r="AB677" s="1" t="s">
        <v>13735</v>
      </c>
      <c r="AC677" s="1" t="s">
        <v>74</v>
      </c>
      <c r="AD677" s="1" t="s">
        <v>74</v>
      </c>
      <c r="AE677" s="1" t="s">
        <v>74</v>
      </c>
      <c r="AF677" s="1" t="s">
        <v>74</v>
      </c>
      <c r="AG677" s="1">
        <v>6.0</v>
      </c>
      <c r="AH677" s="1">
        <v>1.0</v>
      </c>
      <c r="AI677" s="1">
        <v>2.0</v>
      </c>
      <c r="AJ677" s="1">
        <v>9.0</v>
      </c>
      <c r="AK677" s="1">
        <v>27.0</v>
      </c>
      <c r="AL677" s="1" t="s">
        <v>13736</v>
      </c>
      <c r="AM677" s="1" t="s">
        <v>13737</v>
      </c>
      <c r="AN677" s="1" t="s">
        <v>13738</v>
      </c>
      <c r="AO677" s="1" t="s">
        <v>13739</v>
      </c>
      <c r="AP677" s="1" t="s">
        <v>74</v>
      </c>
      <c r="AQ677" s="1" t="s">
        <v>74</v>
      </c>
      <c r="AR677" s="1" t="s">
        <v>13740</v>
      </c>
      <c r="AS677" s="1" t="s">
        <v>13741</v>
      </c>
      <c r="AT677" s="1" t="s">
        <v>74</v>
      </c>
      <c r="AU677" s="1">
        <v>2022.0</v>
      </c>
      <c r="AV677" s="1">
        <v>12.0</v>
      </c>
      <c r="AW677" s="1">
        <v>3.0</v>
      </c>
      <c r="AX677" s="1" t="s">
        <v>74</v>
      </c>
      <c r="AY677" s="1" t="s">
        <v>74</v>
      </c>
      <c r="AZ677" s="1" t="s">
        <v>74</v>
      </c>
      <c r="BA677" s="1" t="s">
        <v>74</v>
      </c>
      <c r="BB677" s="1">
        <v>18.0</v>
      </c>
      <c r="BC677" s="1">
        <v>26.0</v>
      </c>
      <c r="BD677" s="1" t="s">
        <v>74</v>
      </c>
      <c r="BE677" s="1" t="s">
        <v>74</v>
      </c>
      <c r="BF677" s="1" t="s">
        <v>74</v>
      </c>
      <c r="BG677" s="1" t="s">
        <v>74</v>
      </c>
      <c r="BH677" s="1" t="s">
        <v>74</v>
      </c>
      <c r="BI677" s="1">
        <v>9.0</v>
      </c>
      <c r="BJ677" s="1" t="s">
        <v>2040</v>
      </c>
      <c r="BK677" s="1" t="s">
        <v>172</v>
      </c>
      <c r="BL677" s="1" t="s">
        <v>204</v>
      </c>
      <c r="BM677" s="1" t="s">
        <v>13742</v>
      </c>
      <c r="BN677" s="1" t="s">
        <v>74</v>
      </c>
      <c r="BO677" s="1" t="s">
        <v>74</v>
      </c>
      <c r="BP677" s="1" t="s">
        <v>74</v>
      </c>
      <c r="BQ677" s="1" t="s">
        <v>74</v>
      </c>
      <c r="BR677" s="1" t="s">
        <v>102</v>
      </c>
      <c r="BS677" s="1" t="s">
        <v>13743</v>
      </c>
      <c r="BT677" s="1" t="str">
        <f>HYPERLINK("https%3A%2F%2Fwww.webofscience.com%2Fwos%2Fwoscc%2Ffull-record%2FWOS:000976637200003","View Full Record in Web of Science")</f>
        <v>View Full Record in Web of Science</v>
      </c>
    </row>
    <row r="678" ht="12.75" customHeight="1">
      <c r="A678" s="1" t="s">
        <v>132</v>
      </c>
      <c r="B678" s="1" t="s">
        <v>13744</v>
      </c>
      <c r="C678" s="1" t="s">
        <v>74</v>
      </c>
      <c r="D678" s="1" t="s">
        <v>74</v>
      </c>
      <c r="E678" s="1" t="s">
        <v>74</v>
      </c>
      <c r="F678" s="1" t="s">
        <v>13745</v>
      </c>
      <c r="G678" s="1" t="s">
        <v>74</v>
      </c>
      <c r="H678" s="1" t="s">
        <v>74</v>
      </c>
      <c r="I678" s="1" t="s">
        <v>13746</v>
      </c>
      <c r="J678" s="1" t="s">
        <v>13747</v>
      </c>
      <c r="K678" s="1" t="s">
        <v>74</v>
      </c>
      <c r="L678" s="1" t="s">
        <v>74</v>
      </c>
      <c r="M678" s="1" t="s">
        <v>80</v>
      </c>
      <c r="N678" s="1" t="s">
        <v>1010</v>
      </c>
      <c r="O678" s="1" t="s">
        <v>74</v>
      </c>
      <c r="P678" s="1" t="s">
        <v>74</v>
      </c>
      <c r="Q678" s="1" t="s">
        <v>74</v>
      </c>
      <c r="R678" s="1" t="s">
        <v>74</v>
      </c>
      <c r="S678" s="1" t="s">
        <v>74</v>
      </c>
      <c r="T678" s="1" t="s">
        <v>13748</v>
      </c>
      <c r="U678" s="1" t="s">
        <v>13749</v>
      </c>
      <c r="V678" s="1" t="s">
        <v>13750</v>
      </c>
      <c r="W678" s="1" t="s">
        <v>13751</v>
      </c>
      <c r="X678" s="1" t="s">
        <v>13752</v>
      </c>
      <c r="Y678" s="1" t="s">
        <v>13753</v>
      </c>
      <c r="Z678" s="1" t="s">
        <v>13754</v>
      </c>
      <c r="AA678" s="1" t="s">
        <v>13755</v>
      </c>
      <c r="AB678" s="1" t="s">
        <v>13756</v>
      </c>
      <c r="AC678" s="1" t="s">
        <v>74</v>
      </c>
      <c r="AD678" s="1" t="s">
        <v>74</v>
      </c>
      <c r="AE678" s="1" t="s">
        <v>74</v>
      </c>
      <c r="AF678" s="1" t="s">
        <v>74</v>
      </c>
      <c r="AG678" s="1">
        <v>182.0</v>
      </c>
      <c r="AH678" s="1">
        <v>134.0</v>
      </c>
      <c r="AI678" s="1">
        <v>136.0</v>
      </c>
      <c r="AJ678" s="1">
        <v>158.0</v>
      </c>
      <c r="AK678" s="1">
        <v>573.0</v>
      </c>
      <c r="AL678" s="1" t="s">
        <v>321</v>
      </c>
      <c r="AM678" s="1" t="s">
        <v>322</v>
      </c>
      <c r="AN678" s="1" t="s">
        <v>323</v>
      </c>
      <c r="AO678" s="1" t="s">
        <v>13757</v>
      </c>
      <c r="AP678" s="1" t="s">
        <v>13758</v>
      </c>
      <c r="AQ678" s="1" t="s">
        <v>74</v>
      </c>
      <c r="AR678" s="1" t="s">
        <v>13759</v>
      </c>
      <c r="AS678" s="1" t="s">
        <v>13760</v>
      </c>
      <c r="AT678" s="1" t="s">
        <v>1027</v>
      </c>
      <c r="AU678" s="1">
        <v>2023.0</v>
      </c>
      <c r="AV678" s="1">
        <v>33.0</v>
      </c>
      <c r="AW678" s="1">
        <v>1.0</v>
      </c>
      <c r="AX678" s="1" t="s">
        <v>74</v>
      </c>
      <c r="AY678" s="1" t="s">
        <v>74</v>
      </c>
      <c r="AZ678" s="1" t="s">
        <v>74</v>
      </c>
      <c r="BA678" s="1" t="s">
        <v>74</v>
      </c>
      <c r="BB678" s="1" t="s">
        <v>74</v>
      </c>
      <c r="BC678" s="1" t="s">
        <v>74</v>
      </c>
      <c r="BD678" s="1">
        <v>100857.0</v>
      </c>
      <c r="BE678" s="1" t="s">
        <v>13761</v>
      </c>
      <c r="BF678" s="2" t="str">
        <f>HYPERLINK("http://dx.doi.org/10.1016/j.hrmr.2021.100857","http://dx.doi.org/10.1016/j.hrmr.2021.100857")</f>
        <v>http://dx.doi.org/10.1016/j.hrmr.2021.100857</v>
      </c>
      <c r="BG678" s="1" t="s">
        <v>74</v>
      </c>
      <c r="BH678" s="1" t="s">
        <v>5428</v>
      </c>
      <c r="BI678" s="1">
        <v>22.0</v>
      </c>
      <c r="BJ678" s="1" t="s">
        <v>1776</v>
      </c>
      <c r="BK678" s="1" t="s">
        <v>203</v>
      </c>
      <c r="BL678" s="1" t="s">
        <v>204</v>
      </c>
      <c r="BM678" s="1" t="s">
        <v>13762</v>
      </c>
      <c r="BN678" s="1" t="s">
        <v>74</v>
      </c>
      <c r="BO678" s="1" t="s">
        <v>74</v>
      </c>
      <c r="BP678" s="1" t="s">
        <v>74</v>
      </c>
      <c r="BQ678" s="1" t="s">
        <v>74</v>
      </c>
      <c r="BR678" s="1" t="s">
        <v>102</v>
      </c>
      <c r="BS678" s="1" t="s">
        <v>13763</v>
      </c>
      <c r="BT678" s="1" t="str">
        <f>HYPERLINK("https%3A%2F%2Fwww.webofscience.com%2Fwos%2Fwoscc%2Ffull-record%2FWOS:000897097700019","View Full Record in Web of Science")</f>
        <v>View Full Record in Web of Science</v>
      </c>
    </row>
    <row r="679" ht="12.75" customHeight="1">
      <c r="A679" s="1" t="s">
        <v>132</v>
      </c>
      <c r="B679" s="1" t="s">
        <v>13764</v>
      </c>
      <c r="C679" s="1" t="s">
        <v>74</v>
      </c>
      <c r="D679" s="1" t="s">
        <v>74</v>
      </c>
      <c r="E679" s="1" t="s">
        <v>74</v>
      </c>
      <c r="F679" s="1" t="s">
        <v>13765</v>
      </c>
      <c r="G679" s="1" t="s">
        <v>74</v>
      </c>
      <c r="H679" s="1" t="s">
        <v>74</v>
      </c>
      <c r="I679" s="1" t="s">
        <v>13766</v>
      </c>
      <c r="J679" s="1" t="s">
        <v>5135</v>
      </c>
      <c r="K679" s="1" t="s">
        <v>74</v>
      </c>
      <c r="L679" s="1" t="s">
        <v>74</v>
      </c>
      <c r="M679" s="1" t="s">
        <v>80</v>
      </c>
      <c r="N679" s="1" t="s">
        <v>136</v>
      </c>
      <c r="O679" s="1" t="s">
        <v>74</v>
      </c>
      <c r="P679" s="1" t="s">
        <v>74</v>
      </c>
      <c r="Q679" s="1" t="s">
        <v>74</v>
      </c>
      <c r="R679" s="1" t="s">
        <v>74</v>
      </c>
      <c r="S679" s="1" t="s">
        <v>74</v>
      </c>
      <c r="T679" s="1" t="s">
        <v>13767</v>
      </c>
      <c r="U679" s="1" t="s">
        <v>13768</v>
      </c>
      <c r="V679" s="1" t="s">
        <v>13769</v>
      </c>
      <c r="W679" s="1" t="s">
        <v>13770</v>
      </c>
      <c r="X679" s="1" t="s">
        <v>74</v>
      </c>
      <c r="Y679" s="1" t="s">
        <v>13771</v>
      </c>
      <c r="Z679" s="1" t="s">
        <v>74</v>
      </c>
      <c r="AA679" s="1" t="s">
        <v>13772</v>
      </c>
      <c r="AB679" s="1" t="s">
        <v>13773</v>
      </c>
      <c r="AC679" s="1" t="s">
        <v>74</v>
      </c>
      <c r="AD679" s="1" t="s">
        <v>74</v>
      </c>
      <c r="AE679" s="1" t="s">
        <v>74</v>
      </c>
      <c r="AF679" s="1" t="s">
        <v>74</v>
      </c>
      <c r="AG679" s="1">
        <v>22.0</v>
      </c>
      <c r="AH679" s="1">
        <v>2.0</v>
      </c>
      <c r="AI679" s="1">
        <v>2.0</v>
      </c>
      <c r="AJ679" s="1">
        <v>1.0</v>
      </c>
      <c r="AK679" s="1">
        <v>15.0</v>
      </c>
      <c r="AL679" s="1" t="s">
        <v>5141</v>
      </c>
      <c r="AM679" s="1" t="s">
        <v>5142</v>
      </c>
      <c r="AN679" s="1" t="s">
        <v>5143</v>
      </c>
      <c r="AO679" s="1" t="s">
        <v>5144</v>
      </c>
      <c r="AP679" s="1" t="s">
        <v>5145</v>
      </c>
      <c r="AQ679" s="1" t="s">
        <v>74</v>
      </c>
      <c r="AR679" s="1" t="s">
        <v>5146</v>
      </c>
      <c r="AS679" s="1" t="s">
        <v>5147</v>
      </c>
      <c r="AT679" s="1" t="s">
        <v>328</v>
      </c>
      <c r="AU679" s="1">
        <v>2021.0</v>
      </c>
      <c r="AV679" s="1">
        <v>12.0</v>
      </c>
      <c r="AW679" s="1">
        <v>6.0</v>
      </c>
      <c r="AX679" s="1" t="s">
        <v>74</v>
      </c>
      <c r="AY679" s="1" t="s">
        <v>74</v>
      </c>
      <c r="AZ679" s="1" t="s">
        <v>74</v>
      </c>
      <c r="BA679" s="1" t="s">
        <v>74</v>
      </c>
      <c r="BB679" s="1">
        <v>369.0</v>
      </c>
      <c r="BC679" s="1">
        <v>376.0</v>
      </c>
      <c r="BD679" s="1" t="s">
        <v>74</v>
      </c>
      <c r="BE679" s="1" t="s">
        <v>74</v>
      </c>
      <c r="BF679" s="1" t="s">
        <v>74</v>
      </c>
      <c r="BG679" s="1" t="s">
        <v>74</v>
      </c>
      <c r="BH679" s="1" t="s">
        <v>74</v>
      </c>
      <c r="BI679" s="1">
        <v>8.0</v>
      </c>
      <c r="BJ679" s="1" t="s">
        <v>2221</v>
      </c>
      <c r="BK679" s="1" t="s">
        <v>172</v>
      </c>
      <c r="BL679" s="1" t="s">
        <v>232</v>
      </c>
      <c r="BM679" s="1" t="s">
        <v>13774</v>
      </c>
      <c r="BN679" s="1" t="s">
        <v>74</v>
      </c>
      <c r="BO679" s="1" t="s">
        <v>74</v>
      </c>
      <c r="BP679" s="1" t="s">
        <v>74</v>
      </c>
      <c r="BQ679" s="1" t="s">
        <v>74</v>
      </c>
      <c r="BR679" s="1" t="s">
        <v>102</v>
      </c>
      <c r="BS679" s="1" t="s">
        <v>13775</v>
      </c>
      <c r="BT679" s="1" t="str">
        <f>HYPERLINK("https%3A%2F%2Fwww.webofscience.com%2Fwos%2Fwoscc%2Ffull-record%2FWOS:000686178900041","View Full Record in Web of Science")</f>
        <v>View Full Record in Web of Science</v>
      </c>
    </row>
    <row r="680" ht="12.75" customHeight="1">
      <c r="A680" s="1" t="s">
        <v>132</v>
      </c>
      <c r="B680" s="1" t="s">
        <v>13776</v>
      </c>
      <c r="C680" s="1" t="s">
        <v>74</v>
      </c>
      <c r="D680" s="1" t="s">
        <v>74</v>
      </c>
      <c r="E680" s="1" t="s">
        <v>74</v>
      </c>
      <c r="F680" s="1" t="s">
        <v>13777</v>
      </c>
      <c r="G680" s="1" t="s">
        <v>74</v>
      </c>
      <c r="H680" s="1" t="s">
        <v>74</v>
      </c>
      <c r="I680" s="1" t="s">
        <v>13778</v>
      </c>
      <c r="J680" s="1" t="s">
        <v>5039</v>
      </c>
      <c r="K680" s="1" t="s">
        <v>74</v>
      </c>
      <c r="L680" s="1" t="s">
        <v>74</v>
      </c>
      <c r="M680" s="1" t="s">
        <v>80</v>
      </c>
      <c r="N680" s="1" t="s">
        <v>1010</v>
      </c>
      <c r="O680" s="1" t="s">
        <v>74</v>
      </c>
      <c r="P680" s="1" t="s">
        <v>74</v>
      </c>
      <c r="Q680" s="1" t="s">
        <v>74</v>
      </c>
      <c r="R680" s="1" t="s">
        <v>74</v>
      </c>
      <c r="S680" s="1" t="s">
        <v>74</v>
      </c>
      <c r="T680" s="1" t="s">
        <v>13779</v>
      </c>
      <c r="U680" s="1" t="s">
        <v>13780</v>
      </c>
      <c r="V680" s="1" t="s">
        <v>13781</v>
      </c>
      <c r="W680" s="1" t="s">
        <v>13782</v>
      </c>
      <c r="X680" s="1" t="s">
        <v>13783</v>
      </c>
      <c r="Y680" s="1" t="s">
        <v>13784</v>
      </c>
      <c r="Z680" s="1" t="s">
        <v>13785</v>
      </c>
      <c r="AA680" s="1" t="s">
        <v>13786</v>
      </c>
      <c r="AB680" s="1" t="s">
        <v>13787</v>
      </c>
      <c r="AC680" s="1" t="s">
        <v>74</v>
      </c>
      <c r="AD680" s="1" t="s">
        <v>74</v>
      </c>
      <c r="AE680" s="1" t="s">
        <v>74</v>
      </c>
      <c r="AF680" s="1" t="s">
        <v>74</v>
      </c>
      <c r="AG680" s="1">
        <v>156.0</v>
      </c>
      <c r="AH680" s="1">
        <v>81.0</v>
      </c>
      <c r="AI680" s="1">
        <v>82.0</v>
      </c>
      <c r="AJ680" s="1">
        <v>11.0</v>
      </c>
      <c r="AK680" s="1">
        <v>105.0</v>
      </c>
      <c r="AL680" s="1" t="s">
        <v>1528</v>
      </c>
      <c r="AM680" s="1" t="s">
        <v>1529</v>
      </c>
      <c r="AN680" s="1" t="s">
        <v>1530</v>
      </c>
      <c r="AO680" s="1" t="s">
        <v>5051</v>
      </c>
      <c r="AP680" s="1" t="s">
        <v>5052</v>
      </c>
      <c r="AQ680" s="1" t="s">
        <v>74</v>
      </c>
      <c r="AR680" s="1" t="s">
        <v>5053</v>
      </c>
      <c r="AS680" s="1" t="s">
        <v>5054</v>
      </c>
      <c r="AT680" s="1" t="s">
        <v>2469</v>
      </c>
      <c r="AU680" s="1">
        <v>2021.0</v>
      </c>
      <c r="AV680" s="1">
        <v>28.0</v>
      </c>
      <c r="AW680" s="1">
        <v>38.0</v>
      </c>
      <c r="AX680" s="1" t="s">
        <v>74</v>
      </c>
      <c r="AY680" s="1" t="s">
        <v>74</v>
      </c>
      <c r="AZ680" s="1" t="s">
        <v>74</v>
      </c>
      <c r="BA680" s="1" t="s">
        <v>74</v>
      </c>
      <c r="BB680" s="1">
        <v>52810.0</v>
      </c>
      <c r="BC680" s="1">
        <v>52831.0</v>
      </c>
      <c r="BD680" s="1" t="s">
        <v>74</v>
      </c>
      <c r="BE680" s="1" t="s">
        <v>13788</v>
      </c>
      <c r="BF680" s="2" t="str">
        <f>HYPERLINK("http://dx.doi.org/10.1007/s11356-021-16223-0","http://dx.doi.org/10.1007/s11356-021-16223-0")</f>
        <v>http://dx.doi.org/10.1007/s11356-021-16223-0</v>
      </c>
      <c r="BG680" s="1" t="s">
        <v>74</v>
      </c>
      <c r="BH680" s="1" t="s">
        <v>781</v>
      </c>
      <c r="BI680" s="1">
        <v>22.0</v>
      </c>
      <c r="BJ680" s="1" t="s">
        <v>893</v>
      </c>
      <c r="BK680" s="1" t="s">
        <v>783</v>
      </c>
      <c r="BL680" s="1" t="s">
        <v>894</v>
      </c>
      <c r="BM680" s="1" t="s">
        <v>13789</v>
      </c>
      <c r="BN680" s="1">
        <v>3.4476701E7</v>
      </c>
      <c r="BO680" s="1" t="s">
        <v>8251</v>
      </c>
      <c r="BP680" s="1" t="s">
        <v>74</v>
      </c>
      <c r="BQ680" s="1" t="s">
        <v>74</v>
      </c>
      <c r="BR680" s="1" t="s">
        <v>102</v>
      </c>
      <c r="BS680" s="1" t="s">
        <v>13790</v>
      </c>
      <c r="BT680" s="1" t="str">
        <f>HYPERLINK("https%3A%2F%2Fwww.webofscience.com%2Fwos%2Fwoscc%2Ffull-record%2FWOS:000692096400006","View Full Record in Web of Science")</f>
        <v>View Full Record in Web of Science</v>
      </c>
    </row>
    <row r="681" ht="12.75" customHeight="1">
      <c r="A681" s="1" t="s">
        <v>132</v>
      </c>
      <c r="B681" s="1" t="s">
        <v>13791</v>
      </c>
      <c r="C681" s="1" t="s">
        <v>74</v>
      </c>
      <c r="D681" s="1" t="s">
        <v>74</v>
      </c>
      <c r="E681" s="1" t="s">
        <v>74</v>
      </c>
      <c r="F681" s="1" t="s">
        <v>13792</v>
      </c>
      <c r="G681" s="1" t="s">
        <v>74</v>
      </c>
      <c r="H681" s="1" t="s">
        <v>74</v>
      </c>
      <c r="I681" s="1" t="s">
        <v>13793</v>
      </c>
      <c r="J681" s="1" t="s">
        <v>5018</v>
      </c>
      <c r="K681" s="1" t="s">
        <v>74</v>
      </c>
      <c r="L681" s="1" t="s">
        <v>74</v>
      </c>
      <c r="M681" s="1" t="s">
        <v>80</v>
      </c>
      <c r="N681" s="1" t="s">
        <v>136</v>
      </c>
      <c r="O681" s="1" t="s">
        <v>74</v>
      </c>
      <c r="P681" s="1" t="s">
        <v>74</v>
      </c>
      <c r="Q681" s="1" t="s">
        <v>74</v>
      </c>
      <c r="R681" s="1" t="s">
        <v>74</v>
      </c>
      <c r="S681" s="1" t="s">
        <v>74</v>
      </c>
      <c r="T681" s="1" t="s">
        <v>13794</v>
      </c>
      <c r="U681" s="1" t="s">
        <v>13795</v>
      </c>
      <c r="V681" s="1" t="s">
        <v>13796</v>
      </c>
      <c r="W681" s="1" t="s">
        <v>13797</v>
      </c>
      <c r="X681" s="1" t="s">
        <v>13798</v>
      </c>
      <c r="Y681" s="1" t="s">
        <v>13799</v>
      </c>
      <c r="Z681" s="1" t="s">
        <v>13800</v>
      </c>
      <c r="AA681" s="1" t="s">
        <v>74</v>
      </c>
      <c r="AB681" s="1" t="s">
        <v>74</v>
      </c>
      <c r="AC681" s="1" t="s">
        <v>74</v>
      </c>
      <c r="AD681" s="1" t="s">
        <v>74</v>
      </c>
      <c r="AE681" s="1" t="s">
        <v>74</v>
      </c>
      <c r="AF681" s="1" t="s">
        <v>74</v>
      </c>
      <c r="AG681" s="1">
        <v>35.0</v>
      </c>
      <c r="AH681" s="1">
        <v>2.0</v>
      </c>
      <c r="AI681" s="1">
        <v>2.0</v>
      </c>
      <c r="AJ681" s="1">
        <v>37.0</v>
      </c>
      <c r="AK681" s="1">
        <v>37.0</v>
      </c>
      <c r="AL681" s="1" t="s">
        <v>1970</v>
      </c>
      <c r="AM681" s="1" t="s">
        <v>1658</v>
      </c>
      <c r="AN681" s="1" t="s">
        <v>1971</v>
      </c>
      <c r="AO681" s="1" t="s">
        <v>74</v>
      </c>
      <c r="AP681" s="1" t="s">
        <v>5029</v>
      </c>
      <c r="AQ681" s="1" t="s">
        <v>74</v>
      </c>
      <c r="AR681" s="1" t="s">
        <v>5030</v>
      </c>
      <c r="AS681" s="1" t="s">
        <v>5031</v>
      </c>
      <c r="AT681" s="1" t="s">
        <v>1279</v>
      </c>
      <c r="AU681" s="1">
        <v>2024.0</v>
      </c>
      <c r="AV681" s="1">
        <v>16.0</v>
      </c>
      <c r="AW681" s="1">
        <v>14.0</v>
      </c>
      <c r="AX681" s="1" t="s">
        <v>74</v>
      </c>
      <c r="AY681" s="1" t="s">
        <v>74</v>
      </c>
      <c r="AZ681" s="1" t="s">
        <v>74</v>
      </c>
      <c r="BA681" s="1" t="s">
        <v>74</v>
      </c>
      <c r="BB681" s="1" t="s">
        <v>74</v>
      </c>
      <c r="BC681" s="1" t="s">
        <v>74</v>
      </c>
      <c r="BD681" s="1">
        <v>5928.0</v>
      </c>
      <c r="BE681" s="1" t="s">
        <v>13801</v>
      </c>
      <c r="BF681" s="2" t="str">
        <f>HYPERLINK("http://dx.doi.org/10.3390/su16145928","http://dx.doi.org/10.3390/su16145928")</f>
        <v>http://dx.doi.org/10.3390/su16145928</v>
      </c>
      <c r="BG681" s="1" t="s">
        <v>74</v>
      </c>
      <c r="BH681" s="1" t="s">
        <v>74</v>
      </c>
      <c r="BI681" s="1">
        <v>18.0</v>
      </c>
      <c r="BJ681" s="1" t="s">
        <v>5033</v>
      </c>
      <c r="BK681" s="1" t="s">
        <v>783</v>
      </c>
      <c r="BL681" s="1" t="s">
        <v>3612</v>
      </c>
      <c r="BM681" s="1" t="s">
        <v>13802</v>
      </c>
      <c r="BN681" s="1" t="s">
        <v>74</v>
      </c>
      <c r="BO681" s="1" t="s">
        <v>174</v>
      </c>
      <c r="BP681" s="1" t="s">
        <v>74</v>
      </c>
      <c r="BQ681" s="1" t="s">
        <v>74</v>
      </c>
      <c r="BR681" s="1" t="s">
        <v>102</v>
      </c>
      <c r="BS681" s="1" t="s">
        <v>13803</v>
      </c>
      <c r="BT681" s="1" t="str">
        <f>HYPERLINK("https%3A%2F%2Fwww.webofscience.com%2Fwos%2Fwoscc%2Ffull-record%2FWOS:001277452400001","View Full Record in Web of Science")</f>
        <v>View Full Record in Web of Science</v>
      </c>
    </row>
    <row r="682" ht="12.75" customHeight="1">
      <c r="A682" s="1" t="s">
        <v>132</v>
      </c>
      <c r="B682" s="1" t="s">
        <v>13804</v>
      </c>
      <c r="C682" s="1" t="s">
        <v>74</v>
      </c>
      <c r="D682" s="1" t="s">
        <v>74</v>
      </c>
      <c r="E682" s="1" t="s">
        <v>74</v>
      </c>
      <c r="F682" s="1" t="s">
        <v>13805</v>
      </c>
      <c r="G682" s="1" t="s">
        <v>74</v>
      </c>
      <c r="H682" s="1" t="s">
        <v>74</v>
      </c>
      <c r="I682" s="1" t="s">
        <v>13806</v>
      </c>
      <c r="J682" s="1" t="s">
        <v>13807</v>
      </c>
      <c r="K682" s="1" t="s">
        <v>74</v>
      </c>
      <c r="L682" s="1" t="s">
        <v>74</v>
      </c>
      <c r="M682" s="1" t="s">
        <v>80</v>
      </c>
      <c r="N682" s="1" t="s">
        <v>136</v>
      </c>
      <c r="O682" s="1" t="s">
        <v>74</v>
      </c>
      <c r="P682" s="1" t="s">
        <v>74</v>
      </c>
      <c r="Q682" s="1" t="s">
        <v>74</v>
      </c>
      <c r="R682" s="1" t="s">
        <v>74</v>
      </c>
      <c r="S682" s="1" t="s">
        <v>74</v>
      </c>
      <c r="T682" s="1" t="s">
        <v>13808</v>
      </c>
      <c r="U682" s="1" t="s">
        <v>13809</v>
      </c>
      <c r="V682" s="1" t="s">
        <v>13810</v>
      </c>
      <c r="W682" s="1" t="s">
        <v>13811</v>
      </c>
      <c r="X682" s="1" t="s">
        <v>9839</v>
      </c>
      <c r="Y682" s="1" t="s">
        <v>13812</v>
      </c>
      <c r="Z682" s="1" t="s">
        <v>13813</v>
      </c>
      <c r="AA682" s="1" t="s">
        <v>74</v>
      </c>
      <c r="AB682" s="1" t="s">
        <v>74</v>
      </c>
      <c r="AC682" s="1" t="s">
        <v>74</v>
      </c>
      <c r="AD682" s="1" t="s">
        <v>74</v>
      </c>
      <c r="AE682" s="1" t="s">
        <v>74</v>
      </c>
      <c r="AF682" s="1" t="s">
        <v>74</v>
      </c>
      <c r="AG682" s="1">
        <v>53.0</v>
      </c>
      <c r="AH682" s="1">
        <v>4.0</v>
      </c>
      <c r="AI682" s="1">
        <v>4.0</v>
      </c>
      <c r="AJ682" s="1">
        <v>3.0</v>
      </c>
      <c r="AK682" s="1">
        <v>44.0</v>
      </c>
      <c r="AL682" s="1" t="s">
        <v>4750</v>
      </c>
      <c r="AM682" s="1" t="s">
        <v>681</v>
      </c>
      <c r="AN682" s="1" t="s">
        <v>4751</v>
      </c>
      <c r="AO682" s="1" t="s">
        <v>13814</v>
      </c>
      <c r="AP682" s="1" t="s">
        <v>74</v>
      </c>
      <c r="AQ682" s="1" t="s">
        <v>74</v>
      </c>
      <c r="AR682" s="1" t="s">
        <v>13815</v>
      </c>
      <c r="AS682" s="1" t="s">
        <v>13816</v>
      </c>
      <c r="AT682" s="1" t="s">
        <v>13817</v>
      </c>
      <c r="AU682" s="1">
        <v>2016.0</v>
      </c>
      <c r="AV682" s="1">
        <v>10.0</v>
      </c>
      <c r="AW682" s="1" t="s">
        <v>74</v>
      </c>
      <c r="AX682" s="1" t="s">
        <v>74</v>
      </c>
      <c r="AY682" s="1" t="s">
        <v>74</v>
      </c>
      <c r="AZ682" s="1" t="s">
        <v>74</v>
      </c>
      <c r="BA682" s="1" t="s">
        <v>74</v>
      </c>
      <c r="BB682" s="1">
        <v>1.0</v>
      </c>
      <c r="BC682" s="1">
        <v>40.0</v>
      </c>
      <c r="BD682" s="1">
        <v>20167.0</v>
      </c>
      <c r="BE682" s="1" t="s">
        <v>13818</v>
      </c>
      <c r="BF682" s="2" t="str">
        <f>HYPERLINK("http://dx.doi.org/10.5018/economics-ejournal.ja.2016-7","http://dx.doi.org/10.5018/economics-ejournal.ja.2016-7")</f>
        <v>http://dx.doi.org/10.5018/economics-ejournal.ja.2016-7</v>
      </c>
      <c r="BG682" s="1" t="s">
        <v>74</v>
      </c>
      <c r="BH682" s="1" t="s">
        <v>74</v>
      </c>
      <c r="BI682" s="1">
        <v>40.0</v>
      </c>
      <c r="BJ682" s="1" t="s">
        <v>202</v>
      </c>
      <c r="BK682" s="1" t="s">
        <v>203</v>
      </c>
      <c r="BL682" s="1" t="s">
        <v>204</v>
      </c>
      <c r="BM682" s="1" t="s">
        <v>13819</v>
      </c>
      <c r="BN682" s="1" t="s">
        <v>74</v>
      </c>
      <c r="BO682" s="1" t="s">
        <v>3076</v>
      </c>
      <c r="BP682" s="1" t="s">
        <v>74</v>
      </c>
      <c r="BQ682" s="1" t="s">
        <v>74</v>
      </c>
      <c r="BR682" s="1" t="s">
        <v>102</v>
      </c>
      <c r="BS682" s="1" t="s">
        <v>13820</v>
      </c>
      <c r="BT682" s="1" t="str">
        <f>HYPERLINK("https%3A%2F%2Fwww.webofscience.com%2Fwos%2Fwoscc%2Ffull-record%2FWOS:000372962400001","View Full Record in Web of Science")</f>
        <v>View Full Record in Web of Science</v>
      </c>
    </row>
    <row r="683" ht="12.75" customHeight="1">
      <c r="A683" s="1" t="s">
        <v>132</v>
      </c>
      <c r="B683" s="1" t="s">
        <v>13821</v>
      </c>
      <c r="C683" s="1" t="s">
        <v>74</v>
      </c>
      <c r="D683" s="1" t="s">
        <v>74</v>
      </c>
      <c r="E683" s="1" t="s">
        <v>74</v>
      </c>
      <c r="F683" s="1" t="s">
        <v>13822</v>
      </c>
      <c r="G683" s="1" t="s">
        <v>74</v>
      </c>
      <c r="H683" s="1" t="s">
        <v>74</v>
      </c>
      <c r="I683" s="1" t="s">
        <v>13823</v>
      </c>
      <c r="J683" s="1" t="s">
        <v>9613</v>
      </c>
      <c r="K683" s="1" t="s">
        <v>74</v>
      </c>
      <c r="L683" s="1" t="s">
        <v>74</v>
      </c>
      <c r="M683" s="1" t="s">
        <v>80</v>
      </c>
      <c r="N683" s="1" t="s">
        <v>136</v>
      </c>
      <c r="O683" s="1" t="s">
        <v>74</v>
      </c>
      <c r="P683" s="1" t="s">
        <v>74</v>
      </c>
      <c r="Q683" s="1" t="s">
        <v>74</v>
      </c>
      <c r="R683" s="1" t="s">
        <v>74</v>
      </c>
      <c r="S683" s="1" t="s">
        <v>74</v>
      </c>
      <c r="T683" s="1" t="s">
        <v>13824</v>
      </c>
      <c r="U683" s="1" t="s">
        <v>74</v>
      </c>
      <c r="V683" s="1" t="s">
        <v>13825</v>
      </c>
      <c r="W683" s="1" t="s">
        <v>13826</v>
      </c>
      <c r="X683" s="1" t="s">
        <v>13827</v>
      </c>
      <c r="Y683" s="1" t="s">
        <v>13828</v>
      </c>
      <c r="Z683" s="1" t="s">
        <v>13829</v>
      </c>
      <c r="AA683" s="1" t="s">
        <v>13830</v>
      </c>
      <c r="AB683" s="1" t="s">
        <v>13831</v>
      </c>
      <c r="AC683" s="1" t="s">
        <v>74</v>
      </c>
      <c r="AD683" s="1" t="s">
        <v>74</v>
      </c>
      <c r="AE683" s="1" t="s">
        <v>74</v>
      </c>
      <c r="AF683" s="1" t="s">
        <v>74</v>
      </c>
      <c r="AG683" s="1">
        <v>73.0</v>
      </c>
      <c r="AH683" s="1">
        <v>3.0</v>
      </c>
      <c r="AI683" s="1">
        <v>3.0</v>
      </c>
      <c r="AJ683" s="1">
        <v>38.0</v>
      </c>
      <c r="AK683" s="1">
        <v>44.0</v>
      </c>
      <c r="AL683" s="1" t="s">
        <v>9622</v>
      </c>
      <c r="AM683" s="1" t="s">
        <v>4584</v>
      </c>
      <c r="AN683" s="1" t="s">
        <v>9623</v>
      </c>
      <c r="AO683" s="1" t="s">
        <v>74</v>
      </c>
      <c r="AP683" s="1" t="s">
        <v>9624</v>
      </c>
      <c r="AQ683" s="1" t="s">
        <v>74</v>
      </c>
      <c r="AR683" s="1" t="s">
        <v>9613</v>
      </c>
      <c r="AS683" s="1" t="s">
        <v>9625</v>
      </c>
      <c r="AT683" s="1" t="s">
        <v>13832</v>
      </c>
      <c r="AU683" s="1">
        <v>2024.0</v>
      </c>
      <c r="AV683" s="1">
        <v>10.0</v>
      </c>
      <c r="AW683" s="1">
        <v>9.0</v>
      </c>
      <c r="AX683" s="1" t="s">
        <v>74</v>
      </c>
      <c r="AY683" s="1" t="s">
        <v>74</v>
      </c>
      <c r="AZ683" s="1" t="s">
        <v>74</v>
      </c>
      <c r="BA683" s="1" t="s">
        <v>74</v>
      </c>
      <c r="BB683" s="1" t="s">
        <v>74</v>
      </c>
      <c r="BC683" s="1" t="s">
        <v>74</v>
      </c>
      <c r="BD683" s="1" t="s">
        <v>13833</v>
      </c>
      <c r="BE683" s="1" t="s">
        <v>13834</v>
      </c>
      <c r="BF683" s="2" t="str">
        <f>HYPERLINK("http://dx.doi.org/10.1016/j.heliyon.2024.e30166","http://dx.doi.org/10.1016/j.heliyon.2024.e30166")</f>
        <v>http://dx.doi.org/10.1016/j.heliyon.2024.e30166</v>
      </c>
      <c r="BG683" s="1" t="s">
        <v>74</v>
      </c>
      <c r="BH683" s="1" t="s">
        <v>580</v>
      </c>
      <c r="BI683" s="1">
        <v>12.0</v>
      </c>
      <c r="BJ683" s="1" t="s">
        <v>4714</v>
      </c>
      <c r="BK683" s="1" t="s">
        <v>149</v>
      </c>
      <c r="BL683" s="1" t="s">
        <v>4715</v>
      </c>
      <c r="BM683" s="1" t="s">
        <v>13835</v>
      </c>
      <c r="BN683" s="1">
        <v>3.8720713E7</v>
      </c>
      <c r="BO683" s="1" t="s">
        <v>1997</v>
      </c>
      <c r="BP683" s="1" t="s">
        <v>74</v>
      </c>
      <c r="BQ683" s="1" t="s">
        <v>74</v>
      </c>
      <c r="BR683" s="1" t="s">
        <v>102</v>
      </c>
      <c r="BS683" s="1" t="s">
        <v>13836</v>
      </c>
      <c r="BT683" s="1" t="str">
        <f>HYPERLINK("https%3A%2F%2Fwww.webofscience.com%2Fwos%2Fwoscc%2Ffull-record%2FWOS:001236650900001","View Full Record in Web of Science")</f>
        <v>View Full Record in Web of Science</v>
      </c>
    </row>
    <row r="684" ht="12.75" customHeight="1">
      <c r="A684" s="1" t="s">
        <v>132</v>
      </c>
      <c r="B684" s="1" t="s">
        <v>13837</v>
      </c>
      <c r="C684" s="1" t="s">
        <v>74</v>
      </c>
      <c r="D684" s="1" t="s">
        <v>74</v>
      </c>
      <c r="E684" s="1" t="s">
        <v>74</v>
      </c>
      <c r="F684" s="1" t="s">
        <v>13838</v>
      </c>
      <c r="G684" s="1" t="s">
        <v>74</v>
      </c>
      <c r="H684" s="1" t="s">
        <v>74</v>
      </c>
      <c r="I684" s="1" t="s">
        <v>13839</v>
      </c>
      <c r="J684" s="1" t="s">
        <v>13840</v>
      </c>
      <c r="K684" s="1" t="s">
        <v>74</v>
      </c>
      <c r="L684" s="1" t="s">
        <v>74</v>
      </c>
      <c r="M684" s="1" t="s">
        <v>80</v>
      </c>
      <c r="N684" s="1" t="s">
        <v>136</v>
      </c>
      <c r="O684" s="1" t="s">
        <v>74</v>
      </c>
      <c r="P684" s="1" t="s">
        <v>74</v>
      </c>
      <c r="Q684" s="1" t="s">
        <v>74</v>
      </c>
      <c r="R684" s="1" t="s">
        <v>74</v>
      </c>
      <c r="S684" s="1" t="s">
        <v>74</v>
      </c>
      <c r="T684" s="1" t="s">
        <v>13841</v>
      </c>
      <c r="U684" s="1" t="s">
        <v>13842</v>
      </c>
      <c r="V684" s="1" t="s">
        <v>13843</v>
      </c>
      <c r="W684" s="1" t="s">
        <v>13844</v>
      </c>
      <c r="X684" s="1" t="s">
        <v>13845</v>
      </c>
      <c r="Y684" s="1" t="s">
        <v>13846</v>
      </c>
      <c r="Z684" s="1" t="s">
        <v>13847</v>
      </c>
      <c r="AA684" s="1" t="s">
        <v>13848</v>
      </c>
      <c r="AB684" s="1" t="s">
        <v>13849</v>
      </c>
      <c r="AC684" s="1" t="s">
        <v>74</v>
      </c>
      <c r="AD684" s="1" t="s">
        <v>74</v>
      </c>
      <c r="AE684" s="1" t="s">
        <v>74</v>
      </c>
      <c r="AF684" s="1" t="s">
        <v>74</v>
      </c>
      <c r="AG684" s="1">
        <v>31.0</v>
      </c>
      <c r="AH684" s="1">
        <v>116.0</v>
      </c>
      <c r="AI684" s="1">
        <v>119.0</v>
      </c>
      <c r="AJ684" s="1">
        <v>3.0</v>
      </c>
      <c r="AK684" s="1">
        <v>25.0</v>
      </c>
      <c r="AL684" s="1" t="s">
        <v>13850</v>
      </c>
      <c r="AM684" s="1" t="s">
        <v>93</v>
      </c>
      <c r="AN684" s="1" t="s">
        <v>2342</v>
      </c>
      <c r="AO684" s="1" t="s">
        <v>13851</v>
      </c>
      <c r="AP684" s="1" t="s">
        <v>74</v>
      </c>
      <c r="AQ684" s="1" t="s">
        <v>74</v>
      </c>
      <c r="AR684" s="1" t="s">
        <v>13852</v>
      </c>
      <c r="AS684" s="1" t="s">
        <v>13853</v>
      </c>
      <c r="AT684" s="1" t="s">
        <v>328</v>
      </c>
      <c r="AU684" s="1">
        <v>2019.0</v>
      </c>
      <c r="AV684" s="1">
        <v>100.0</v>
      </c>
      <c r="AW684" s="1">
        <v>6.0</v>
      </c>
      <c r="AX684" s="1" t="s">
        <v>74</v>
      </c>
      <c r="AY684" s="1" t="s">
        <v>74</v>
      </c>
      <c r="AZ684" s="1" t="s">
        <v>74</v>
      </c>
      <c r="BA684" s="1" t="s">
        <v>74</v>
      </c>
      <c r="BB684" s="1">
        <v>327.0</v>
      </c>
      <c r="BC684" s="1">
        <v>336.0</v>
      </c>
      <c r="BD684" s="1" t="s">
        <v>74</v>
      </c>
      <c r="BE684" s="1" t="s">
        <v>13854</v>
      </c>
      <c r="BF684" s="2" t="str">
        <f>HYPERLINK("http://dx.doi.org/10.1016/j.diii.2019.03.015","http://dx.doi.org/10.1016/j.diii.2019.03.015")</f>
        <v>http://dx.doi.org/10.1016/j.diii.2019.03.015</v>
      </c>
      <c r="BG684" s="1" t="s">
        <v>74</v>
      </c>
      <c r="BH684" s="1" t="s">
        <v>74</v>
      </c>
      <c r="BI684" s="1">
        <v>10.0</v>
      </c>
      <c r="BJ684" s="1" t="s">
        <v>656</v>
      </c>
      <c r="BK684" s="1" t="s">
        <v>149</v>
      </c>
      <c r="BL684" s="1" t="s">
        <v>656</v>
      </c>
      <c r="BM684" s="1" t="s">
        <v>13855</v>
      </c>
      <c r="BN684" s="1">
        <v>3.1072803E7</v>
      </c>
      <c r="BO684" s="1" t="s">
        <v>2021</v>
      </c>
      <c r="BP684" s="1" t="s">
        <v>74</v>
      </c>
      <c r="BQ684" s="1" t="s">
        <v>74</v>
      </c>
      <c r="BR684" s="1" t="s">
        <v>102</v>
      </c>
      <c r="BS684" s="1" t="s">
        <v>13856</v>
      </c>
      <c r="BT684" s="1" t="str">
        <f>HYPERLINK("https%3A%2F%2Fwww.webofscience.com%2Fwos%2Fwoscc%2Ffull-record%2FWOS:000470105200002","View Full Record in Web of Science")</f>
        <v>View Full Record in Web of Science</v>
      </c>
    </row>
    <row r="685" ht="12.75" customHeight="1">
      <c r="A685" s="1" t="s">
        <v>132</v>
      </c>
      <c r="B685" s="1" t="s">
        <v>13857</v>
      </c>
      <c r="C685" s="1" t="s">
        <v>74</v>
      </c>
      <c r="D685" s="1" t="s">
        <v>74</v>
      </c>
      <c r="E685" s="1" t="s">
        <v>74</v>
      </c>
      <c r="F685" s="1" t="s">
        <v>13858</v>
      </c>
      <c r="G685" s="1" t="s">
        <v>74</v>
      </c>
      <c r="H685" s="1" t="s">
        <v>74</v>
      </c>
      <c r="I685" s="1" t="s">
        <v>13859</v>
      </c>
      <c r="J685" s="1" t="s">
        <v>13860</v>
      </c>
      <c r="K685" s="1" t="s">
        <v>74</v>
      </c>
      <c r="L685" s="1" t="s">
        <v>74</v>
      </c>
      <c r="M685" s="1" t="s">
        <v>80</v>
      </c>
      <c r="N685" s="1" t="s">
        <v>136</v>
      </c>
      <c r="O685" s="1" t="s">
        <v>74</v>
      </c>
      <c r="P685" s="1" t="s">
        <v>74</v>
      </c>
      <c r="Q685" s="1" t="s">
        <v>74</v>
      </c>
      <c r="R685" s="1" t="s">
        <v>74</v>
      </c>
      <c r="S685" s="1" t="s">
        <v>74</v>
      </c>
      <c r="T685" s="1" t="s">
        <v>13861</v>
      </c>
      <c r="U685" s="1" t="s">
        <v>13862</v>
      </c>
      <c r="V685" s="1" t="s">
        <v>13863</v>
      </c>
      <c r="W685" s="1" t="s">
        <v>13864</v>
      </c>
      <c r="X685" s="1" t="s">
        <v>13865</v>
      </c>
      <c r="Y685" s="1" t="s">
        <v>13866</v>
      </c>
      <c r="Z685" s="1" t="s">
        <v>13867</v>
      </c>
      <c r="AA685" s="1" t="s">
        <v>13868</v>
      </c>
      <c r="AB685" s="1" t="s">
        <v>13869</v>
      </c>
      <c r="AC685" s="1" t="s">
        <v>13870</v>
      </c>
      <c r="AD685" s="1" t="s">
        <v>13871</v>
      </c>
      <c r="AE685" s="1" t="s">
        <v>13872</v>
      </c>
      <c r="AF685" s="1" t="s">
        <v>74</v>
      </c>
      <c r="AG685" s="1">
        <v>31.0</v>
      </c>
      <c r="AH685" s="1">
        <v>0.0</v>
      </c>
      <c r="AI685" s="1">
        <v>0.0</v>
      </c>
      <c r="AJ685" s="1">
        <v>0.0</v>
      </c>
      <c r="AK685" s="1">
        <v>0.0</v>
      </c>
      <c r="AL685" s="1" t="s">
        <v>13873</v>
      </c>
      <c r="AM685" s="1" t="s">
        <v>13874</v>
      </c>
      <c r="AN685" s="1" t="s">
        <v>13875</v>
      </c>
      <c r="AO685" s="1" t="s">
        <v>13876</v>
      </c>
      <c r="AP685" s="1" t="s">
        <v>74</v>
      </c>
      <c r="AQ685" s="1" t="s">
        <v>74</v>
      </c>
      <c r="AR685" s="1" t="s">
        <v>13877</v>
      </c>
      <c r="AS685" s="1" t="s">
        <v>13878</v>
      </c>
      <c r="AT685" s="1" t="s">
        <v>74</v>
      </c>
      <c r="AU685" s="1">
        <v>2024.0</v>
      </c>
      <c r="AV685" s="1">
        <v>17.0</v>
      </c>
      <c r="AW685" s="1" t="s">
        <v>74</v>
      </c>
      <c r="AX685" s="1" t="s">
        <v>74</v>
      </c>
      <c r="AY685" s="1" t="s">
        <v>74</v>
      </c>
      <c r="AZ685" s="1" t="s">
        <v>74</v>
      </c>
      <c r="BA685" s="1" t="s">
        <v>74</v>
      </c>
      <c r="BB685" s="1" t="s">
        <v>74</v>
      </c>
      <c r="BC685" s="1" t="s">
        <v>74</v>
      </c>
      <c r="BD685" s="1" t="s">
        <v>74</v>
      </c>
      <c r="BE685" s="1" t="s">
        <v>13879</v>
      </c>
      <c r="BF685" s="2" t="str">
        <f>HYPERLINK("http://dx.doi.org/10.2147/JMDH.S465508","http://dx.doi.org/10.2147/JMDH.S465508")</f>
        <v>http://dx.doi.org/10.2147/JMDH.S465508</v>
      </c>
      <c r="BG685" s="1" t="s">
        <v>74</v>
      </c>
      <c r="BH685" s="1" t="s">
        <v>74</v>
      </c>
      <c r="BI685" s="1">
        <v>12.0</v>
      </c>
      <c r="BJ685" s="1" t="s">
        <v>5783</v>
      </c>
      <c r="BK685" s="1" t="s">
        <v>149</v>
      </c>
      <c r="BL685" s="1" t="s">
        <v>5783</v>
      </c>
      <c r="BM685" s="1" t="s">
        <v>13880</v>
      </c>
      <c r="BN685" s="1">
        <v>3.94112E7</v>
      </c>
      <c r="BO685" s="1" t="s">
        <v>174</v>
      </c>
      <c r="BP685" s="1" t="s">
        <v>74</v>
      </c>
      <c r="BQ685" s="1" t="s">
        <v>74</v>
      </c>
      <c r="BR685" s="1" t="s">
        <v>102</v>
      </c>
      <c r="BS685" s="1" t="s">
        <v>13881</v>
      </c>
      <c r="BT685" s="1" t="str">
        <f>HYPERLINK("https%3A%2F%2Fwww.webofscience.com%2Fwos%2Fwoscc%2Ffull-record%2FWOS:001333227900001","View Full Record in Web of Science")</f>
        <v>View Full Record in Web of Science</v>
      </c>
    </row>
    <row r="686" ht="12.75" customHeight="1">
      <c r="A686" s="1" t="s">
        <v>132</v>
      </c>
      <c r="B686" s="1" t="s">
        <v>13882</v>
      </c>
      <c r="C686" s="1" t="s">
        <v>74</v>
      </c>
      <c r="D686" s="1" t="s">
        <v>74</v>
      </c>
      <c r="E686" s="1" t="s">
        <v>74</v>
      </c>
      <c r="F686" s="1" t="s">
        <v>13883</v>
      </c>
      <c r="G686" s="1" t="s">
        <v>74</v>
      </c>
      <c r="H686" s="1" t="s">
        <v>74</v>
      </c>
      <c r="I686" s="1" t="s">
        <v>13884</v>
      </c>
      <c r="J686" s="1" t="s">
        <v>9613</v>
      </c>
      <c r="K686" s="1" t="s">
        <v>74</v>
      </c>
      <c r="L686" s="1" t="s">
        <v>74</v>
      </c>
      <c r="M686" s="1" t="s">
        <v>80</v>
      </c>
      <c r="N686" s="1" t="s">
        <v>136</v>
      </c>
      <c r="O686" s="1" t="s">
        <v>74</v>
      </c>
      <c r="P686" s="1" t="s">
        <v>74</v>
      </c>
      <c r="Q686" s="1" t="s">
        <v>74</v>
      </c>
      <c r="R686" s="1" t="s">
        <v>74</v>
      </c>
      <c r="S686" s="1" t="s">
        <v>74</v>
      </c>
      <c r="T686" s="1" t="s">
        <v>13885</v>
      </c>
      <c r="U686" s="1" t="s">
        <v>13886</v>
      </c>
      <c r="V686" s="1" t="s">
        <v>13887</v>
      </c>
      <c r="W686" s="1" t="s">
        <v>13888</v>
      </c>
      <c r="X686" s="1" t="s">
        <v>13889</v>
      </c>
      <c r="Y686" s="1" t="s">
        <v>13890</v>
      </c>
      <c r="Z686" s="1" t="s">
        <v>13891</v>
      </c>
      <c r="AA686" s="1" t="s">
        <v>13892</v>
      </c>
      <c r="AB686" s="1" t="s">
        <v>13893</v>
      </c>
      <c r="AC686" s="1" t="s">
        <v>74</v>
      </c>
      <c r="AD686" s="1" t="s">
        <v>74</v>
      </c>
      <c r="AE686" s="1" t="s">
        <v>74</v>
      </c>
      <c r="AF686" s="1" t="s">
        <v>74</v>
      </c>
      <c r="AG686" s="1">
        <v>31.0</v>
      </c>
      <c r="AH686" s="1">
        <v>6.0</v>
      </c>
      <c r="AI686" s="1">
        <v>6.0</v>
      </c>
      <c r="AJ686" s="1">
        <v>8.0</v>
      </c>
      <c r="AK686" s="1">
        <v>21.0</v>
      </c>
      <c r="AL686" s="1" t="s">
        <v>9622</v>
      </c>
      <c r="AM686" s="1" t="s">
        <v>4584</v>
      </c>
      <c r="AN686" s="1" t="s">
        <v>9623</v>
      </c>
      <c r="AO686" s="1" t="s">
        <v>74</v>
      </c>
      <c r="AP686" s="1" t="s">
        <v>9624</v>
      </c>
      <c r="AQ686" s="1" t="s">
        <v>74</v>
      </c>
      <c r="AR686" s="1" t="s">
        <v>9613</v>
      </c>
      <c r="AS686" s="1" t="s">
        <v>9625</v>
      </c>
      <c r="AT686" s="1" t="s">
        <v>9959</v>
      </c>
      <c r="AU686" s="1">
        <v>2024.0</v>
      </c>
      <c r="AV686" s="1">
        <v>10.0</v>
      </c>
      <c r="AW686" s="1">
        <v>2.0</v>
      </c>
      <c r="AX686" s="1" t="s">
        <v>74</v>
      </c>
      <c r="AY686" s="1" t="s">
        <v>74</v>
      </c>
      <c r="AZ686" s="1" t="s">
        <v>74</v>
      </c>
      <c r="BA686" s="1" t="s">
        <v>74</v>
      </c>
      <c r="BB686" s="1" t="s">
        <v>74</v>
      </c>
      <c r="BC686" s="1" t="s">
        <v>74</v>
      </c>
      <c r="BD686" s="1" t="s">
        <v>13894</v>
      </c>
      <c r="BE686" s="1" t="s">
        <v>13895</v>
      </c>
      <c r="BF686" s="2" t="str">
        <f>HYPERLINK("http://dx.doi.org/10.1016/j.heliyon.2024.e24665","http://dx.doi.org/10.1016/j.heliyon.2024.e24665")</f>
        <v>http://dx.doi.org/10.1016/j.heliyon.2024.e24665</v>
      </c>
      <c r="BG686" s="1" t="s">
        <v>74</v>
      </c>
      <c r="BH686" s="1" t="s">
        <v>8579</v>
      </c>
      <c r="BI686" s="1">
        <v>13.0</v>
      </c>
      <c r="BJ686" s="1" t="s">
        <v>4714</v>
      </c>
      <c r="BK686" s="1" t="s">
        <v>149</v>
      </c>
      <c r="BL686" s="1" t="s">
        <v>4715</v>
      </c>
      <c r="BM686" s="1" t="s">
        <v>13896</v>
      </c>
      <c r="BN686" s="1">
        <v>3.8312608E7</v>
      </c>
      <c r="BO686" s="1" t="s">
        <v>1161</v>
      </c>
      <c r="BP686" s="1" t="s">
        <v>74</v>
      </c>
      <c r="BQ686" s="1" t="s">
        <v>74</v>
      </c>
      <c r="BR686" s="1" t="s">
        <v>102</v>
      </c>
      <c r="BS686" s="1" t="s">
        <v>13897</v>
      </c>
      <c r="BT686" s="1" t="str">
        <f>HYPERLINK("https%3A%2F%2Fwww.webofscience.com%2Fwos%2Fwoscc%2Ffull-record%2FWOS:001167564000001","View Full Record in Web of Science")</f>
        <v>View Full Record in Web of Science</v>
      </c>
    </row>
    <row r="687" ht="12.75" customHeight="1">
      <c r="A687" s="1" t="s">
        <v>132</v>
      </c>
      <c r="B687" s="1" t="s">
        <v>13898</v>
      </c>
      <c r="C687" s="1" t="s">
        <v>74</v>
      </c>
      <c r="D687" s="1" t="s">
        <v>74</v>
      </c>
      <c r="E687" s="1" t="s">
        <v>74</v>
      </c>
      <c r="F687" s="1" t="s">
        <v>13899</v>
      </c>
      <c r="G687" s="1" t="s">
        <v>74</v>
      </c>
      <c r="H687" s="1" t="s">
        <v>74</v>
      </c>
      <c r="I687" s="1" t="s">
        <v>13900</v>
      </c>
      <c r="J687" s="1" t="s">
        <v>13901</v>
      </c>
      <c r="K687" s="1" t="s">
        <v>74</v>
      </c>
      <c r="L687" s="1" t="s">
        <v>74</v>
      </c>
      <c r="M687" s="1" t="s">
        <v>80</v>
      </c>
      <c r="N687" s="1" t="s">
        <v>136</v>
      </c>
      <c r="O687" s="1" t="s">
        <v>74</v>
      </c>
      <c r="P687" s="1" t="s">
        <v>74</v>
      </c>
      <c r="Q687" s="1" t="s">
        <v>74</v>
      </c>
      <c r="R687" s="1" t="s">
        <v>74</v>
      </c>
      <c r="S687" s="1" t="s">
        <v>74</v>
      </c>
      <c r="T687" s="1" t="s">
        <v>13902</v>
      </c>
      <c r="U687" s="1" t="s">
        <v>13903</v>
      </c>
      <c r="V687" s="1" t="s">
        <v>13904</v>
      </c>
      <c r="W687" s="1" t="s">
        <v>13905</v>
      </c>
      <c r="X687" s="1" t="s">
        <v>13906</v>
      </c>
      <c r="Y687" s="1" t="s">
        <v>13907</v>
      </c>
      <c r="Z687" s="1" t="s">
        <v>13908</v>
      </c>
      <c r="AA687" s="1" t="s">
        <v>74</v>
      </c>
      <c r="AB687" s="1" t="s">
        <v>13909</v>
      </c>
      <c r="AC687" s="1" t="s">
        <v>74</v>
      </c>
      <c r="AD687" s="1" t="s">
        <v>74</v>
      </c>
      <c r="AE687" s="1" t="s">
        <v>74</v>
      </c>
      <c r="AF687" s="1" t="s">
        <v>74</v>
      </c>
      <c r="AG687" s="1">
        <v>81.0</v>
      </c>
      <c r="AH687" s="1">
        <v>36.0</v>
      </c>
      <c r="AI687" s="1">
        <v>36.0</v>
      </c>
      <c r="AJ687" s="1">
        <v>43.0</v>
      </c>
      <c r="AK687" s="1">
        <v>145.0</v>
      </c>
      <c r="AL687" s="1" t="s">
        <v>321</v>
      </c>
      <c r="AM687" s="1" t="s">
        <v>322</v>
      </c>
      <c r="AN687" s="1" t="s">
        <v>323</v>
      </c>
      <c r="AO687" s="1" t="s">
        <v>13910</v>
      </c>
      <c r="AP687" s="1" t="s">
        <v>13911</v>
      </c>
      <c r="AQ687" s="1" t="s">
        <v>74</v>
      </c>
      <c r="AR687" s="1" t="s">
        <v>13912</v>
      </c>
      <c r="AS687" s="1" t="s">
        <v>13913</v>
      </c>
      <c r="AT687" s="1" t="s">
        <v>1051</v>
      </c>
      <c r="AU687" s="1">
        <v>2022.0</v>
      </c>
      <c r="AV687" s="1">
        <v>51.0</v>
      </c>
      <c r="AW687" s="1">
        <v>10.0</v>
      </c>
      <c r="AX687" s="1" t="s">
        <v>74</v>
      </c>
      <c r="AY687" s="1" t="s">
        <v>74</v>
      </c>
      <c r="AZ687" s="1" t="s">
        <v>74</v>
      </c>
      <c r="BA687" s="1" t="s">
        <v>74</v>
      </c>
      <c r="BB687" s="1" t="s">
        <v>74</v>
      </c>
      <c r="BC687" s="1" t="s">
        <v>74</v>
      </c>
      <c r="BD687" s="1">
        <v>104604.0</v>
      </c>
      <c r="BE687" s="1" t="s">
        <v>13914</v>
      </c>
      <c r="BF687" s="2" t="str">
        <f>HYPERLINK("http://dx.doi.org/10.1016/j.respol.2022.104604","http://dx.doi.org/10.1016/j.respol.2022.104604")</f>
        <v>http://dx.doi.org/10.1016/j.respol.2022.104604</v>
      </c>
      <c r="BG687" s="1" t="s">
        <v>74</v>
      </c>
      <c r="BH687" s="1" t="s">
        <v>13007</v>
      </c>
      <c r="BI687" s="1">
        <v>15.0</v>
      </c>
      <c r="BJ687" s="1" t="s">
        <v>1776</v>
      </c>
      <c r="BK687" s="1" t="s">
        <v>203</v>
      </c>
      <c r="BL687" s="1" t="s">
        <v>204</v>
      </c>
      <c r="BM687" s="1" t="s">
        <v>13915</v>
      </c>
      <c r="BN687" s="1" t="s">
        <v>74</v>
      </c>
      <c r="BO687" s="1" t="s">
        <v>7447</v>
      </c>
      <c r="BP687" s="1" t="s">
        <v>74</v>
      </c>
      <c r="BQ687" s="1" t="s">
        <v>74</v>
      </c>
      <c r="BR687" s="1" t="s">
        <v>102</v>
      </c>
      <c r="BS687" s="1" t="s">
        <v>13916</v>
      </c>
      <c r="BT687" s="1" t="str">
        <f>HYPERLINK("https%3A%2F%2Fwww.webofscience.com%2Fwos%2Fwoscc%2Ffull-record%2FWOS:000888595500004","View Full Record in Web of Science")</f>
        <v>View Full Record in Web of Science</v>
      </c>
    </row>
    <row r="688" ht="12.75" customHeight="1">
      <c r="A688" s="1" t="s">
        <v>132</v>
      </c>
      <c r="B688" s="1" t="s">
        <v>13917</v>
      </c>
      <c r="C688" s="1" t="s">
        <v>74</v>
      </c>
      <c r="D688" s="1" t="s">
        <v>74</v>
      </c>
      <c r="E688" s="1" t="s">
        <v>74</v>
      </c>
      <c r="F688" s="1" t="s">
        <v>13918</v>
      </c>
      <c r="G688" s="1" t="s">
        <v>74</v>
      </c>
      <c r="H688" s="1" t="s">
        <v>74</v>
      </c>
      <c r="I688" s="1" t="s">
        <v>13919</v>
      </c>
      <c r="J688" s="1" t="s">
        <v>13920</v>
      </c>
      <c r="K688" s="1" t="s">
        <v>74</v>
      </c>
      <c r="L688" s="1" t="s">
        <v>74</v>
      </c>
      <c r="M688" s="1" t="s">
        <v>80</v>
      </c>
      <c r="N688" s="1" t="s">
        <v>136</v>
      </c>
      <c r="O688" s="1" t="s">
        <v>74</v>
      </c>
      <c r="P688" s="1" t="s">
        <v>74</v>
      </c>
      <c r="Q688" s="1" t="s">
        <v>74</v>
      </c>
      <c r="R688" s="1" t="s">
        <v>74</v>
      </c>
      <c r="S688" s="1" t="s">
        <v>74</v>
      </c>
      <c r="T688" s="1" t="s">
        <v>13921</v>
      </c>
      <c r="U688" s="1" t="s">
        <v>74</v>
      </c>
      <c r="V688" s="1" t="s">
        <v>13922</v>
      </c>
      <c r="W688" s="1" t="s">
        <v>13923</v>
      </c>
      <c r="X688" s="1" t="s">
        <v>13924</v>
      </c>
      <c r="Y688" s="1" t="s">
        <v>13925</v>
      </c>
      <c r="Z688" s="1" t="s">
        <v>13926</v>
      </c>
      <c r="AA688" s="1" t="s">
        <v>13927</v>
      </c>
      <c r="AB688" s="1" t="s">
        <v>13928</v>
      </c>
      <c r="AC688" s="1" t="s">
        <v>74</v>
      </c>
      <c r="AD688" s="1" t="s">
        <v>74</v>
      </c>
      <c r="AE688" s="1" t="s">
        <v>74</v>
      </c>
      <c r="AF688" s="1" t="s">
        <v>74</v>
      </c>
      <c r="AG688" s="1">
        <v>26.0</v>
      </c>
      <c r="AH688" s="1">
        <v>1.0</v>
      </c>
      <c r="AI688" s="1">
        <v>1.0</v>
      </c>
      <c r="AJ688" s="1">
        <v>6.0</v>
      </c>
      <c r="AK688" s="1">
        <v>7.0</v>
      </c>
      <c r="AL688" s="1" t="s">
        <v>1970</v>
      </c>
      <c r="AM688" s="1" t="s">
        <v>1658</v>
      </c>
      <c r="AN688" s="1" t="s">
        <v>1971</v>
      </c>
      <c r="AO688" s="1" t="s">
        <v>13929</v>
      </c>
      <c r="AP688" s="1" t="s">
        <v>13930</v>
      </c>
      <c r="AQ688" s="1" t="s">
        <v>74</v>
      </c>
      <c r="AR688" s="1" t="s">
        <v>13931</v>
      </c>
      <c r="AS688" s="1" t="s">
        <v>13932</v>
      </c>
      <c r="AT688" s="1" t="s">
        <v>328</v>
      </c>
      <c r="AU688" s="1">
        <v>2024.0</v>
      </c>
      <c r="AV688" s="1">
        <v>14.0</v>
      </c>
      <c r="AW688" s="1">
        <v>2.0</v>
      </c>
      <c r="AX688" s="1" t="s">
        <v>74</v>
      </c>
      <c r="AY688" s="1" t="s">
        <v>74</v>
      </c>
      <c r="AZ688" s="1" t="s">
        <v>74</v>
      </c>
      <c r="BA688" s="1" t="s">
        <v>74</v>
      </c>
      <c r="BB688" s="1">
        <v>1129.0</v>
      </c>
      <c r="BC688" s="1">
        <v>1135.0</v>
      </c>
      <c r="BD688" s="1" t="s">
        <v>74</v>
      </c>
      <c r="BE688" s="1" t="s">
        <v>13933</v>
      </c>
      <c r="BF688" s="2" t="str">
        <f>HYPERLINK("http://dx.doi.org/10.3390/nursrep14020085","http://dx.doi.org/10.3390/nursrep14020085")</f>
        <v>http://dx.doi.org/10.3390/nursrep14020085</v>
      </c>
      <c r="BG688" s="1" t="s">
        <v>74</v>
      </c>
      <c r="BH688" s="1" t="s">
        <v>74</v>
      </c>
      <c r="BI688" s="1">
        <v>7.0</v>
      </c>
      <c r="BJ688" s="1" t="s">
        <v>1578</v>
      </c>
      <c r="BK688" s="1" t="s">
        <v>172</v>
      </c>
      <c r="BL688" s="1" t="s">
        <v>1578</v>
      </c>
      <c r="BM688" s="1" t="s">
        <v>13934</v>
      </c>
      <c r="BN688" s="1">
        <v>3.8804418E7</v>
      </c>
      <c r="BO688" s="1" t="s">
        <v>284</v>
      </c>
      <c r="BP688" s="1" t="s">
        <v>74</v>
      </c>
      <c r="BQ688" s="1" t="s">
        <v>74</v>
      </c>
      <c r="BR688" s="1" t="s">
        <v>102</v>
      </c>
      <c r="BS688" s="1" t="s">
        <v>13935</v>
      </c>
      <c r="BT688" s="1" t="str">
        <f>HYPERLINK("https%3A%2F%2Fwww.webofscience.com%2Fwos%2Fwoscc%2Ffull-record%2FWOS:001256636300001","View Full Record in Web of Science")</f>
        <v>View Full Record in Web of Science</v>
      </c>
    </row>
    <row r="689" ht="12.75" customHeight="1">
      <c r="A689" s="1" t="s">
        <v>132</v>
      </c>
      <c r="B689" s="1" t="s">
        <v>13936</v>
      </c>
      <c r="C689" s="1" t="s">
        <v>74</v>
      </c>
      <c r="D689" s="1" t="s">
        <v>74</v>
      </c>
      <c r="E689" s="1" t="s">
        <v>74</v>
      </c>
      <c r="F689" s="1" t="s">
        <v>13937</v>
      </c>
      <c r="G689" s="1" t="s">
        <v>74</v>
      </c>
      <c r="H689" s="1" t="s">
        <v>74</v>
      </c>
      <c r="I689" s="1" t="s">
        <v>13938</v>
      </c>
      <c r="J689" s="1" t="s">
        <v>13939</v>
      </c>
      <c r="K689" s="1" t="s">
        <v>74</v>
      </c>
      <c r="L689" s="1" t="s">
        <v>74</v>
      </c>
      <c r="M689" s="1" t="s">
        <v>638</v>
      </c>
      <c r="N689" s="1" t="s">
        <v>136</v>
      </c>
      <c r="O689" s="1" t="s">
        <v>74</v>
      </c>
      <c r="P689" s="1" t="s">
        <v>74</v>
      </c>
      <c r="Q689" s="1" t="s">
        <v>74</v>
      </c>
      <c r="R689" s="1" t="s">
        <v>74</v>
      </c>
      <c r="S689" s="1" t="s">
        <v>74</v>
      </c>
      <c r="T689" s="1" t="s">
        <v>13940</v>
      </c>
      <c r="U689" s="1" t="s">
        <v>74</v>
      </c>
      <c r="V689" s="1" t="s">
        <v>13941</v>
      </c>
      <c r="W689" s="1" t="s">
        <v>13942</v>
      </c>
      <c r="X689" s="1" t="s">
        <v>13943</v>
      </c>
      <c r="Y689" s="1" t="s">
        <v>13944</v>
      </c>
      <c r="Z689" s="1" t="s">
        <v>13945</v>
      </c>
      <c r="AA689" s="1" t="s">
        <v>13946</v>
      </c>
      <c r="AB689" s="1" t="s">
        <v>74</v>
      </c>
      <c r="AC689" s="1" t="s">
        <v>74</v>
      </c>
      <c r="AD689" s="1" t="s">
        <v>74</v>
      </c>
      <c r="AE689" s="1" t="s">
        <v>74</v>
      </c>
      <c r="AF689" s="1" t="s">
        <v>74</v>
      </c>
      <c r="AG689" s="1">
        <v>49.0</v>
      </c>
      <c r="AH689" s="1">
        <v>4.0</v>
      </c>
      <c r="AI689" s="1">
        <v>4.0</v>
      </c>
      <c r="AJ689" s="1">
        <v>1.0</v>
      </c>
      <c r="AK689" s="1">
        <v>14.0</v>
      </c>
      <c r="AL689" s="1" t="s">
        <v>13947</v>
      </c>
      <c r="AM689" s="1" t="s">
        <v>13948</v>
      </c>
      <c r="AN689" s="1" t="s">
        <v>13949</v>
      </c>
      <c r="AO689" s="1" t="s">
        <v>13950</v>
      </c>
      <c r="AP689" s="1" t="s">
        <v>13951</v>
      </c>
      <c r="AQ689" s="1" t="s">
        <v>74</v>
      </c>
      <c r="AR689" s="1" t="s">
        <v>13952</v>
      </c>
      <c r="AS689" s="1" t="s">
        <v>13953</v>
      </c>
      <c r="AT689" s="1" t="s">
        <v>4667</v>
      </c>
      <c r="AU689" s="1">
        <v>2020.0</v>
      </c>
      <c r="AV689" s="1">
        <v>17.0</v>
      </c>
      <c r="AW689" s="1">
        <v>39.0</v>
      </c>
      <c r="AX689" s="1" t="s">
        <v>74</v>
      </c>
      <c r="AY689" s="1" t="s">
        <v>74</v>
      </c>
      <c r="AZ689" s="1" t="s">
        <v>74</v>
      </c>
      <c r="BA689" s="1" t="s">
        <v>74</v>
      </c>
      <c r="BB689" s="1">
        <v>123.0</v>
      </c>
      <c r="BC689" s="1">
        <v>146.0</v>
      </c>
      <c r="BD689" s="1" t="s">
        <v>74</v>
      </c>
      <c r="BE689" s="1" t="s">
        <v>13954</v>
      </c>
      <c r="BF689" s="2" t="str">
        <f>HYPERLINK("http://dx.doi.org/10.18623/rvd.v17i39.1830","http://dx.doi.org/10.18623/rvd.v17i39.1830")</f>
        <v>http://dx.doi.org/10.18623/rvd.v17i39.1830</v>
      </c>
      <c r="BG689" s="1" t="s">
        <v>74</v>
      </c>
      <c r="BH689" s="1" t="s">
        <v>74</v>
      </c>
      <c r="BI689" s="1">
        <v>24.0</v>
      </c>
      <c r="BJ689" s="1" t="s">
        <v>915</v>
      </c>
      <c r="BK689" s="1" t="s">
        <v>172</v>
      </c>
      <c r="BL689" s="1" t="s">
        <v>916</v>
      </c>
      <c r="BM689" s="1" t="s">
        <v>13955</v>
      </c>
      <c r="BN689" s="1" t="s">
        <v>74</v>
      </c>
      <c r="BO689" s="1" t="s">
        <v>284</v>
      </c>
      <c r="BP689" s="1" t="s">
        <v>74</v>
      </c>
      <c r="BQ689" s="1" t="s">
        <v>74</v>
      </c>
      <c r="BR689" s="1" t="s">
        <v>102</v>
      </c>
      <c r="BS689" s="1" t="s">
        <v>13956</v>
      </c>
      <c r="BT689" s="1" t="str">
        <f>HYPERLINK("https%3A%2F%2Fwww.webofscience.com%2Fwos%2Fwoscc%2Ffull-record%2FWOS:000608921800006","View Full Record in Web of Science")</f>
        <v>View Full Record in Web of Science</v>
      </c>
    </row>
    <row r="690" ht="12.75" customHeight="1">
      <c r="A690" s="1" t="s">
        <v>132</v>
      </c>
      <c r="B690" s="1" t="s">
        <v>13957</v>
      </c>
      <c r="C690" s="1" t="s">
        <v>74</v>
      </c>
      <c r="D690" s="1" t="s">
        <v>74</v>
      </c>
      <c r="E690" s="1" t="s">
        <v>74</v>
      </c>
      <c r="F690" s="1" t="s">
        <v>13958</v>
      </c>
      <c r="G690" s="1" t="s">
        <v>74</v>
      </c>
      <c r="H690" s="1" t="s">
        <v>74</v>
      </c>
      <c r="I690" s="1" t="s">
        <v>13959</v>
      </c>
      <c r="J690" s="1" t="s">
        <v>637</v>
      </c>
      <c r="K690" s="1" t="s">
        <v>74</v>
      </c>
      <c r="L690" s="1" t="s">
        <v>74</v>
      </c>
      <c r="M690" s="1" t="s">
        <v>638</v>
      </c>
      <c r="N690" s="1" t="s">
        <v>136</v>
      </c>
      <c r="O690" s="1" t="s">
        <v>74</v>
      </c>
      <c r="P690" s="1" t="s">
        <v>74</v>
      </c>
      <c r="Q690" s="1" t="s">
        <v>74</v>
      </c>
      <c r="R690" s="1" t="s">
        <v>74</v>
      </c>
      <c r="S690" s="1" t="s">
        <v>74</v>
      </c>
      <c r="T690" s="1" t="s">
        <v>13960</v>
      </c>
      <c r="U690" s="1" t="s">
        <v>13961</v>
      </c>
      <c r="V690" s="1" t="s">
        <v>13962</v>
      </c>
      <c r="W690" s="1" t="s">
        <v>13963</v>
      </c>
      <c r="X690" s="1" t="s">
        <v>13964</v>
      </c>
      <c r="Y690" s="1" t="s">
        <v>13965</v>
      </c>
      <c r="Z690" s="1" t="s">
        <v>13966</v>
      </c>
      <c r="AA690" s="1" t="s">
        <v>74</v>
      </c>
      <c r="AB690" s="1" t="s">
        <v>13967</v>
      </c>
      <c r="AC690" s="1" t="s">
        <v>74</v>
      </c>
      <c r="AD690" s="1" t="s">
        <v>74</v>
      </c>
      <c r="AE690" s="1" t="s">
        <v>74</v>
      </c>
      <c r="AF690" s="1" t="s">
        <v>74</v>
      </c>
      <c r="AG690" s="1">
        <v>51.0</v>
      </c>
      <c r="AH690" s="1">
        <v>4.0</v>
      </c>
      <c r="AI690" s="1">
        <v>4.0</v>
      </c>
      <c r="AJ690" s="1">
        <v>3.0</v>
      </c>
      <c r="AK690" s="1">
        <v>13.0</v>
      </c>
      <c r="AL690" s="1" t="s">
        <v>647</v>
      </c>
      <c r="AM690" s="1" t="s">
        <v>648</v>
      </c>
      <c r="AN690" s="1" t="s">
        <v>649</v>
      </c>
      <c r="AO690" s="1" t="s">
        <v>650</v>
      </c>
      <c r="AP690" s="1" t="s">
        <v>651</v>
      </c>
      <c r="AQ690" s="1" t="s">
        <v>74</v>
      </c>
      <c r="AR690" s="1" t="s">
        <v>652</v>
      </c>
      <c r="AS690" s="1" t="s">
        <v>653</v>
      </c>
      <c r="AT690" s="1" t="s">
        <v>6623</v>
      </c>
      <c r="AU690" s="1">
        <v>2022.0</v>
      </c>
      <c r="AV690" s="1">
        <v>64.0</v>
      </c>
      <c r="AW690" s="1">
        <v>4.0</v>
      </c>
      <c r="AX690" s="1" t="s">
        <v>74</v>
      </c>
      <c r="AY690" s="1" t="s">
        <v>74</v>
      </c>
      <c r="AZ690" s="1" t="s">
        <v>74</v>
      </c>
      <c r="BA690" s="1" t="s">
        <v>74</v>
      </c>
      <c r="BB690" s="1">
        <v>324.0</v>
      </c>
      <c r="BC690" s="1">
        <v>332.0</v>
      </c>
      <c r="BD690" s="1" t="s">
        <v>74</v>
      </c>
      <c r="BE690" s="1" t="s">
        <v>13968</v>
      </c>
      <c r="BF690" s="2" t="str">
        <f>HYPERLINK("http://dx.doi.org/10.1016/j.rx.2022.04.005","http://dx.doi.org/10.1016/j.rx.2022.04.005")</f>
        <v>http://dx.doi.org/10.1016/j.rx.2022.04.005</v>
      </c>
      <c r="BG690" s="1" t="s">
        <v>74</v>
      </c>
      <c r="BH690" s="1" t="s">
        <v>4613</v>
      </c>
      <c r="BI690" s="1">
        <v>9.0</v>
      </c>
      <c r="BJ690" s="1" t="s">
        <v>656</v>
      </c>
      <c r="BK690" s="1" t="s">
        <v>172</v>
      </c>
      <c r="BL690" s="1" t="s">
        <v>656</v>
      </c>
      <c r="BM690" s="1" t="s">
        <v>13969</v>
      </c>
      <c r="BN690" s="1">
        <v>3.603008E7</v>
      </c>
      <c r="BO690" s="1" t="s">
        <v>74</v>
      </c>
      <c r="BP690" s="1" t="s">
        <v>74</v>
      </c>
      <c r="BQ690" s="1" t="s">
        <v>74</v>
      </c>
      <c r="BR690" s="1" t="s">
        <v>102</v>
      </c>
      <c r="BS690" s="1" t="s">
        <v>13970</v>
      </c>
      <c r="BT690" s="1" t="str">
        <f>HYPERLINK("https%3A%2F%2Fwww.webofscience.com%2Fwos%2Fwoscc%2Ffull-record%2FWOS:000861088300006","View Full Record in Web of Science")</f>
        <v>View Full Record in Web of Science</v>
      </c>
    </row>
    <row r="691" ht="12.75" customHeight="1">
      <c r="A691" s="1" t="s">
        <v>132</v>
      </c>
      <c r="B691" s="1" t="s">
        <v>13971</v>
      </c>
      <c r="C691" s="1" t="s">
        <v>74</v>
      </c>
      <c r="D691" s="1" t="s">
        <v>74</v>
      </c>
      <c r="E691" s="1" t="s">
        <v>74</v>
      </c>
      <c r="F691" s="1" t="s">
        <v>13972</v>
      </c>
      <c r="G691" s="1" t="s">
        <v>74</v>
      </c>
      <c r="H691" s="1" t="s">
        <v>74</v>
      </c>
      <c r="I691" s="1" t="s">
        <v>13973</v>
      </c>
      <c r="J691" s="1" t="s">
        <v>13974</v>
      </c>
      <c r="K691" s="1" t="s">
        <v>74</v>
      </c>
      <c r="L691" s="1" t="s">
        <v>74</v>
      </c>
      <c r="M691" s="1" t="s">
        <v>80</v>
      </c>
      <c r="N691" s="1" t="s">
        <v>136</v>
      </c>
      <c r="O691" s="1" t="s">
        <v>74</v>
      </c>
      <c r="P691" s="1" t="s">
        <v>74</v>
      </c>
      <c r="Q691" s="1" t="s">
        <v>74</v>
      </c>
      <c r="R691" s="1" t="s">
        <v>74</v>
      </c>
      <c r="S691" s="1" t="s">
        <v>74</v>
      </c>
      <c r="T691" s="1" t="s">
        <v>13975</v>
      </c>
      <c r="U691" s="1" t="s">
        <v>74</v>
      </c>
      <c r="V691" s="1" t="s">
        <v>13976</v>
      </c>
      <c r="W691" s="1" t="s">
        <v>13977</v>
      </c>
      <c r="X691" s="1" t="s">
        <v>13978</v>
      </c>
      <c r="Y691" s="1" t="s">
        <v>13979</v>
      </c>
      <c r="Z691" s="1" t="s">
        <v>13980</v>
      </c>
      <c r="AA691" s="1" t="s">
        <v>13981</v>
      </c>
      <c r="AB691" s="1" t="s">
        <v>13982</v>
      </c>
      <c r="AC691" s="1" t="s">
        <v>74</v>
      </c>
      <c r="AD691" s="1" t="s">
        <v>74</v>
      </c>
      <c r="AE691" s="1" t="s">
        <v>74</v>
      </c>
      <c r="AF691" s="1" t="s">
        <v>74</v>
      </c>
      <c r="AG691" s="1">
        <v>45.0</v>
      </c>
      <c r="AH691" s="1">
        <v>1.0</v>
      </c>
      <c r="AI691" s="1">
        <v>1.0</v>
      </c>
      <c r="AJ691" s="1">
        <v>5.0</v>
      </c>
      <c r="AK691" s="1">
        <v>10.0</v>
      </c>
      <c r="AL691" s="1" t="s">
        <v>13983</v>
      </c>
      <c r="AM691" s="1" t="s">
        <v>193</v>
      </c>
      <c r="AN691" s="1" t="s">
        <v>13984</v>
      </c>
      <c r="AO691" s="1" t="s">
        <v>13985</v>
      </c>
      <c r="AP691" s="1" t="s">
        <v>13986</v>
      </c>
      <c r="AQ691" s="1" t="s">
        <v>74</v>
      </c>
      <c r="AR691" s="1" t="s">
        <v>13987</v>
      </c>
      <c r="AS691" s="1" t="s">
        <v>13988</v>
      </c>
      <c r="AT691" s="1" t="s">
        <v>1051</v>
      </c>
      <c r="AU691" s="1">
        <v>2023.0</v>
      </c>
      <c r="AV691" s="1">
        <v>108.0</v>
      </c>
      <c r="AW691" s="1" t="s">
        <v>13989</v>
      </c>
      <c r="AX691" s="1" t="s">
        <v>74</v>
      </c>
      <c r="AY691" s="1">
        <v>2.0</v>
      </c>
      <c r="AZ691" s="1" t="s">
        <v>74</v>
      </c>
      <c r="BA691" s="1" t="s">
        <v>74</v>
      </c>
      <c r="BB691" s="1" t="s">
        <v>13990</v>
      </c>
      <c r="BC691" s="1" t="s">
        <v>13991</v>
      </c>
      <c r="BD691" s="1" t="s">
        <v>74</v>
      </c>
      <c r="BE691" s="1" t="s">
        <v>13992</v>
      </c>
      <c r="BF691" s="2" t="str">
        <f>HYPERLINK("http://dx.doi.org/10.1134/S106456242355001X","http://dx.doi.org/10.1134/S106456242355001X")</f>
        <v>http://dx.doi.org/10.1134/S106456242355001X</v>
      </c>
      <c r="BG691" s="1" t="s">
        <v>74</v>
      </c>
      <c r="BH691" s="1" t="s">
        <v>2958</v>
      </c>
      <c r="BI691" s="1">
        <v>11.0</v>
      </c>
      <c r="BJ691" s="1" t="s">
        <v>13993</v>
      </c>
      <c r="BK691" s="1" t="s">
        <v>149</v>
      </c>
      <c r="BL691" s="1" t="s">
        <v>13993</v>
      </c>
      <c r="BM691" s="1" t="s">
        <v>13994</v>
      </c>
      <c r="BN691" s="1" t="s">
        <v>74</v>
      </c>
      <c r="BO691" s="1" t="s">
        <v>74</v>
      </c>
      <c r="BP691" s="1" t="s">
        <v>74</v>
      </c>
      <c r="BQ691" s="1" t="s">
        <v>74</v>
      </c>
      <c r="BR691" s="1" t="s">
        <v>102</v>
      </c>
      <c r="BS691" s="1" t="s">
        <v>13995</v>
      </c>
      <c r="BT691" s="1" t="str">
        <f>HYPERLINK("https%3A%2F%2Fwww.webofscience.com%2Fwos%2Fwoscc%2Ffull-record%2FWOS:001180328000002","View Full Record in Web of Science")</f>
        <v>View Full Record in Web of Science</v>
      </c>
    </row>
    <row r="692" ht="12.75" customHeight="1">
      <c r="A692" s="1" t="s">
        <v>132</v>
      </c>
      <c r="B692" s="1" t="s">
        <v>13996</v>
      </c>
      <c r="C692" s="1" t="s">
        <v>74</v>
      </c>
      <c r="D692" s="1" t="s">
        <v>74</v>
      </c>
      <c r="E692" s="1" t="s">
        <v>74</v>
      </c>
      <c r="F692" s="1" t="s">
        <v>13997</v>
      </c>
      <c r="G692" s="1" t="s">
        <v>74</v>
      </c>
      <c r="H692" s="1" t="s">
        <v>74</v>
      </c>
      <c r="I692" s="1" t="s">
        <v>13998</v>
      </c>
      <c r="J692" s="1" t="s">
        <v>13999</v>
      </c>
      <c r="K692" s="1" t="s">
        <v>74</v>
      </c>
      <c r="L692" s="1" t="s">
        <v>74</v>
      </c>
      <c r="M692" s="1" t="s">
        <v>80</v>
      </c>
      <c r="N692" s="1" t="s">
        <v>136</v>
      </c>
      <c r="O692" s="1" t="s">
        <v>74</v>
      </c>
      <c r="P692" s="1" t="s">
        <v>74</v>
      </c>
      <c r="Q692" s="1" t="s">
        <v>74</v>
      </c>
      <c r="R692" s="1" t="s">
        <v>74</v>
      </c>
      <c r="S692" s="1" t="s">
        <v>74</v>
      </c>
      <c r="T692" s="1" t="s">
        <v>14000</v>
      </c>
      <c r="U692" s="1" t="s">
        <v>74</v>
      </c>
      <c r="V692" s="1" t="s">
        <v>14001</v>
      </c>
      <c r="W692" s="1" t="s">
        <v>14002</v>
      </c>
      <c r="X692" s="1" t="s">
        <v>14003</v>
      </c>
      <c r="Y692" s="1" t="s">
        <v>14004</v>
      </c>
      <c r="Z692" s="1" t="s">
        <v>14005</v>
      </c>
      <c r="AA692" s="1" t="s">
        <v>74</v>
      </c>
      <c r="AB692" s="1" t="s">
        <v>74</v>
      </c>
      <c r="AC692" s="1" t="s">
        <v>74</v>
      </c>
      <c r="AD692" s="1" t="s">
        <v>74</v>
      </c>
      <c r="AE692" s="1" t="s">
        <v>74</v>
      </c>
      <c r="AF692" s="1" t="s">
        <v>74</v>
      </c>
      <c r="AG692" s="1">
        <v>0.0</v>
      </c>
      <c r="AH692" s="1">
        <v>3.0</v>
      </c>
      <c r="AI692" s="1">
        <v>3.0</v>
      </c>
      <c r="AJ692" s="1">
        <v>0.0</v>
      </c>
      <c r="AK692" s="1">
        <v>18.0</v>
      </c>
      <c r="AL692" s="1" t="s">
        <v>1357</v>
      </c>
      <c r="AM692" s="1" t="s">
        <v>1358</v>
      </c>
      <c r="AN692" s="1" t="s">
        <v>1359</v>
      </c>
      <c r="AO692" s="1" t="s">
        <v>14006</v>
      </c>
      <c r="AP692" s="1" t="s">
        <v>14007</v>
      </c>
      <c r="AQ692" s="1" t="s">
        <v>74</v>
      </c>
      <c r="AR692" s="1" t="s">
        <v>14008</v>
      </c>
      <c r="AS692" s="1" t="s">
        <v>14009</v>
      </c>
      <c r="AT692" s="1" t="s">
        <v>1253</v>
      </c>
      <c r="AU692" s="1">
        <v>2021.0</v>
      </c>
      <c r="AV692" s="1">
        <v>59.0</v>
      </c>
      <c r="AW692" s="1">
        <v>2.0</v>
      </c>
      <c r="AX692" s="1" t="s">
        <v>74</v>
      </c>
      <c r="AY692" s="1" t="s">
        <v>74</v>
      </c>
      <c r="AZ692" s="1" t="s">
        <v>74</v>
      </c>
      <c r="BA692" s="1" t="s">
        <v>74</v>
      </c>
      <c r="BB692" s="1">
        <v>227.0</v>
      </c>
      <c r="BC692" s="1">
        <v>231.0</v>
      </c>
      <c r="BD692" s="1" t="s">
        <v>74</v>
      </c>
      <c r="BE692" s="1" t="s">
        <v>14010</v>
      </c>
      <c r="BF692" s="2" t="str">
        <f>HYPERLINK("http://dx.doi.org/10.1111/fcre.12569","http://dx.doi.org/10.1111/fcre.12569")</f>
        <v>http://dx.doi.org/10.1111/fcre.12569</v>
      </c>
      <c r="BG692" s="1" t="s">
        <v>74</v>
      </c>
      <c r="BH692" s="1" t="s">
        <v>10410</v>
      </c>
      <c r="BI692" s="1">
        <v>5.0</v>
      </c>
      <c r="BJ692" s="1" t="s">
        <v>14011</v>
      </c>
      <c r="BK692" s="1" t="s">
        <v>172</v>
      </c>
      <c r="BL692" s="1" t="s">
        <v>14012</v>
      </c>
      <c r="BM692" s="1" t="s">
        <v>14013</v>
      </c>
      <c r="BN692" s="1" t="s">
        <v>74</v>
      </c>
      <c r="BO692" s="1" t="s">
        <v>74</v>
      </c>
      <c r="BP692" s="1" t="s">
        <v>74</v>
      </c>
      <c r="BQ692" s="1" t="s">
        <v>74</v>
      </c>
      <c r="BR692" s="1" t="s">
        <v>102</v>
      </c>
      <c r="BS692" s="1" t="s">
        <v>14014</v>
      </c>
      <c r="BT692" s="1" t="str">
        <f>HYPERLINK("https%3A%2F%2Fwww.webofscience.com%2Fwos%2Fwoscc%2Ffull-record%2FWOS:000639599400001","View Full Record in Web of Science")</f>
        <v>View Full Record in Web of Science</v>
      </c>
    </row>
    <row r="693" ht="12.75" customHeight="1">
      <c r="A693" s="1" t="s">
        <v>72</v>
      </c>
      <c r="B693" s="1" t="s">
        <v>14015</v>
      </c>
      <c r="C693" s="1" t="s">
        <v>74</v>
      </c>
      <c r="D693" s="1" t="s">
        <v>105</v>
      </c>
      <c r="E693" s="1" t="s">
        <v>74</v>
      </c>
      <c r="F693" s="1" t="s">
        <v>14016</v>
      </c>
      <c r="G693" s="1" t="s">
        <v>74</v>
      </c>
      <c r="H693" s="1" t="s">
        <v>74</v>
      </c>
      <c r="I693" s="1" t="s">
        <v>14017</v>
      </c>
      <c r="J693" s="1" t="s">
        <v>108</v>
      </c>
      <c r="K693" s="1" t="s">
        <v>74</v>
      </c>
      <c r="L693" s="1" t="s">
        <v>74</v>
      </c>
      <c r="M693" s="1" t="s">
        <v>80</v>
      </c>
      <c r="N693" s="1" t="s">
        <v>81</v>
      </c>
      <c r="O693" s="1" t="s">
        <v>109</v>
      </c>
      <c r="P693" s="1" t="s">
        <v>110</v>
      </c>
      <c r="Q693" s="1" t="s">
        <v>111</v>
      </c>
      <c r="R693" s="1" t="s">
        <v>112</v>
      </c>
      <c r="S693" s="1" t="s">
        <v>113</v>
      </c>
      <c r="T693" s="1" t="s">
        <v>14018</v>
      </c>
      <c r="U693" s="1" t="s">
        <v>74</v>
      </c>
      <c r="V693" s="1" t="s">
        <v>14019</v>
      </c>
      <c r="W693" s="1" t="s">
        <v>14020</v>
      </c>
      <c r="X693" s="1" t="s">
        <v>14021</v>
      </c>
      <c r="Y693" s="1" t="s">
        <v>14022</v>
      </c>
      <c r="Z693" s="1" t="s">
        <v>14023</v>
      </c>
      <c r="AA693" s="1" t="s">
        <v>74</v>
      </c>
      <c r="AB693" s="1" t="s">
        <v>74</v>
      </c>
      <c r="AC693" s="1" t="s">
        <v>74</v>
      </c>
      <c r="AD693" s="1" t="s">
        <v>74</v>
      </c>
      <c r="AE693" s="1" t="s">
        <v>74</v>
      </c>
      <c r="AF693" s="1" t="s">
        <v>74</v>
      </c>
      <c r="AG693" s="1">
        <v>42.0</v>
      </c>
      <c r="AH693" s="1">
        <v>0.0</v>
      </c>
      <c r="AI693" s="1">
        <v>0.0</v>
      </c>
      <c r="AJ693" s="1">
        <v>4.0</v>
      </c>
      <c r="AK693" s="1">
        <v>20.0</v>
      </c>
      <c r="AL693" s="1" t="s">
        <v>122</v>
      </c>
      <c r="AM693" s="1" t="s">
        <v>123</v>
      </c>
      <c r="AN693" s="1" t="s">
        <v>124</v>
      </c>
      <c r="AO693" s="1" t="s">
        <v>74</v>
      </c>
      <c r="AP693" s="1" t="s">
        <v>74</v>
      </c>
      <c r="AQ693" s="1" t="s">
        <v>125</v>
      </c>
      <c r="AR693" s="1" t="s">
        <v>74</v>
      </c>
      <c r="AS693" s="1" t="s">
        <v>74</v>
      </c>
      <c r="AT693" s="1" t="s">
        <v>74</v>
      </c>
      <c r="AU693" s="1">
        <v>2021.0</v>
      </c>
      <c r="AV693" s="1" t="s">
        <v>74</v>
      </c>
      <c r="AW693" s="1" t="s">
        <v>74</v>
      </c>
      <c r="AX693" s="1" t="s">
        <v>74</v>
      </c>
      <c r="AY693" s="1" t="s">
        <v>74</v>
      </c>
      <c r="AZ693" s="1" t="s">
        <v>74</v>
      </c>
      <c r="BA693" s="1" t="s">
        <v>74</v>
      </c>
      <c r="BB693" s="1">
        <v>35.0</v>
      </c>
      <c r="BC693" s="1">
        <v>42.0</v>
      </c>
      <c r="BD693" s="1" t="s">
        <v>74</v>
      </c>
      <c r="BE693" s="1" t="s">
        <v>14024</v>
      </c>
      <c r="BF693" s="2" t="str">
        <f>HYPERLINK("http://dx.doi.org/10.34190/EAIR.21.039","http://dx.doi.org/10.34190/EAIR.21.039")</f>
        <v>http://dx.doi.org/10.34190/EAIR.21.039</v>
      </c>
      <c r="BG693" s="1" t="s">
        <v>74</v>
      </c>
      <c r="BH693" s="1" t="s">
        <v>74</v>
      </c>
      <c r="BI693" s="1">
        <v>8.0</v>
      </c>
      <c r="BJ693" s="1" t="s">
        <v>127</v>
      </c>
      <c r="BK693" s="1" t="s">
        <v>128</v>
      </c>
      <c r="BL693" s="1" t="s">
        <v>129</v>
      </c>
      <c r="BM693" s="1" t="s">
        <v>130</v>
      </c>
      <c r="BN693" s="1" t="s">
        <v>74</v>
      </c>
      <c r="BO693" s="1" t="s">
        <v>74</v>
      </c>
      <c r="BP693" s="1" t="s">
        <v>74</v>
      </c>
      <c r="BQ693" s="1" t="s">
        <v>74</v>
      </c>
      <c r="BR693" s="1" t="s">
        <v>102</v>
      </c>
      <c r="BS693" s="1" t="s">
        <v>14025</v>
      </c>
      <c r="BT693" s="1" t="str">
        <f>HYPERLINK("https%3A%2F%2Fwww.webofscience.com%2Fwos%2Fwoscc%2Ffull-record%2FWOS:000838033200005","View Full Record in Web of Science")</f>
        <v>View Full Record in Web of Science</v>
      </c>
    </row>
    <row r="694" ht="12.75" customHeight="1">
      <c r="A694" s="1" t="s">
        <v>72</v>
      </c>
      <c r="B694" s="1" t="s">
        <v>14026</v>
      </c>
      <c r="C694" s="1" t="s">
        <v>74</v>
      </c>
      <c r="D694" s="1" t="s">
        <v>74</v>
      </c>
      <c r="E694" s="1" t="s">
        <v>74</v>
      </c>
      <c r="F694" s="1" t="s">
        <v>14027</v>
      </c>
      <c r="G694" s="1" t="s">
        <v>74</v>
      </c>
      <c r="H694" s="1" t="s">
        <v>74</v>
      </c>
      <c r="I694" s="1" t="s">
        <v>14028</v>
      </c>
      <c r="J694" s="1" t="s">
        <v>9319</v>
      </c>
      <c r="K694" s="1" t="s">
        <v>74</v>
      </c>
      <c r="L694" s="1" t="s">
        <v>74</v>
      </c>
      <c r="M694" s="1" t="s">
        <v>80</v>
      </c>
      <c r="N694" s="1" t="s">
        <v>81</v>
      </c>
      <c r="O694" s="1" t="s">
        <v>9320</v>
      </c>
      <c r="P694" s="1" t="s">
        <v>9321</v>
      </c>
      <c r="Q694" s="1" t="s">
        <v>9322</v>
      </c>
      <c r="R694" s="1" t="s">
        <v>74</v>
      </c>
      <c r="S694" s="1" t="s">
        <v>74</v>
      </c>
      <c r="T694" s="1" t="s">
        <v>14029</v>
      </c>
      <c r="U694" s="1" t="s">
        <v>74</v>
      </c>
      <c r="V694" s="1" t="s">
        <v>14030</v>
      </c>
      <c r="W694" s="1" t="s">
        <v>14031</v>
      </c>
      <c r="X694" s="1" t="s">
        <v>9327</v>
      </c>
      <c r="Y694" s="1" t="s">
        <v>9328</v>
      </c>
      <c r="Z694" s="1" t="s">
        <v>9329</v>
      </c>
      <c r="AA694" s="1" t="s">
        <v>9330</v>
      </c>
      <c r="AB694" s="1" t="s">
        <v>74</v>
      </c>
      <c r="AC694" s="1" t="s">
        <v>14032</v>
      </c>
      <c r="AD694" s="1" t="s">
        <v>14033</v>
      </c>
      <c r="AE694" s="1" t="s">
        <v>9333</v>
      </c>
      <c r="AF694" s="1" t="s">
        <v>74</v>
      </c>
      <c r="AG694" s="1">
        <v>55.0</v>
      </c>
      <c r="AH694" s="1">
        <v>1.0</v>
      </c>
      <c r="AI694" s="1">
        <v>1.0</v>
      </c>
      <c r="AJ694" s="1">
        <v>1.0</v>
      </c>
      <c r="AK694" s="1">
        <v>5.0</v>
      </c>
      <c r="AL694" s="1" t="s">
        <v>9334</v>
      </c>
      <c r="AM694" s="1" t="s">
        <v>9335</v>
      </c>
      <c r="AN694" s="1" t="s">
        <v>9336</v>
      </c>
      <c r="AO694" s="1" t="s">
        <v>9337</v>
      </c>
      <c r="AP694" s="1" t="s">
        <v>74</v>
      </c>
      <c r="AQ694" s="1" t="s">
        <v>74</v>
      </c>
      <c r="AR694" s="1" t="s">
        <v>9338</v>
      </c>
      <c r="AS694" s="1" t="s">
        <v>9339</v>
      </c>
      <c r="AT694" s="1" t="s">
        <v>302</v>
      </c>
      <c r="AU694" s="1">
        <v>2022.0</v>
      </c>
      <c r="AV694" s="1">
        <v>7.0</v>
      </c>
      <c r="AW694" s="1">
        <v>17.0</v>
      </c>
      <c r="AX694" s="1" t="s">
        <v>74</v>
      </c>
      <c r="AY694" s="1" t="s">
        <v>74</v>
      </c>
      <c r="AZ694" s="1" t="s">
        <v>474</v>
      </c>
      <c r="BA694" s="1" t="s">
        <v>74</v>
      </c>
      <c r="BB694" s="1">
        <v>441.0</v>
      </c>
      <c r="BC694" s="1">
        <v>448.0</v>
      </c>
      <c r="BD694" s="1" t="s">
        <v>74</v>
      </c>
      <c r="BE694" s="1" t="s">
        <v>14034</v>
      </c>
      <c r="BF694" s="2" t="str">
        <f>HYPERLINK("http://dx.doi.org/10.21834/ebpj.v7iSI7.3813","http://dx.doi.org/10.21834/ebpj.v7iSI7.3813")</f>
        <v>http://dx.doi.org/10.21834/ebpj.v7iSI7.3813</v>
      </c>
      <c r="BG694" s="1" t="s">
        <v>74</v>
      </c>
      <c r="BH694" s="1" t="s">
        <v>74</v>
      </c>
      <c r="BI694" s="1">
        <v>8.0</v>
      </c>
      <c r="BJ694" s="1" t="s">
        <v>1002</v>
      </c>
      <c r="BK694" s="1" t="s">
        <v>128</v>
      </c>
      <c r="BL694" s="1" t="s">
        <v>894</v>
      </c>
      <c r="BM694" s="1" t="s">
        <v>9341</v>
      </c>
      <c r="BN694" s="1" t="s">
        <v>74</v>
      </c>
      <c r="BO694" s="1" t="s">
        <v>306</v>
      </c>
      <c r="BP694" s="1" t="s">
        <v>74</v>
      </c>
      <c r="BQ694" s="1" t="s">
        <v>74</v>
      </c>
      <c r="BR694" s="1" t="s">
        <v>102</v>
      </c>
      <c r="BS694" s="1" t="s">
        <v>14035</v>
      </c>
      <c r="BT694" s="1" t="str">
        <f>HYPERLINK("https%3A%2F%2Fwww.webofscience.com%2Fwos%2Fwoscc%2Ffull-record%2FWOS:001039360300020","View Full Record in Web of Science")</f>
        <v>View Full Record in Web of Science</v>
      </c>
    </row>
    <row r="695" ht="12.75" customHeight="1">
      <c r="A695" s="1" t="s">
        <v>132</v>
      </c>
      <c r="B695" s="1" t="s">
        <v>14036</v>
      </c>
      <c r="C695" s="1" t="s">
        <v>74</v>
      </c>
      <c r="D695" s="1" t="s">
        <v>74</v>
      </c>
      <c r="E695" s="1" t="s">
        <v>74</v>
      </c>
      <c r="F695" s="1" t="s">
        <v>14037</v>
      </c>
      <c r="G695" s="1" t="s">
        <v>74</v>
      </c>
      <c r="H695" s="1" t="s">
        <v>74</v>
      </c>
      <c r="I695" s="1" t="s">
        <v>14038</v>
      </c>
      <c r="J695" s="1" t="s">
        <v>14039</v>
      </c>
      <c r="K695" s="1" t="s">
        <v>74</v>
      </c>
      <c r="L695" s="1" t="s">
        <v>74</v>
      </c>
      <c r="M695" s="1" t="s">
        <v>80</v>
      </c>
      <c r="N695" s="1" t="s">
        <v>1010</v>
      </c>
      <c r="O695" s="1" t="s">
        <v>74</v>
      </c>
      <c r="P695" s="1" t="s">
        <v>74</v>
      </c>
      <c r="Q695" s="1" t="s">
        <v>74</v>
      </c>
      <c r="R695" s="1" t="s">
        <v>74</v>
      </c>
      <c r="S695" s="1" t="s">
        <v>74</v>
      </c>
      <c r="T695" s="1" t="s">
        <v>14040</v>
      </c>
      <c r="U695" s="1" t="s">
        <v>14041</v>
      </c>
      <c r="V695" s="1" t="s">
        <v>14042</v>
      </c>
      <c r="W695" s="1" t="s">
        <v>14043</v>
      </c>
      <c r="X695" s="1" t="s">
        <v>14044</v>
      </c>
      <c r="Y695" s="1" t="s">
        <v>14045</v>
      </c>
      <c r="Z695" s="1" t="s">
        <v>14046</v>
      </c>
      <c r="AA695" s="1" t="s">
        <v>14047</v>
      </c>
      <c r="AB695" s="1" t="s">
        <v>14048</v>
      </c>
      <c r="AC695" s="1" t="s">
        <v>14049</v>
      </c>
      <c r="AD695" s="1" t="s">
        <v>14050</v>
      </c>
      <c r="AE695" s="1" t="s">
        <v>14051</v>
      </c>
      <c r="AF695" s="1" t="s">
        <v>74</v>
      </c>
      <c r="AG695" s="1">
        <v>71.0</v>
      </c>
      <c r="AH695" s="1">
        <v>9.0</v>
      </c>
      <c r="AI695" s="1">
        <v>9.0</v>
      </c>
      <c r="AJ695" s="1">
        <v>6.0</v>
      </c>
      <c r="AK695" s="1">
        <v>50.0</v>
      </c>
      <c r="AL695" s="1" t="s">
        <v>1970</v>
      </c>
      <c r="AM695" s="1" t="s">
        <v>1658</v>
      </c>
      <c r="AN695" s="1" t="s">
        <v>1971</v>
      </c>
      <c r="AO695" s="1" t="s">
        <v>74</v>
      </c>
      <c r="AP695" s="1" t="s">
        <v>14052</v>
      </c>
      <c r="AQ695" s="1" t="s">
        <v>74</v>
      </c>
      <c r="AR695" s="1" t="s">
        <v>14053</v>
      </c>
      <c r="AS695" s="1" t="s">
        <v>13993</v>
      </c>
      <c r="AT695" s="1" t="s">
        <v>2469</v>
      </c>
      <c r="AU695" s="1">
        <v>2022.0</v>
      </c>
      <c r="AV695" s="1">
        <v>10.0</v>
      </c>
      <c r="AW695" s="1">
        <v>20.0</v>
      </c>
      <c r="AX695" s="1" t="s">
        <v>74</v>
      </c>
      <c r="AY695" s="1" t="s">
        <v>74</v>
      </c>
      <c r="AZ695" s="1" t="s">
        <v>74</v>
      </c>
      <c r="BA695" s="1" t="s">
        <v>74</v>
      </c>
      <c r="BB695" s="1" t="s">
        <v>74</v>
      </c>
      <c r="BC695" s="1" t="s">
        <v>74</v>
      </c>
      <c r="BD695" s="1">
        <v>3793.0</v>
      </c>
      <c r="BE695" s="1" t="s">
        <v>14054</v>
      </c>
      <c r="BF695" s="2" t="str">
        <f>HYPERLINK("http://dx.doi.org/10.3390/math10203793","http://dx.doi.org/10.3390/math10203793")</f>
        <v>http://dx.doi.org/10.3390/math10203793</v>
      </c>
      <c r="BG695" s="1" t="s">
        <v>74</v>
      </c>
      <c r="BH695" s="1" t="s">
        <v>74</v>
      </c>
      <c r="BI695" s="1">
        <v>22.0</v>
      </c>
      <c r="BJ695" s="1" t="s">
        <v>13993</v>
      </c>
      <c r="BK695" s="1" t="s">
        <v>149</v>
      </c>
      <c r="BL695" s="1" t="s">
        <v>13993</v>
      </c>
      <c r="BM695" s="1" t="s">
        <v>14055</v>
      </c>
      <c r="BN695" s="1" t="s">
        <v>74</v>
      </c>
      <c r="BO695" s="1" t="s">
        <v>174</v>
      </c>
      <c r="BP695" s="1" t="s">
        <v>74</v>
      </c>
      <c r="BQ695" s="1" t="s">
        <v>74</v>
      </c>
      <c r="BR695" s="1" t="s">
        <v>102</v>
      </c>
      <c r="BS695" s="1" t="s">
        <v>14056</v>
      </c>
      <c r="BT695" s="1" t="str">
        <f>HYPERLINK("https%3A%2F%2Fwww.webofscience.com%2Fwos%2Fwoscc%2Ffull-record%2FWOS:000873073100001","View Full Record in Web of Science")</f>
        <v>View Full Record in Web of Science</v>
      </c>
    </row>
    <row r="696" ht="12.75" customHeight="1">
      <c r="A696" s="1" t="s">
        <v>132</v>
      </c>
      <c r="B696" s="1" t="s">
        <v>14057</v>
      </c>
      <c r="C696" s="1" t="s">
        <v>74</v>
      </c>
      <c r="D696" s="1" t="s">
        <v>74</v>
      </c>
      <c r="E696" s="1" t="s">
        <v>74</v>
      </c>
      <c r="F696" s="1" t="s">
        <v>14058</v>
      </c>
      <c r="G696" s="1" t="s">
        <v>74</v>
      </c>
      <c r="H696" s="1" t="s">
        <v>74</v>
      </c>
      <c r="I696" s="1" t="s">
        <v>14059</v>
      </c>
      <c r="J696" s="1" t="s">
        <v>7370</v>
      </c>
      <c r="K696" s="1" t="s">
        <v>74</v>
      </c>
      <c r="L696" s="1" t="s">
        <v>74</v>
      </c>
      <c r="M696" s="1" t="s">
        <v>80</v>
      </c>
      <c r="N696" s="1" t="s">
        <v>338</v>
      </c>
      <c r="O696" s="1" t="s">
        <v>74</v>
      </c>
      <c r="P696" s="1" t="s">
        <v>74</v>
      </c>
      <c r="Q696" s="1" t="s">
        <v>74</v>
      </c>
      <c r="R696" s="1" t="s">
        <v>74</v>
      </c>
      <c r="S696" s="1" t="s">
        <v>74</v>
      </c>
      <c r="T696" s="1" t="s">
        <v>14060</v>
      </c>
      <c r="U696" s="1" t="s">
        <v>14061</v>
      </c>
      <c r="V696" s="1" t="s">
        <v>14062</v>
      </c>
      <c r="W696" s="1" t="s">
        <v>14063</v>
      </c>
      <c r="X696" s="1" t="s">
        <v>14064</v>
      </c>
      <c r="Y696" s="1" t="s">
        <v>14065</v>
      </c>
      <c r="Z696" s="1" t="s">
        <v>14066</v>
      </c>
      <c r="AA696" s="1" t="s">
        <v>74</v>
      </c>
      <c r="AB696" s="1" t="s">
        <v>74</v>
      </c>
      <c r="AC696" s="1" t="s">
        <v>14067</v>
      </c>
      <c r="AD696" s="1" t="s">
        <v>14068</v>
      </c>
      <c r="AE696" s="1" t="s">
        <v>14069</v>
      </c>
      <c r="AF696" s="1" t="s">
        <v>74</v>
      </c>
      <c r="AG696" s="1">
        <v>41.0</v>
      </c>
      <c r="AH696" s="1">
        <v>0.0</v>
      </c>
      <c r="AI696" s="1">
        <v>0.0</v>
      </c>
      <c r="AJ696" s="1">
        <v>13.0</v>
      </c>
      <c r="AK696" s="1">
        <v>13.0</v>
      </c>
      <c r="AL696" s="1" t="s">
        <v>595</v>
      </c>
      <c r="AM696" s="1" t="s">
        <v>467</v>
      </c>
      <c r="AN696" s="1" t="s">
        <v>596</v>
      </c>
      <c r="AO696" s="1" t="s">
        <v>7381</v>
      </c>
      <c r="AP696" s="1" t="s">
        <v>7382</v>
      </c>
      <c r="AQ696" s="1" t="s">
        <v>74</v>
      </c>
      <c r="AR696" s="1" t="s">
        <v>7383</v>
      </c>
      <c r="AS696" s="1" t="s">
        <v>7384</v>
      </c>
      <c r="AT696" s="1" t="s">
        <v>14070</v>
      </c>
      <c r="AU696" s="1">
        <v>2024.0</v>
      </c>
      <c r="AV696" s="1" t="s">
        <v>74</v>
      </c>
      <c r="AW696" s="1" t="s">
        <v>74</v>
      </c>
      <c r="AX696" s="1" t="s">
        <v>74</v>
      </c>
      <c r="AY696" s="1" t="s">
        <v>74</v>
      </c>
      <c r="AZ696" s="1" t="s">
        <v>74</v>
      </c>
      <c r="BA696" s="1" t="s">
        <v>74</v>
      </c>
      <c r="BB696" s="1" t="s">
        <v>74</v>
      </c>
      <c r="BC696" s="1" t="s">
        <v>74</v>
      </c>
      <c r="BD696" s="1" t="s">
        <v>74</v>
      </c>
      <c r="BE696" s="1" t="s">
        <v>14071</v>
      </c>
      <c r="BF696" s="2" t="str">
        <f>HYPERLINK("http://dx.doi.org/10.1080/09537325.2024.2408731","http://dx.doi.org/10.1080/09537325.2024.2408731")</f>
        <v>http://dx.doi.org/10.1080/09537325.2024.2408731</v>
      </c>
      <c r="BG696" s="1" t="s">
        <v>74</v>
      </c>
      <c r="BH696" s="1" t="s">
        <v>2753</v>
      </c>
      <c r="BI696" s="1">
        <v>13.0</v>
      </c>
      <c r="BJ696" s="1" t="s">
        <v>7386</v>
      </c>
      <c r="BK696" s="1" t="s">
        <v>203</v>
      </c>
      <c r="BL696" s="1" t="s">
        <v>1690</v>
      </c>
      <c r="BM696" s="1" t="s">
        <v>14072</v>
      </c>
      <c r="BN696" s="1" t="s">
        <v>74</v>
      </c>
      <c r="BO696" s="1" t="s">
        <v>74</v>
      </c>
      <c r="BP696" s="1" t="s">
        <v>74</v>
      </c>
      <c r="BQ696" s="1" t="s">
        <v>74</v>
      </c>
      <c r="BR696" s="1" t="s">
        <v>102</v>
      </c>
      <c r="BS696" s="1" t="s">
        <v>14073</v>
      </c>
      <c r="BT696" s="1" t="str">
        <f>HYPERLINK("https%3A%2F%2Fwww.webofscience.com%2Fwos%2Fwoscc%2Ffull-record%2FWOS:001336576900001","View Full Record in Web of Science")</f>
        <v>View Full Record in Web of Science</v>
      </c>
    </row>
    <row r="697" ht="12.75" customHeight="1">
      <c r="A697" s="1" t="s">
        <v>132</v>
      </c>
      <c r="B697" s="1" t="s">
        <v>14074</v>
      </c>
      <c r="C697" s="1" t="s">
        <v>74</v>
      </c>
      <c r="D697" s="1" t="s">
        <v>74</v>
      </c>
      <c r="E697" s="1" t="s">
        <v>74</v>
      </c>
      <c r="F697" s="1" t="s">
        <v>14075</v>
      </c>
      <c r="G697" s="1" t="s">
        <v>74</v>
      </c>
      <c r="H697" s="1" t="s">
        <v>74</v>
      </c>
      <c r="I697" s="1" t="s">
        <v>14076</v>
      </c>
      <c r="J697" s="1" t="s">
        <v>4053</v>
      </c>
      <c r="K697" s="1" t="s">
        <v>74</v>
      </c>
      <c r="L697" s="1" t="s">
        <v>74</v>
      </c>
      <c r="M697" s="1" t="s">
        <v>80</v>
      </c>
      <c r="N697" s="1" t="s">
        <v>1010</v>
      </c>
      <c r="O697" s="1" t="s">
        <v>74</v>
      </c>
      <c r="P697" s="1" t="s">
        <v>74</v>
      </c>
      <c r="Q697" s="1" t="s">
        <v>74</v>
      </c>
      <c r="R697" s="1" t="s">
        <v>74</v>
      </c>
      <c r="S697" s="1" t="s">
        <v>74</v>
      </c>
      <c r="T697" s="1" t="s">
        <v>14077</v>
      </c>
      <c r="U697" s="1" t="s">
        <v>74</v>
      </c>
      <c r="V697" s="1" t="s">
        <v>14078</v>
      </c>
      <c r="W697" s="1" t="s">
        <v>14079</v>
      </c>
      <c r="X697" s="1" t="s">
        <v>14080</v>
      </c>
      <c r="Y697" s="1" t="s">
        <v>14081</v>
      </c>
      <c r="Z697" s="1" t="s">
        <v>14082</v>
      </c>
      <c r="AA697" s="1" t="s">
        <v>14083</v>
      </c>
      <c r="AB697" s="1" t="s">
        <v>14084</v>
      </c>
      <c r="AC697" s="1" t="s">
        <v>14085</v>
      </c>
      <c r="AD697" s="1" t="s">
        <v>14086</v>
      </c>
      <c r="AE697" s="1" t="s">
        <v>14087</v>
      </c>
      <c r="AF697" s="1" t="s">
        <v>74</v>
      </c>
      <c r="AG697" s="1">
        <v>52.0</v>
      </c>
      <c r="AH697" s="1">
        <v>0.0</v>
      </c>
      <c r="AI697" s="1">
        <v>0.0</v>
      </c>
      <c r="AJ697" s="1">
        <v>6.0</v>
      </c>
      <c r="AK697" s="1">
        <v>6.0</v>
      </c>
      <c r="AL697" s="1" t="s">
        <v>1970</v>
      </c>
      <c r="AM697" s="1" t="s">
        <v>1658</v>
      </c>
      <c r="AN697" s="1" t="s">
        <v>1971</v>
      </c>
      <c r="AO697" s="1" t="s">
        <v>74</v>
      </c>
      <c r="AP697" s="1" t="s">
        <v>4062</v>
      </c>
      <c r="AQ697" s="1" t="s">
        <v>74</v>
      </c>
      <c r="AR697" s="1" t="s">
        <v>4053</v>
      </c>
      <c r="AS697" s="1" t="s">
        <v>4063</v>
      </c>
      <c r="AT697" s="1" t="s">
        <v>1051</v>
      </c>
      <c r="AU697" s="1">
        <v>2024.0</v>
      </c>
      <c r="AV697" s="1">
        <v>15.0</v>
      </c>
      <c r="AW697" s="1">
        <v>12.0</v>
      </c>
      <c r="AX697" s="1" t="s">
        <v>74</v>
      </c>
      <c r="AY697" s="1" t="s">
        <v>74</v>
      </c>
      <c r="AZ697" s="1" t="s">
        <v>74</v>
      </c>
      <c r="BA697" s="1" t="s">
        <v>74</v>
      </c>
      <c r="BB697" s="1" t="s">
        <v>74</v>
      </c>
      <c r="BC697" s="1" t="s">
        <v>74</v>
      </c>
      <c r="BD697" s="1">
        <v>774.0</v>
      </c>
      <c r="BE697" s="1" t="s">
        <v>14088</v>
      </c>
      <c r="BF697" s="2" t="str">
        <f>HYPERLINK("http://dx.doi.org/10.3390/info15120774","http://dx.doi.org/10.3390/info15120774")</f>
        <v>http://dx.doi.org/10.3390/info15120774</v>
      </c>
      <c r="BG697" s="1" t="s">
        <v>74</v>
      </c>
      <c r="BH697" s="1" t="s">
        <v>74</v>
      </c>
      <c r="BI697" s="1">
        <v>19.0</v>
      </c>
      <c r="BJ697" s="1" t="s">
        <v>554</v>
      </c>
      <c r="BK697" s="1" t="s">
        <v>172</v>
      </c>
      <c r="BL697" s="1" t="s">
        <v>232</v>
      </c>
      <c r="BM697" s="1" t="s">
        <v>14089</v>
      </c>
      <c r="BN697" s="1" t="s">
        <v>74</v>
      </c>
      <c r="BO697" s="1" t="s">
        <v>174</v>
      </c>
      <c r="BP697" s="1" t="s">
        <v>74</v>
      </c>
      <c r="BQ697" s="1" t="s">
        <v>74</v>
      </c>
      <c r="BR697" s="1" t="s">
        <v>102</v>
      </c>
      <c r="BS697" s="1" t="s">
        <v>14090</v>
      </c>
      <c r="BT697" s="1" t="str">
        <f>HYPERLINK("https%3A%2F%2Fwww.webofscience.com%2Fwos%2Fwoscc%2Ffull-record%2FWOS:001384712700001","View Full Record in Web of Science")</f>
        <v>View Full Record in Web of Science</v>
      </c>
    </row>
    <row r="698" ht="12.75" customHeight="1">
      <c r="A698" s="1" t="s">
        <v>132</v>
      </c>
      <c r="B698" s="1" t="s">
        <v>14091</v>
      </c>
      <c r="C698" s="1" t="s">
        <v>74</v>
      </c>
      <c r="D698" s="1" t="s">
        <v>74</v>
      </c>
      <c r="E698" s="1" t="s">
        <v>74</v>
      </c>
      <c r="F698" s="1" t="s">
        <v>14092</v>
      </c>
      <c r="G698" s="1" t="s">
        <v>74</v>
      </c>
      <c r="H698" s="1" t="s">
        <v>74</v>
      </c>
      <c r="I698" s="1" t="s">
        <v>14093</v>
      </c>
      <c r="J698" s="1" t="s">
        <v>14094</v>
      </c>
      <c r="K698" s="1" t="s">
        <v>74</v>
      </c>
      <c r="L698" s="1" t="s">
        <v>74</v>
      </c>
      <c r="M698" s="1" t="s">
        <v>80</v>
      </c>
      <c r="N698" s="1" t="s">
        <v>1563</v>
      </c>
      <c r="O698" s="1" t="s">
        <v>74</v>
      </c>
      <c r="P698" s="1" t="s">
        <v>74</v>
      </c>
      <c r="Q698" s="1" t="s">
        <v>74</v>
      </c>
      <c r="R698" s="1" t="s">
        <v>74</v>
      </c>
      <c r="S698" s="1" t="s">
        <v>74</v>
      </c>
      <c r="T698" s="1" t="s">
        <v>14095</v>
      </c>
      <c r="U698" s="1" t="s">
        <v>14096</v>
      </c>
      <c r="V698" s="1" t="s">
        <v>14097</v>
      </c>
      <c r="W698" s="1" t="s">
        <v>14098</v>
      </c>
      <c r="X698" s="1" t="s">
        <v>4135</v>
      </c>
      <c r="Y698" s="1" t="s">
        <v>14099</v>
      </c>
      <c r="Z698" s="1" t="s">
        <v>14100</v>
      </c>
      <c r="AA698" s="1" t="s">
        <v>14101</v>
      </c>
      <c r="AB698" s="1" t="s">
        <v>14102</v>
      </c>
      <c r="AC698" s="1" t="s">
        <v>74</v>
      </c>
      <c r="AD698" s="1" t="s">
        <v>74</v>
      </c>
      <c r="AE698" s="1" t="s">
        <v>74</v>
      </c>
      <c r="AF698" s="1" t="s">
        <v>74</v>
      </c>
      <c r="AG698" s="1">
        <v>173.0</v>
      </c>
      <c r="AH698" s="1">
        <v>0.0</v>
      </c>
      <c r="AI698" s="1">
        <v>0.0</v>
      </c>
      <c r="AJ698" s="1">
        <v>4.0</v>
      </c>
      <c r="AK698" s="1">
        <v>4.0</v>
      </c>
      <c r="AL698" s="1" t="s">
        <v>466</v>
      </c>
      <c r="AM698" s="1" t="s">
        <v>467</v>
      </c>
      <c r="AN698" s="1" t="s">
        <v>468</v>
      </c>
      <c r="AO698" s="1" t="s">
        <v>14103</v>
      </c>
      <c r="AP698" s="1" t="s">
        <v>14104</v>
      </c>
      <c r="AQ698" s="1" t="s">
        <v>74</v>
      </c>
      <c r="AR698" s="1" t="s">
        <v>14094</v>
      </c>
      <c r="AS698" s="1" t="s">
        <v>14105</v>
      </c>
      <c r="AT698" s="1" t="s">
        <v>14106</v>
      </c>
      <c r="AU698" s="1">
        <v>2024.0</v>
      </c>
      <c r="AV698" s="1">
        <v>25.0</v>
      </c>
      <c r="AW698" s="1" t="s">
        <v>14107</v>
      </c>
      <c r="AX698" s="1" t="s">
        <v>74</v>
      </c>
      <c r="AY698" s="1" t="s">
        <v>74</v>
      </c>
      <c r="AZ698" s="1" t="s">
        <v>74</v>
      </c>
      <c r="BA698" s="1" t="s">
        <v>74</v>
      </c>
      <c r="BB698" s="1">
        <v>611.0</v>
      </c>
      <c r="BC698" s="1">
        <v>622.0</v>
      </c>
      <c r="BD698" s="1" t="s">
        <v>74</v>
      </c>
      <c r="BE698" s="1" t="s">
        <v>14108</v>
      </c>
      <c r="BF698" s="2" t="str">
        <f>HYPERLINK("http://dx.doi.org/10.1080/14622416.2024.2428587","http://dx.doi.org/10.1080/14622416.2024.2428587")</f>
        <v>http://dx.doi.org/10.1080/14622416.2024.2428587</v>
      </c>
      <c r="BG698" s="1" t="s">
        <v>74</v>
      </c>
      <c r="BH698" s="1" t="s">
        <v>499</v>
      </c>
      <c r="BI698" s="1">
        <v>12.0</v>
      </c>
      <c r="BJ698" s="1" t="s">
        <v>7236</v>
      </c>
      <c r="BK698" s="1" t="s">
        <v>149</v>
      </c>
      <c r="BL698" s="1" t="s">
        <v>7236</v>
      </c>
      <c r="BM698" s="1" t="s">
        <v>14109</v>
      </c>
      <c r="BN698" s="1">
        <v>3.8693885E7</v>
      </c>
      <c r="BO698" s="1" t="s">
        <v>74</v>
      </c>
      <c r="BP698" s="1" t="s">
        <v>74</v>
      </c>
      <c r="BQ698" s="1" t="s">
        <v>74</v>
      </c>
      <c r="BR698" s="1" t="s">
        <v>102</v>
      </c>
      <c r="BS698" s="1" t="s">
        <v>14110</v>
      </c>
      <c r="BT698" s="1" t="str">
        <f>HYPERLINK("https%3A%2F%2Fwww.webofscience.com%2Fwos%2Fwoscc%2Ffull-record%2FWOS:001356195300001","View Full Record in Web of Science")</f>
        <v>View Full Record in Web of Science</v>
      </c>
    </row>
    <row r="699" ht="12.75" customHeight="1">
      <c r="A699" s="1" t="s">
        <v>132</v>
      </c>
      <c r="B699" s="1" t="s">
        <v>14111</v>
      </c>
      <c r="C699" s="1" t="s">
        <v>74</v>
      </c>
      <c r="D699" s="1" t="s">
        <v>74</v>
      </c>
      <c r="E699" s="1" t="s">
        <v>74</v>
      </c>
      <c r="F699" s="1" t="s">
        <v>14112</v>
      </c>
      <c r="G699" s="1" t="s">
        <v>74</v>
      </c>
      <c r="H699" s="1" t="s">
        <v>74</v>
      </c>
      <c r="I699" s="1" t="s">
        <v>14113</v>
      </c>
      <c r="J699" s="1" t="s">
        <v>14114</v>
      </c>
      <c r="K699" s="1" t="s">
        <v>74</v>
      </c>
      <c r="L699" s="1" t="s">
        <v>74</v>
      </c>
      <c r="M699" s="1" t="s">
        <v>80</v>
      </c>
      <c r="N699" s="1" t="s">
        <v>1010</v>
      </c>
      <c r="O699" s="1" t="s">
        <v>74</v>
      </c>
      <c r="P699" s="1" t="s">
        <v>74</v>
      </c>
      <c r="Q699" s="1" t="s">
        <v>74</v>
      </c>
      <c r="R699" s="1" t="s">
        <v>74</v>
      </c>
      <c r="S699" s="1" t="s">
        <v>74</v>
      </c>
      <c r="T699" s="1" t="s">
        <v>14115</v>
      </c>
      <c r="U699" s="1" t="s">
        <v>74</v>
      </c>
      <c r="V699" s="1" t="s">
        <v>14116</v>
      </c>
      <c r="W699" s="1" t="s">
        <v>14117</v>
      </c>
      <c r="X699" s="1" t="s">
        <v>14118</v>
      </c>
      <c r="Y699" s="1" t="s">
        <v>14119</v>
      </c>
      <c r="Z699" s="1" t="s">
        <v>14120</v>
      </c>
      <c r="AA699" s="1" t="s">
        <v>14121</v>
      </c>
      <c r="AB699" s="1" t="s">
        <v>14122</v>
      </c>
      <c r="AC699" s="1" t="s">
        <v>74</v>
      </c>
      <c r="AD699" s="1" t="s">
        <v>74</v>
      </c>
      <c r="AE699" s="1" t="s">
        <v>74</v>
      </c>
      <c r="AF699" s="1" t="s">
        <v>74</v>
      </c>
      <c r="AG699" s="1">
        <v>50.0</v>
      </c>
      <c r="AH699" s="1">
        <v>0.0</v>
      </c>
      <c r="AI699" s="1">
        <v>0.0</v>
      </c>
      <c r="AJ699" s="1">
        <v>4.0</v>
      </c>
      <c r="AK699" s="1">
        <v>4.0</v>
      </c>
      <c r="AL699" s="1" t="s">
        <v>4561</v>
      </c>
      <c r="AM699" s="1" t="s">
        <v>4562</v>
      </c>
      <c r="AN699" s="1" t="s">
        <v>4563</v>
      </c>
      <c r="AO699" s="1" t="s">
        <v>14123</v>
      </c>
      <c r="AP699" s="1" t="s">
        <v>14124</v>
      </c>
      <c r="AQ699" s="1" t="s">
        <v>74</v>
      </c>
      <c r="AR699" s="1" t="s">
        <v>14125</v>
      </c>
      <c r="AS699" s="1" t="s">
        <v>14126</v>
      </c>
      <c r="AT699" s="1" t="s">
        <v>1027</v>
      </c>
      <c r="AU699" s="1">
        <v>2025.0</v>
      </c>
      <c r="AV699" s="1">
        <v>195.0</v>
      </c>
      <c r="AW699" s="1" t="s">
        <v>74</v>
      </c>
      <c r="AX699" s="1" t="s">
        <v>74</v>
      </c>
      <c r="AY699" s="1" t="s">
        <v>74</v>
      </c>
      <c r="AZ699" s="1" t="s">
        <v>74</v>
      </c>
      <c r="BA699" s="1" t="s">
        <v>74</v>
      </c>
      <c r="BB699" s="1" t="s">
        <v>74</v>
      </c>
      <c r="BC699" s="1" t="s">
        <v>74</v>
      </c>
      <c r="BD699" s="1">
        <v>105753.0</v>
      </c>
      <c r="BE699" s="1" t="s">
        <v>14127</v>
      </c>
      <c r="BF699" s="2" t="str">
        <f>HYPERLINK("http://dx.doi.org/10.1016/j.ijmedinf.2024.105753","http://dx.doi.org/10.1016/j.ijmedinf.2024.105753")</f>
        <v>http://dx.doi.org/10.1016/j.ijmedinf.2024.105753</v>
      </c>
      <c r="BG699" s="1" t="s">
        <v>74</v>
      </c>
      <c r="BH699" s="1" t="s">
        <v>2788</v>
      </c>
      <c r="BI699" s="1">
        <v>11.0</v>
      </c>
      <c r="BJ699" s="1" t="s">
        <v>14128</v>
      </c>
      <c r="BK699" s="1" t="s">
        <v>149</v>
      </c>
      <c r="BL699" s="1" t="s">
        <v>14129</v>
      </c>
      <c r="BM699" s="1" t="s">
        <v>14130</v>
      </c>
      <c r="BN699" s="1">
        <v>3.9674006E7</v>
      </c>
      <c r="BO699" s="1" t="s">
        <v>74</v>
      </c>
      <c r="BP699" s="1" t="s">
        <v>74</v>
      </c>
      <c r="BQ699" s="1" t="s">
        <v>74</v>
      </c>
      <c r="BR699" s="1" t="s">
        <v>102</v>
      </c>
      <c r="BS699" s="1" t="s">
        <v>14131</v>
      </c>
      <c r="BT699" s="1" t="str">
        <f>HYPERLINK("https%3A%2F%2Fwww.webofscience.com%2Fwos%2Fwoscc%2Ffull-record%2FWOS:001388302600001","View Full Record in Web of Science")</f>
        <v>View Full Record in Web of Science</v>
      </c>
    </row>
    <row r="700" ht="12.75" customHeight="1">
      <c r="A700" s="1" t="s">
        <v>72</v>
      </c>
      <c r="B700" s="1" t="s">
        <v>14132</v>
      </c>
      <c r="C700" s="1" t="s">
        <v>74</v>
      </c>
      <c r="D700" s="1" t="s">
        <v>74</v>
      </c>
      <c r="E700" s="1" t="s">
        <v>236</v>
      </c>
      <c r="F700" s="1" t="s">
        <v>14133</v>
      </c>
      <c r="G700" s="1" t="s">
        <v>74</v>
      </c>
      <c r="H700" s="1" t="s">
        <v>74</v>
      </c>
      <c r="I700" s="1" t="s">
        <v>14134</v>
      </c>
      <c r="J700" s="1" t="s">
        <v>14135</v>
      </c>
      <c r="K700" s="1" t="s">
        <v>14136</v>
      </c>
      <c r="L700" s="1" t="s">
        <v>74</v>
      </c>
      <c r="M700" s="1" t="s">
        <v>80</v>
      </c>
      <c r="N700" s="1" t="s">
        <v>81</v>
      </c>
      <c r="O700" s="1" t="s">
        <v>14137</v>
      </c>
      <c r="P700" s="1" t="s">
        <v>14138</v>
      </c>
      <c r="Q700" s="1" t="s">
        <v>14139</v>
      </c>
      <c r="R700" s="1" t="s">
        <v>14140</v>
      </c>
      <c r="S700" s="1" t="s">
        <v>74</v>
      </c>
      <c r="T700" s="1" t="s">
        <v>14141</v>
      </c>
      <c r="U700" s="1" t="s">
        <v>74</v>
      </c>
      <c r="V700" s="1" t="s">
        <v>14142</v>
      </c>
      <c r="W700" s="1" t="s">
        <v>14143</v>
      </c>
      <c r="X700" s="1" t="s">
        <v>14144</v>
      </c>
      <c r="Y700" s="1" t="s">
        <v>14145</v>
      </c>
      <c r="Z700" s="1" t="s">
        <v>74</v>
      </c>
      <c r="AA700" s="1" t="s">
        <v>14146</v>
      </c>
      <c r="AB700" s="1" t="s">
        <v>14147</v>
      </c>
      <c r="AC700" s="1" t="s">
        <v>74</v>
      </c>
      <c r="AD700" s="1" t="s">
        <v>74</v>
      </c>
      <c r="AE700" s="1" t="s">
        <v>74</v>
      </c>
      <c r="AF700" s="1" t="s">
        <v>74</v>
      </c>
      <c r="AG700" s="1">
        <v>6.0</v>
      </c>
      <c r="AH700" s="1">
        <v>1.0</v>
      </c>
      <c r="AI700" s="1">
        <v>1.0</v>
      </c>
      <c r="AJ700" s="1">
        <v>2.0</v>
      </c>
      <c r="AK700" s="1">
        <v>5.0</v>
      </c>
      <c r="AL700" s="1" t="s">
        <v>236</v>
      </c>
      <c r="AM700" s="1" t="s">
        <v>193</v>
      </c>
      <c r="AN700" s="1" t="s">
        <v>252</v>
      </c>
      <c r="AO700" s="1" t="s">
        <v>14148</v>
      </c>
      <c r="AP700" s="1" t="s">
        <v>74</v>
      </c>
      <c r="AQ700" s="1" t="s">
        <v>14149</v>
      </c>
      <c r="AR700" s="1" t="s">
        <v>14150</v>
      </c>
      <c r="AS700" s="1" t="s">
        <v>74</v>
      </c>
      <c r="AT700" s="1" t="s">
        <v>74</v>
      </c>
      <c r="AU700" s="1">
        <v>2022.0</v>
      </c>
      <c r="AV700" s="1" t="s">
        <v>74</v>
      </c>
      <c r="AW700" s="1" t="s">
        <v>74</v>
      </c>
      <c r="AX700" s="1" t="s">
        <v>74</v>
      </c>
      <c r="AY700" s="1" t="s">
        <v>74</v>
      </c>
      <c r="AZ700" s="1" t="s">
        <v>74</v>
      </c>
      <c r="BA700" s="1" t="s">
        <v>74</v>
      </c>
      <c r="BB700" s="1">
        <v>401.0</v>
      </c>
      <c r="BC700" s="1">
        <v>402.0</v>
      </c>
      <c r="BD700" s="1" t="s">
        <v>74</v>
      </c>
      <c r="BE700" s="1" t="s">
        <v>14151</v>
      </c>
      <c r="BF700" s="2" t="str">
        <f>HYPERLINK("http://dx.doi.org/10.1109/eScience55777.2022.00058","http://dx.doi.org/10.1109/eScience55777.2022.00058")</f>
        <v>http://dx.doi.org/10.1109/eScience55777.2022.00058</v>
      </c>
      <c r="BG700" s="1" t="s">
        <v>74</v>
      </c>
      <c r="BH700" s="1" t="s">
        <v>74</v>
      </c>
      <c r="BI700" s="1">
        <v>2.0</v>
      </c>
      <c r="BJ700" s="1" t="s">
        <v>3002</v>
      </c>
      <c r="BK700" s="1" t="s">
        <v>128</v>
      </c>
      <c r="BL700" s="1" t="s">
        <v>232</v>
      </c>
      <c r="BM700" s="1" t="s">
        <v>14152</v>
      </c>
      <c r="BN700" s="1" t="s">
        <v>74</v>
      </c>
      <c r="BO700" s="1" t="s">
        <v>556</v>
      </c>
      <c r="BP700" s="1" t="s">
        <v>74</v>
      </c>
      <c r="BQ700" s="1" t="s">
        <v>74</v>
      </c>
      <c r="BR700" s="1" t="s">
        <v>102</v>
      </c>
      <c r="BS700" s="1" t="s">
        <v>14153</v>
      </c>
      <c r="BT700" s="1" t="str">
        <f>HYPERLINK("https%3A%2F%2Fwww.webofscience.com%2Fwos%2Fwoscc%2Ffull-record%2FWOS:000927625900044","View Full Record in Web of Science")</f>
        <v>View Full Record in Web of Science</v>
      </c>
    </row>
    <row r="701" ht="12.75" customHeight="1">
      <c r="A701" s="1" t="s">
        <v>132</v>
      </c>
      <c r="B701" s="1" t="s">
        <v>12611</v>
      </c>
      <c r="C701" s="1" t="s">
        <v>74</v>
      </c>
      <c r="D701" s="1" t="s">
        <v>74</v>
      </c>
      <c r="E701" s="1" t="s">
        <v>74</v>
      </c>
      <c r="F701" s="1" t="s">
        <v>14154</v>
      </c>
      <c r="G701" s="1" t="s">
        <v>74</v>
      </c>
      <c r="H701" s="1" t="s">
        <v>74</v>
      </c>
      <c r="I701" s="1" t="s">
        <v>14155</v>
      </c>
      <c r="J701" s="1" t="s">
        <v>14156</v>
      </c>
      <c r="K701" s="1" t="s">
        <v>74</v>
      </c>
      <c r="L701" s="1" t="s">
        <v>74</v>
      </c>
      <c r="M701" s="1" t="s">
        <v>638</v>
      </c>
      <c r="N701" s="1" t="s">
        <v>136</v>
      </c>
      <c r="O701" s="1" t="s">
        <v>74</v>
      </c>
      <c r="P701" s="1" t="s">
        <v>74</v>
      </c>
      <c r="Q701" s="1" t="s">
        <v>74</v>
      </c>
      <c r="R701" s="1" t="s">
        <v>74</v>
      </c>
      <c r="S701" s="1" t="s">
        <v>74</v>
      </c>
      <c r="T701" s="1" t="s">
        <v>14157</v>
      </c>
      <c r="U701" s="1" t="s">
        <v>74</v>
      </c>
      <c r="V701" s="1" t="s">
        <v>14158</v>
      </c>
      <c r="W701" s="1" t="s">
        <v>14159</v>
      </c>
      <c r="X701" s="1" t="s">
        <v>7189</v>
      </c>
      <c r="Y701" s="1" t="s">
        <v>14160</v>
      </c>
      <c r="Z701" s="1" t="s">
        <v>14161</v>
      </c>
      <c r="AA701" s="1" t="s">
        <v>74</v>
      </c>
      <c r="AB701" s="1" t="s">
        <v>74</v>
      </c>
      <c r="AC701" s="1" t="s">
        <v>74</v>
      </c>
      <c r="AD701" s="1" t="s">
        <v>74</v>
      </c>
      <c r="AE701" s="1" t="s">
        <v>74</v>
      </c>
      <c r="AF701" s="1" t="s">
        <v>74</v>
      </c>
      <c r="AG701" s="1">
        <v>34.0</v>
      </c>
      <c r="AH701" s="1">
        <v>3.0</v>
      </c>
      <c r="AI701" s="1">
        <v>3.0</v>
      </c>
      <c r="AJ701" s="1">
        <v>2.0</v>
      </c>
      <c r="AK701" s="1">
        <v>39.0</v>
      </c>
      <c r="AL701" s="1" t="s">
        <v>14162</v>
      </c>
      <c r="AM701" s="1" t="s">
        <v>4707</v>
      </c>
      <c r="AN701" s="1" t="s">
        <v>14163</v>
      </c>
      <c r="AO701" s="1" t="s">
        <v>14164</v>
      </c>
      <c r="AP701" s="1" t="s">
        <v>14165</v>
      </c>
      <c r="AQ701" s="1" t="s">
        <v>74</v>
      </c>
      <c r="AR701" s="1" t="s">
        <v>14166</v>
      </c>
      <c r="AS701" s="1" t="s">
        <v>14167</v>
      </c>
      <c r="AT701" s="1" t="s">
        <v>74</v>
      </c>
      <c r="AU701" s="1">
        <v>2020.0</v>
      </c>
      <c r="AV701" s="1">
        <v>11.0</v>
      </c>
      <c r="AW701" s="1">
        <v>21.0</v>
      </c>
      <c r="AX701" s="1" t="s">
        <v>74</v>
      </c>
      <c r="AY701" s="1" t="s">
        <v>74</v>
      </c>
      <c r="AZ701" s="1" t="s">
        <v>74</v>
      </c>
      <c r="BA701" s="1" t="s">
        <v>74</v>
      </c>
      <c r="BB701" s="1">
        <v>59.0</v>
      </c>
      <c r="BC701" s="1">
        <v>82.0</v>
      </c>
      <c r="BD701" s="1" t="s">
        <v>74</v>
      </c>
      <c r="BE701" s="1" t="s">
        <v>14168</v>
      </c>
      <c r="BF701" s="2" t="str">
        <f>HYPERLINK("http://dx.doi.org/10.5557/IIMEI11-N21-059082","http://dx.doi.org/10.5557/IIMEI11-N21-059082")</f>
        <v>http://dx.doi.org/10.5557/IIMEI11-N21-059082</v>
      </c>
      <c r="BG701" s="1" t="s">
        <v>74</v>
      </c>
      <c r="BH701" s="1" t="s">
        <v>74</v>
      </c>
      <c r="BI701" s="1">
        <v>24.0</v>
      </c>
      <c r="BJ701" s="1" t="s">
        <v>358</v>
      </c>
      <c r="BK701" s="1" t="s">
        <v>172</v>
      </c>
      <c r="BL701" s="1" t="s">
        <v>358</v>
      </c>
      <c r="BM701" s="1" t="s">
        <v>14169</v>
      </c>
      <c r="BN701" s="1" t="s">
        <v>74</v>
      </c>
      <c r="BO701" s="1" t="s">
        <v>174</v>
      </c>
      <c r="BP701" s="1" t="s">
        <v>74</v>
      </c>
      <c r="BQ701" s="1" t="s">
        <v>74</v>
      </c>
      <c r="BR701" s="1" t="s">
        <v>102</v>
      </c>
      <c r="BS701" s="1" t="s">
        <v>14170</v>
      </c>
      <c r="BT701" s="1" t="str">
        <f>HYPERLINK("https%3A%2F%2Fwww.webofscience.com%2Fwos%2Fwoscc%2Ffull-record%2FWOS:000614048400004","View Full Record in Web of Science")</f>
        <v>View Full Record in Web of Science</v>
      </c>
    </row>
    <row r="702" ht="12.75" customHeight="1">
      <c r="A702" s="1" t="s">
        <v>132</v>
      </c>
      <c r="B702" s="1" t="s">
        <v>14171</v>
      </c>
      <c r="C702" s="1" t="s">
        <v>74</v>
      </c>
      <c r="D702" s="1" t="s">
        <v>74</v>
      </c>
      <c r="E702" s="1" t="s">
        <v>74</v>
      </c>
      <c r="F702" s="1" t="s">
        <v>14172</v>
      </c>
      <c r="G702" s="1" t="s">
        <v>74</v>
      </c>
      <c r="H702" s="1" t="s">
        <v>74</v>
      </c>
      <c r="I702" s="1" t="s">
        <v>14173</v>
      </c>
      <c r="J702" s="1" t="s">
        <v>14174</v>
      </c>
      <c r="K702" s="1" t="s">
        <v>74</v>
      </c>
      <c r="L702" s="1" t="s">
        <v>74</v>
      </c>
      <c r="M702" s="1" t="s">
        <v>80</v>
      </c>
      <c r="N702" s="1" t="s">
        <v>1010</v>
      </c>
      <c r="O702" s="1" t="s">
        <v>74</v>
      </c>
      <c r="P702" s="1" t="s">
        <v>74</v>
      </c>
      <c r="Q702" s="1" t="s">
        <v>74</v>
      </c>
      <c r="R702" s="1" t="s">
        <v>74</v>
      </c>
      <c r="S702" s="1" t="s">
        <v>74</v>
      </c>
      <c r="T702" s="1" t="s">
        <v>14175</v>
      </c>
      <c r="U702" s="1" t="s">
        <v>14176</v>
      </c>
      <c r="V702" s="1" t="s">
        <v>14177</v>
      </c>
      <c r="W702" s="1" t="s">
        <v>14178</v>
      </c>
      <c r="X702" s="1" t="s">
        <v>14179</v>
      </c>
      <c r="Y702" s="1" t="s">
        <v>14180</v>
      </c>
      <c r="Z702" s="1" t="s">
        <v>14181</v>
      </c>
      <c r="AA702" s="1" t="s">
        <v>14182</v>
      </c>
      <c r="AB702" s="1" t="s">
        <v>14183</v>
      </c>
      <c r="AC702" s="1" t="s">
        <v>14184</v>
      </c>
      <c r="AD702" s="1" t="s">
        <v>14184</v>
      </c>
      <c r="AE702" s="1" t="s">
        <v>14185</v>
      </c>
      <c r="AF702" s="1" t="s">
        <v>74</v>
      </c>
      <c r="AG702" s="1">
        <v>59.0</v>
      </c>
      <c r="AH702" s="1">
        <v>32.0</v>
      </c>
      <c r="AI702" s="1">
        <v>34.0</v>
      </c>
      <c r="AJ702" s="1">
        <v>2.0</v>
      </c>
      <c r="AK702" s="1">
        <v>38.0</v>
      </c>
      <c r="AL702" s="1" t="s">
        <v>1357</v>
      </c>
      <c r="AM702" s="1" t="s">
        <v>1358</v>
      </c>
      <c r="AN702" s="1" t="s">
        <v>1359</v>
      </c>
      <c r="AO702" s="1" t="s">
        <v>14186</v>
      </c>
      <c r="AP702" s="1" t="s">
        <v>14187</v>
      </c>
      <c r="AQ702" s="1" t="s">
        <v>74</v>
      </c>
      <c r="AR702" s="1" t="s">
        <v>14174</v>
      </c>
      <c r="AS702" s="1" t="s">
        <v>14188</v>
      </c>
      <c r="AT702" s="1" t="s">
        <v>870</v>
      </c>
      <c r="AU702" s="1">
        <v>2021.0</v>
      </c>
      <c r="AV702" s="1">
        <v>76.0</v>
      </c>
      <c r="AW702" s="1" t="s">
        <v>74</v>
      </c>
      <c r="AX702" s="1" t="s">
        <v>74</v>
      </c>
      <c r="AY702" s="1">
        <v>1.0</v>
      </c>
      <c r="AZ702" s="1" t="s">
        <v>474</v>
      </c>
      <c r="BA702" s="1" t="s">
        <v>74</v>
      </c>
      <c r="BB702" s="1">
        <v>171.0</v>
      </c>
      <c r="BC702" s="1">
        <v>181.0</v>
      </c>
      <c r="BD702" s="1" t="s">
        <v>74</v>
      </c>
      <c r="BE702" s="1" t="s">
        <v>14189</v>
      </c>
      <c r="BF702" s="2" t="str">
        <f>HYPERLINK("http://dx.doi.org/10.1111/anae.15274","http://dx.doi.org/10.1111/anae.15274")</f>
        <v>http://dx.doi.org/10.1111/anae.15274</v>
      </c>
      <c r="BG702" s="1" t="s">
        <v>74</v>
      </c>
      <c r="BH702" s="1" t="s">
        <v>74</v>
      </c>
      <c r="BI702" s="1">
        <v>11.0</v>
      </c>
      <c r="BJ702" s="1" t="s">
        <v>5278</v>
      </c>
      <c r="BK702" s="1" t="s">
        <v>149</v>
      </c>
      <c r="BL702" s="1" t="s">
        <v>5278</v>
      </c>
      <c r="BM702" s="1" t="s">
        <v>14190</v>
      </c>
      <c r="BN702" s="1">
        <v>3.3426667E7</v>
      </c>
      <c r="BO702" s="1" t="s">
        <v>4126</v>
      </c>
      <c r="BP702" s="1" t="s">
        <v>74</v>
      </c>
      <c r="BQ702" s="1" t="s">
        <v>74</v>
      </c>
      <c r="BR702" s="1" t="s">
        <v>102</v>
      </c>
      <c r="BS702" s="1" t="s">
        <v>14191</v>
      </c>
      <c r="BT702" s="1" t="str">
        <f>HYPERLINK("https%3A%2F%2Fwww.webofscience.com%2Fwos%2Fwoscc%2Ffull-record%2FWOS:000606531100016","View Full Record in Web of Science")</f>
        <v>View Full Record in Web of Science</v>
      </c>
    </row>
    <row r="703" ht="12.75" customHeight="1">
      <c r="A703" s="1" t="s">
        <v>72</v>
      </c>
      <c r="B703" s="1" t="s">
        <v>14192</v>
      </c>
      <c r="C703" s="1" t="s">
        <v>74</v>
      </c>
      <c r="D703" s="1" t="s">
        <v>14193</v>
      </c>
      <c r="E703" s="1" t="s">
        <v>74</v>
      </c>
      <c r="F703" s="1" t="s">
        <v>14194</v>
      </c>
      <c r="G703" s="1" t="s">
        <v>74</v>
      </c>
      <c r="H703" s="1" t="s">
        <v>74</v>
      </c>
      <c r="I703" s="1" t="s">
        <v>14195</v>
      </c>
      <c r="J703" s="1" t="s">
        <v>14196</v>
      </c>
      <c r="K703" s="1" t="s">
        <v>14197</v>
      </c>
      <c r="L703" s="1" t="s">
        <v>74</v>
      </c>
      <c r="M703" s="1" t="s">
        <v>80</v>
      </c>
      <c r="N703" s="1" t="s">
        <v>81</v>
      </c>
      <c r="O703" s="1" t="s">
        <v>14198</v>
      </c>
      <c r="P703" s="1" t="s">
        <v>14199</v>
      </c>
      <c r="Q703" s="1" t="s">
        <v>812</v>
      </c>
      <c r="R703" s="1" t="s">
        <v>14200</v>
      </c>
      <c r="S703" s="1" t="s">
        <v>74</v>
      </c>
      <c r="T703" s="1" t="s">
        <v>14201</v>
      </c>
      <c r="U703" s="1" t="s">
        <v>14202</v>
      </c>
      <c r="V703" s="1" t="s">
        <v>14203</v>
      </c>
      <c r="W703" s="1" t="s">
        <v>14204</v>
      </c>
      <c r="X703" s="1" t="s">
        <v>14205</v>
      </c>
      <c r="Y703" s="1" t="s">
        <v>14206</v>
      </c>
      <c r="Z703" s="1" t="s">
        <v>14207</v>
      </c>
      <c r="AA703" s="1" t="s">
        <v>14208</v>
      </c>
      <c r="AB703" s="1" t="s">
        <v>14209</v>
      </c>
      <c r="AC703" s="1" t="s">
        <v>74</v>
      </c>
      <c r="AD703" s="1" t="s">
        <v>74</v>
      </c>
      <c r="AE703" s="1" t="s">
        <v>74</v>
      </c>
      <c r="AF703" s="1" t="s">
        <v>74</v>
      </c>
      <c r="AG703" s="1">
        <v>40.0</v>
      </c>
      <c r="AH703" s="1">
        <v>4.0</v>
      </c>
      <c r="AI703" s="1">
        <v>4.0</v>
      </c>
      <c r="AJ703" s="1">
        <v>7.0</v>
      </c>
      <c r="AK703" s="1">
        <v>42.0</v>
      </c>
      <c r="AL703" s="1" t="s">
        <v>236</v>
      </c>
      <c r="AM703" s="1" t="s">
        <v>193</v>
      </c>
      <c r="AN703" s="1" t="s">
        <v>252</v>
      </c>
      <c r="AO703" s="1" t="s">
        <v>14210</v>
      </c>
      <c r="AP703" s="1" t="s">
        <v>74</v>
      </c>
      <c r="AQ703" s="1" t="s">
        <v>14211</v>
      </c>
      <c r="AR703" s="1" t="s">
        <v>14212</v>
      </c>
      <c r="AS703" s="1" t="s">
        <v>74</v>
      </c>
      <c r="AT703" s="1" t="s">
        <v>74</v>
      </c>
      <c r="AU703" s="1">
        <v>2022.0</v>
      </c>
      <c r="AV703" s="1" t="s">
        <v>74</v>
      </c>
      <c r="AW703" s="1" t="s">
        <v>74</v>
      </c>
      <c r="AX703" s="1" t="s">
        <v>74</v>
      </c>
      <c r="AY703" s="1" t="s">
        <v>74</v>
      </c>
      <c r="AZ703" s="1" t="s">
        <v>74</v>
      </c>
      <c r="BA703" s="1" t="s">
        <v>74</v>
      </c>
      <c r="BB703" s="1">
        <v>297.0</v>
      </c>
      <c r="BC703" s="1">
        <v>301.0</v>
      </c>
      <c r="BD703" s="1" t="s">
        <v>74</v>
      </c>
      <c r="BE703" s="1" t="s">
        <v>14213</v>
      </c>
      <c r="BF703" s="2" t="str">
        <f>HYPERLINK("http://dx.doi.org/10.1109/ICALT55010.2022.00095","http://dx.doi.org/10.1109/ICALT55010.2022.00095")</f>
        <v>http://dx.doi.org/10.1109/ICALT55010.2022.00095</v>
      </c>
      <c r="BG703" s="1" t="s">
        <v>74</v>
      </c>
      <c r="BH703" s="1" t="s">
        <v>74</v>
      </c>
      <c r="BI703" s="1">
        <v>5.0</v>
      </c>
      <c r="BJ703" s="1" t="s">
        <v>14214</v>
      </c>
      <c r="BK703" s="1" t="s">
        <v>405</v>
      </c>
      <c r="BL703" s="1" t="s">
        <v>436</v>
      </c>
      <c r="BM703" s="1" t="s">
        <v>14215</v>
      </c>
      <c r="BN703" s="1" t="s">
        <v>74</v>
      </c>
      <c r="BO703" s="1" t="s">
        <v>74</v>
      </c>
      <c r="BP703" s="1" t="s">
        <v>74</v>
      </c>
      <c r="BQ703" s="1" t="s">
        <v>74</v>
      </c>
      <c r="BR703" s="1" t="s">
        <v>102</v>
      </c>
      <c r="BS703" s="1" t="s">
        <v>14216</v>
      </c>
      <c r="BT703" s="1" t="str">
        <f>HYPERLINK("https%3A%2F%2Fwww.webofscience.com%2Fwos%2Fwoscc%2Ffull-record%2FWOS:000885102700089","View Full Record in Web of Science")</f>
        <v>View Full Record in Web of Science</v>
      </c>
    </row>
    <row r="704" ht="12.75" customHeight="1">
      <c r="A704" s="1" t="s">
        <v>132</v>
      </c>
      <c r="B704" s="1" t="s">
        <v>14217</v>
      </c>
      <c r="C704" s="1" t="s">
        <v>74</v>
      </c>
      <c r="D704" s="1" t="s">
        <v>74</v>
      </c>
      <c r="E704" s="1" t="s">
        <v>74</v>
      </c>
      <c r="F704" s="1" t="s">
        <v>14218</v>
      </c>
      <c r="G704" s="1" t="s">
        <v>74</v>
      </c>
      <c r="H704" s="1" t="s">
        <v>74</v>
      </c>
      <c r="I704" s="1" t="s">
        <v>14219</v>
      </c>
      <c r="J704" s="1" t="s">
        <v>14220</v>
      </c>
      <c r="K704" s="1" t="s">
        <v>74</v>
      </c>
      <c r="L704" s="1" t="s">
        <v>74</v>
      </c>
      <c r="M704" s="1" t="s">
        <v>638</v>
      </c>
      <c r="N704" s="1" t="s">
        <v>136</v>
      </c>
      <c r="O704" s="1" t="s">
        <v>74</v>
      </c>
      <c r="P704" s="1" t="s">
        <v>74</v>
      </c>
      <c r="Q704" s="1" t="s">
        <v>74</v>
      </c>
      <c r="R704" s="1" t="s">
        <v>74</v>
      </c>
      <c r="S704" s="1" t="s">
        <v>74</v>
      </c>
      <c r="T704" s="1" t="s">
        <v>14221</v>
      </c>
      <c r="U704" s="1" t="s">
        <v>14222</v>
      </c>
      <c r="V704" s="1" t="s">
        <v>14223</v>
      </c>
      <c r="W704" s="1" t="s">
        <v>14224</v>
      </c>
      <c r="X704" s="1" t="s">
        <v>14225</v>
      </c>
      <c r="Y704" s="1" t="s">
        <v>14226</v>
      </c>
      <c r="Z704" s="1" t="s">
        <v>14227</v>
      </c>
      <c r="AA704" s="1" t="s">
        <v>14228</v>
      </c>
      <c r="AB704" s="1" t="s">
        <v>74</v>
      </c>
      <c r="AC704" s="1" t="s">
        <v>74</v>
      </c>
      <c r="AD704" s="1" t="s">
        <v>74</v>
      </c>
      <c r="AE704" s="1" t="s">
        <v>74</v>
      </c>
      <c r="AF704" s="1" t="s">
        <v>74</v>
      </c>
      <c r="AG704" s="1">
        <v>31.0</v>
      </c>
      <c r="AH704" s="1">
        <v>0.0</v>
      </c>
      <c r="AI704" s="1">
        <v>0.0</v>
      </c>
      <c r="AJ704" s="1">
        <v>0.0</v>
      </c>
      <c r="AK704" s="1">
        <v>3.0</v>
      </c>
      <c r="AL704" s="1" t="s">
        <v>14229</v>
      </c>
      <c r="AM704" s="1" t="s">
        <v>4661</v>
      </c>
      <c r="AN704" s="1" t="s">
        <v>14230</v>
      </c>
      <c r="AO704" s="1" t="s">
        <v>14231</v>
      </c>
      <c r="AP704" s="1" t="s">
        <v>74</v>
      </c>
      <c r="AQ704" s="1" t="s">
        <v>74</v>
      </c>
      <c r="AR704" s="1" t="s">
        <v>14232</v>
      </c>
      <c r="AS704" s="1" t="s">
        <v>14233</v>
      </c>
      <c r="AT704" s="1" t="s">
        <v>1156</v>
      </c>
      <c r="AU704" s="1">
        <v>2021.0</v>
      </c>
      <c r="AV704" s="1">
        <v>12.0</v>
      </c>
      <c r="AW704" s="1">
        <v>4.0</v>
      </c>
      <c r="AX704" s="1" t="s">
        <v>74</v>
      </c>
      <c r="AY704" s="1" t="s">
        <v>74</v>
      </c>
      <c r="AZ704" s="1" t="s">
        <v>74</v>
      </c>
      <c r="BA704" s="1" t="s">
        <v>74</v>
      </c>
      <c r="BB704" s="1" t="s">
        <v>74</v>
      </c>
      <c r="BC704" s="1" t="s">
        <v>74</v>
      </c>
      <c r="BD704" s="1" t="s">
        <v>14234</v>
      </c>
      <c r="BE704" s="1" t="s">
        <v>74</v>
      </c>
      <c r="BF704" s="1" t="s">
        <v>74</v>
      </c>
      <c r="BG704" s="1" t="s">
        <v>74</v>
      </c>
      <c r="BH704" s="1" t="s">
        <v>74</v>
      </c>
      <c r="BI704" s="1">
        <v>12.0</v>
      </c>
      <c r="BJ704" s="1" t="s">
        <v>4171</v>
      </c>
      <c r="BK704" s="1" t="s">
        <v>172</v>
      </c>
      <c r="BL704" s="1" t="s">
        <v>3052</v>
      </c>
      <c r="BM704" s="1" t="s">
        <v>14235</v>
      </c>
      <c r="BN704" s="1" t="s">
        <v>74</v>
      </c>
      <c r="BO704" s="1" t="s">
        <v>74</v>
      </c>
      <c r="BP704" s="1" t="s">
        <v>74</v>
      </c>
      <c r="BQ704" s="1" t="s">
        <v>74</v>
      </c>
      <c r="BR704" s="1" t="s">
        <v>102</v>
      </c>
      <c r="BS704" s="1" t="s">
        <v>14236</v>
      </c>
      <c r="BT704" s="1" t="str">
        <f>HYPERLINK("https%3A%2F%2Fwww.webofscience.com%2Fwos%2Fwoscc%2Ffull-record%2FWOS:000702091700013","View Full Record in Web of Science")</f>
        <v>View Full Record in Web of Science</v>
      </c>
    </row>
    <row r="705" ht="12.75" customHeight="1">
      <c r="A705" s="1" t="s">
        <v>132</v>
      </c>
      <c r="B705" s="1" t="s">
        <v>14237</v>
      </c>
      <c r="C705" s="1" t="s">
        <v>74</v>
      </c>
      <c r="D705" s="1" t="s">
        <v>74</v>
      </c>
      <c r="E705" s="1" t="s">
        <v>74</v>
      </c>
      <c r="F705" s="1" t="s">
        <v>14238</v>
      </c>
      <c r="G705" s="1" t="s">
        <v>74</v>
      </c>
      <c r="H705" s="1" t="s">
        <v>74</v>
      </c>
      <c r="I705" s="1" t="s">
        <v>14239</v>
      </c>
      <c r="J705" s="1" t="s">
        <v>14240</v>
      </c>
      <c r="K705" s="1" t="s">
        <v>74</v>
      </c>
      <c r="L705" s="1" t="s">
        <v>74</v>
      </c>
      <c r="M705" s="1" t="s">
        <v>80</v>
      </c>
      <c r="N705" s="1" t="s">
        <v>1010</v>
      </c>
      <c r="O705" s="1" t="s">
        <v>74</v>
      </c>
      <c r="P705" s="1" t="s">
        <v>74</v>
      </c>
      <c r="Q705" s="1" t="s">
        <v>74</v>
      </c>
      <c r="R705" s="1" t="s">
        <v>74</v>
      </c>
      <c r="S705" s="1" t="s">
        <v>74</v>
      </c>
      <c r="T705" s="1" t="s">
        <v>14241</v>
      </c>
      <c r="U705" s="1" t="s">
        <v>14242</v>
      </c>
      <c r="V705" s="1" t="s">
        <v>14243</v>
      </c>
      <c r="W705" s="1" t="s">
        <v>14244</v>
      </c>
      <c r="X705" s="1" t="s">
        <v>14245</v>
      </c>
      <c r="Y705" s="1" t="s">
        <v>14246</v>
      </c>
      <c r="Z705" s="1" t="s">
        <v>14247</v>
      </c>
      <c r="AA705" s="1" t="s">
        <v>74</v>
      </c>
      <c r="AB705" s="1" t="s">
        <v>14248</v>
      </c>
      <c r="AC705" s="1" t="s">
        <v>74</v>
      </c>
      <c r="AD705" s="1" t="s">
        <v>74</v>
      </c>
      <c r="AE705" s="1" t="s">
        <v>74</v>
      </c>
      <c r="AF705" s="1" t="s">
        <v>74</v>
      </c>
      <c r="AG705" s="1">
        <v>105.0</v>
      </c>
      <c r="AH705" s="1">
        <v>38.0</v>
      </c>
      <c r="AI705" s="1">
        <v>40.0</v>
      </c>
      <c r="AJ705" s="1">
        <v>11.0</v>
      </c>
      <c r="AK705" s="1">
        <v>53.0</v>
      </c>
      <c r="AL705" s="1" t="s">
        <v>1970</v>
      </c>
      <c r="AM705" s="1" t="s">
        <v>1658</v>
      </c>
      <c r="AN705" s="1" t="s">
        <v>1971</v>
      </c>
      <c r="AO705" s="1" t="s">
        <v>14249</v>
      </c>
      <c r="AP705" s="1" t="s">
        <v>74</v>
      </c>
      <c r="AQ705" s="1" t="s">
        <v>74</v>
      </c>
      <c r="AR705" s="1" t="s">
        <v>14240</v>
      </c>
      <c r="AS705" s="1" t="s">
        <v>14250</v>
      </c>
      <c r="AT705" s="1" t="s">
        <v>1027</v>
      </c>
      <c r="AU705" s="1">
        <v>2023.0</v>
      </c>
      <c r="AV705" s="1">
        <v>12.0</v>
      </c>
      <c r="AW705" s="1">
        <v>3.0</v>
      </c>
      <c r="AX705" s="1" t="s">
        <v>74</v>
      </c>
      <c r="AY705" s="1" t="s">
        <v>74</v>
      </c>
      <c r="AZ705" s="1" t="s">
        <v>74</v>
      </c>
      <c r="BA705" s="1" t="s">
        <v>74</v>
      </c>
      <c r="BB705" s="1" t="s">
        <v>74</v>
      </c>
      <c r="BC705" s="1" t="s">
        <v>74</v>
      </c>
      <c r="BD705" s="1">
        <v>523.0</v>
      </c>
      <c r="BE705" s="1" t="s">
        <v>14251</v>
      </c>
      <c r="BF705" s="2" t="str">
        <f>HYPERLINK("http://dx.doi.org/10.3390/antibiotics12030523","http://dx.doi.org/10.3390/antibiotics12030523")</f>
        <v>http://dx.doi.org/10.3390/antibiotics12030523</v>
      </c>
      <c r="BG705" s="1" t="s">
        <v>74</v>
      </c>
      <c r="BH705" s="1" t="s">
        <v>74</v>
      </c>
      <c r="BI705" s="1">
        <v>16.0</v>
      </c>
      <c r="BJ705" s="1" t="s">
        <v>14252</v>
      </c>
      <c r="BK705" s="1" t="s">
        <v>149</v>
      </c>
      <c r="BL705" s="1" t="s">
        <v>14252</v>
      </c>
      <c r="BM705" s="1" t="s">
        <v>14253</v>
      </c>
      <c r="BN705" s="1">
        <v>3.697839E7</v>
      </c>
      <c r="BO705" s="1" t="s">
        <v>284</v>
      </c>
      <c r="BP705" s="1" t="s">
        <v>74</v>
      </c>
      <c r="BQ705" s="1" t="s">
        <v>74</v>
      </c>
      <c r="BR705" s="1" t="s">
        <v>102</v>
      </c>
      <c r="BS705" s="1" t="s">
        <v>14254</v>
      </c>
      <c r="BT705" s="1" t="str">
        <f>HYPERLINK("https%3A%2F%2Fwww.webofscience.com%2Fwos%2Fwoscc%2Ffull-record%2FWOS:000956912600001","View Full Record in Web of Science")</f>
        <v>View Full Record in Web of Science</v>
      </c>
    </row>
    <row r="706" ht="12.75" customHeight="1">
      <c r="A706" s="1" t="s">
        <v>132</v>
      </c>
      <c r="B706" s="1" t="s">
        <v>14255</v>
      </c>
      <c r="C706" s="1" t="s">
        <v>74</v>
      </c>
      <c r="D706" s="1" t="s">
        <v>74</v>
      </c>
      <c r="E706" s="1" t="s">
        <v>74</v>
      </c>
      <c r="F706" s="1" t="s">
        <v>14256</v>
      </c>
      <c r="G706" s="1" t="s">
        <v>74</v>
      </c>
      <c r="H706" s="1" t="s">
        <v>74</v>
      </c>
      <c r="I706" s="1" t="s">
        <v>14257</v>
      </c>
      <c r="J706" s="1" t="s">
        <v>14258</v>
      </c>
      <c r="K706" s="1" t="s">
        <v>74</v>
      </c>
      <c r="L706" s="1" t="s">
        <v>74</v>
      </c>
      <c r="M706" s="1" t="s">
        <v>80</v>
      </c>
      <c r="N706" s="1" t="s">
        <v>1563</v>
      </c>
      <c r="O706" s="1" t="s">
        <v>74</v>
      </c>
      <c r="P706" s="1" t="s">
        <v>74</v>
      </c>
      <c r="Q706" s="1" t="s">
        <v>74</v>
      </c>
      <c r="R706" s="1" t="s">
        <v>74</v>
      </c>
      <c r="S706" s="1" t="s">
        <v>74</v>
      </c>
      <c r="T706" s="1" t="s">
        <v>14259</v>
      </c>
      <c r="U706" s="1" t="s">
        <v>74</v>
      </c>
      <c r="V706" s="1" t="s">
        <v>14260</v>
      </c>
      <c r="W706" s="1" t="s">
        <v>14261</v>
      </c>
      <c r="X706" s="1" t="s">
        <v>14262</v>
      </c>
      <c r="Y706" s="1" t="s">
        <v>14263</v>
      </c>
      <c r="Z706" s="1" t="s">
        <v>74</v>
      </c>
      <c r="AA706" s="1" t="s">
        <v>14264</v>
      </c>
      <c r="AB706" s="1" t="s">
        <v>14265</v>
      </c>
      <c r="AC706" s="1" t="s">
        <v>74</v>
      </c>
      <c r="AD706" s="1" t="s">
        <v>74</v>
      </c>
      <c r="AE706" s="1" t="s">
        <v>74</v>
      </c>
      <c r="AF706" s="1" t="s">
        <v>74</v>
      </c>
      <c r="AG706" s="1">
        <v>11.0</v>
      </c>
      <c r="AH706" s="1">
        <v>5.0</v>
      </c>
      <c r="AI706" s="1">
        <v>5.0</v>
      </c>
      <c r="AJ706" s="1">
        <v>30.0</v>
      </c>
      <c r="AK706" s="1">
        <v>78.0</v>
      </c>
      <c r="AL706" s="1" t="s">
        <v>11667</v>
      </c>
      <c r="AM706" s="1" t="s">
        <v>8312</v>
      </c>
      <c r="AN706" s="1" t="s">
        <v>11668</v>
      </c>
      <c r="AO706" s="1" t="s">
        <v>14266</v>
      </c>
      <c r="AP706" s="1" t="s">
        <v>14267</v>
      </c>
      <c r="AQ706" s="1" t="s">
        <v>74</v>
      </c>
      <c r="AR706" s="1" t="s">
        <v>14268</v>
      </c>
      <c r="AS706" s="1" t="s">
        <v>14269</v>
      </c>
      <c r="AT706" s="1" t="s">
        <v>2934</v>
      </c>
      <c r="AU706" s="1">
        <v>2023.0</v>
      </c>
      <c r="AV706" s="1">
        <v>100.0</v>
      </c>
      <c r="AW706" s="1">
        <v>9.0</v>
      </c>
      <c r="AX706" s="1" t="s">
        <v>74</v>
      </c>
      <c r="AY706" s="1" t="s">
        <v>74</v>
      </c>
      <c r="AZ706" s="1" t="s">
        <v>74</v>
      </c>
      <c r="BA706" s="1" t="s">
        <v>74</v>
      </c>
      <c r="BB706" s="1">
        <v>3168.0</v>
      </c>
      <c r="BC706" s="1">
        <v>3170.0</v>
      </c>
      <c r="BD706" s="1" t="s">
        <v>74</v>
      </c>
      <c r="BE706" s="1" t="s">
        <v>14270</v>
      </c>
      <c r="BF706" s="2" t="str">
        <f>HYPERLINK("http://dx.doi.org/10.1021/acs.jchemed.3c00829","http://dx.doi.org/10.1021/acs.jchemed.3c00829")</f>
        <v>http://dx.doi.org/10.1021/acs.jchemed.3c00829</v>
      </c>
      <c r="BG706" s="1" t="s">
        <v>74</v>
      </c>
      <c r="BH706" s="1" t="s">
        <v>74</v>
      </c>
      <c r="BI706" s="1">
        <v>3.0</v>
      </c>
      <c r="BJ706" s="1" t="s">
        <v>14271</v>
      </c>
      <c r="BK706" s="1" t="s">
        <v>149</v>
      </c>
      <c r="BL706" s="1" t="s">
        <v>14272</v>
      </c>
      <c r="BM706" s="1" t="s">
        <v>14273</v>
      </c>
      <c r="BN706" s="1" t="s">
        <v>74</v>
      </c>
      <c r="BO706" s="1" t="s">
        <v>74</v>
      </c>
      <c r="BP706" s="1" t="s">
        <v>74</v>
      </c>
      <c r="BQ706" s="1" t="s">
        <v>74</v>
      </c>
      <c r="BR706" s="1" t="s">
        <v>102</v>
      </c>
      <c r="BS706" s="1" t="s">
        <v>14274</v>
      </c>
      <c r="BT706" s="1" t="str">
        <f>HYPERLINK("https%3A%2F%2Fwww.webofscience.com%2Fwos%2Fwoscc%2Ffull-record%2FWOS:001078474700001","View Full Record in Web of Science")</f>
        <v>View Full Record in Web of Science</v>
      </c>
    </row>
    <row r="707" ht="12.75" customHeight="1">
      <c r="A707" s="1" t="s">
        <v>132</v>
      </c>
      <c r="B707" s="1" t="s">
        <v>14275</v>
      </c>
      <c r="C707" s="1" t="s">
        <v>74</v>
      </c>
      <c r="D707" s="1" t="s">
        <v>74</v>
      </c>
      <c r="E707" s="1" t="s">
        <v>74</v>
      </c>
      <c r="F707" s="1" t="s">
        <v>14276</v>
      </c>
      <c r="G707" s="1" t="s">
        <v>74</v>
      </c>
      <c r="H707" s="1" t="s">
        <v>74</v>
      </c>
      <c r="I707" s="1" t="s">
        <v>14277</v>
      </c>
      <c r="J707" s="1" t="s">
        <v>13920</v>
      </c>
      <c r="K707" s="1" t="s">
        <v>74</v>
      </c>
      <c r="L707" s="1" t="s">
        <v>74</v>
      </c>
      <c r="M707" s="1" t="s">
        <v>80</v>
      </c>
      <c r="N707" s="1" t="s">
        <v>136</v>
      </c>
      <c r="O707" s="1" t="s">
        <v>74</v>
      </c>
      <c r="P707" s="1" t="s">
        <v>74</v>
      </c>
      <c r="Q707" s="1" t="s">
        <v>74</v>
      </c>
      <c r="R707" s="1" t="s">
        <v>74</v>
      </c>
      <c r="S707" s="1" t="s">
        <v>74</v>
      </c>
      <c r="T707" s="1" t="s">
        <v>14278</v>
      </c>
      <c r="U707" s="1" t="s">
        <v>74</v>
      </c>
      <c r="V707" s="1" t="s">
        <v>14279</v>
      </c>
      <c r="W707" s="1" t="s">
        <v>14280</v>
      </c>
      <c r="X707" s="1" t="s">
        <v>14281</v>
      </c>
      <c r="Y707" s="1" t="s">
        <v>14282</v>
      </c>
      <c r="Z707" s="1" t="s">
        <v>14283</v>
      </c>
      <c r="AA707" s="1" t="s">
        <v>14284</v>
      </c>
      <c r="AB707" s="1" t="s">
        <v>14285</v>
      </c>
      <c r="AC707" s="1" t="s">
        <v>14286</v>
      </c>
      <c r="AD707" s="1" t="s">
        <v>14287</v>
      </c>
      <c r="AE707" s="1" t="s">
        <v>14288</v>
      </c>
      <c r="AF707" s="1" t="s">
        <v>74</v>
      </c>
      <c r="AG707" s="1">
        <v>43.0</v>
      </c>
      <c r="AH707" s="1">
        <v>2.0</v>
      </c>
      <c r="AI707" s="1">
        <v>2.0</v>
      </c>
      <c r="AJ707" s="1">
        <v>7.0</v>
      </c>
      <c r="AK707" s="1">
        <v>10.0</v>
      </c>
      <c r="AL707" s="1" t="s">
        <v>1970</v>
      </c>
      <c r="AM707" s="1" t="s">
        <v>1658</v>
      </c>
      <c r="AN707" s="1" t="s">
        <v>1971</v>
      </c>
      <c r="AO707" s="1" t="s">
        <v>13929</v>
      </c>
      <c r="AP707" s="1" t="s">
        <v>13930</v>
      </c>
      <c r="AQ707" s="1" t="s">
        <v>74</v>
      </c>
      <c r="AR707" s="1" t="s">
        <v>13931</v>
      </c>
      <c r="AS707" s="1" t="s">
        <v>13932</v>
      </c>
      <c r="AT707" s="1" t="s">
        <v>1027</v>
      </c>
      <c r="AU707" s="1">
        <v>2024.0</v>
      </c>
      <c r="AV707" s="1">
        <v>14.0</v>
      </c>
      <c r="AW707" s="1">
        <v>1.0</v>
      </c>
      <c r="AX707" s="1" t="s">
        <v>74</v>
      </c>
      <c r="AY707" s="1" t="s">
        <v>74</v>
      </c>
      <c r="AZ707" s="1" t="s">
        <v>74</v>
      </c>
      <c r="BA707" s="1" t="s">
        <v>74</v>
      </c>
      <c r="BB707" s="1">
        <v>627.0</v>
      </c>
      <c r="BC707" s="1">
        <v>640.0</v>
      </c>
      <c r="BD707" s="1" t="s">
        <v>74</v>
      </c>
      <c r="BE707" s="1" t="s">
        <v>14289</v>
      </c>
      <c r="BF707" s="2" t="str">
        <f>HYPERLINK("http://dx.doi.org/10.3390/nursrep14010048","http://dx.doi.org/10.3390/nursrep14010048")</f>
        <v>http://dx.doi.org/10.3390/nursrep14010048</v>
      </c>
      <c r="BG707" s="1" t="s">
        <v>74</v>
      </c>
      <c r="BH707" s="1" t="s">
        <v>74</v>
      </c>
      <c r="BI707" s="1">
        <v>14.0</v>
      </c>
      <c r="BJ707" s="1" t="s">
        <v>1578</v>
      </c>
      <c r="BK707" s="1" t="s">
        <v>172</v>
      </c>
      <c r="BL707" s="1" t="s">
        <v>1578</v>
      </c>
      <c r="BM707" s="1" t="s">
        <v>14290</v>
      </c>
      <c r="BN707" s="1">
        <v>3.853572E7</v>
      </c>
      <c r="BO707" s="1" t="s">
        <v>1161</v>
      </c>
      <c r="BP707" s="1" t="s">
        <v>74</v>
      </c>
      <c r="BQ707" s="1" t="s">
        <v>74</v>
      </c>
      <c r="BR707" s="1" t="s">
        <v>102</v>
      </c>
      <c r="BS707" s="1" t="s">
        <v>14291</v>
      </c>
      <c r="BT707" s="1" t="str">
        <f>HYPERLINK("https%3A%2F%2Fwww.webofscience.com%2Fwos%2Fwoscc%2Ffull-record%2FWOS:001192803100001","View Full Record in Web of Science")</f>
        <v>View Full Record in Web of Science</v>
      </c>
    </row>
    <row r="708" ht="12.75" customHeight="1">
      <c r="A708" s="1" t="s">
        <v>132</v>
      </c>
      <c r="B708" s="1" t="s">
        <v>14292</v>
      </c>
      <c r="C708" s="1" t="s">
        <v>74</v>
      </c>
      <c r="D708" s="1" t="s">
        <v>74</v>
      </c>
      <c r="E708" s="1" t="s">
        <v>74</v>
      </c>
      <c r="F708" s="1" t="s">
        <v>14293</v>
      </c>
      <c r="G708" s="1" t="s">
        <v>74</v>
      </c>
      <c r="H708" s="1" t="s">
        <v>74</v>
      </c>
      <c r="I708" s="1" t="s">
        <v>14294</v>
      </c>
      <c r="J708" s="1" t="s">
        <v>10133</v>
      </c>
      <c r="K708" s="1" t="s">
        <v>74</v>
      </c>
      <c r="L708" s="1" t="s">
        <v>74</v>
      </c>
      <c r="M708" s="1" t="s">
        <v>80</v>
      </c>
      <c r="N708" s="1" t="s">
        <v>136</v>
      </c>
      <c r="O708" s="1" t="s">
        <v>74</v>
      </c>
      <c r="P708" s="1" t="s">
        <v>74</v>
      </c>
      <c r="Q708" s="1" t="s">
        <v>74</v>
      </c>
      <c r="R708" s="1" t="s">
        <v>74</v>
      </c>
      <c r="S708" s="1" t="s">
        <v>74</v>
      </c>
      <c r="T708" s="1" t="s">
        <v>14295</v>
      </c>
      <c r="U708" s="1" t="s">
        <v>14296</v>
      </c>
      <c r="V708" s="1" t="s">
        <v>14297</v>
      </c>
      <c r="W708" s="1" t="s">
        <v>14298</v>
      </c>
      <c r="X708" s="1" t="s">
        <v>14299</v>
      </c>
      <c r="Y708" s="1" t="s">
        <v>14300</v>
      </c>
      <c r="Z708" s="1" t="s">
        <v>14301</v>
      </c>
      <c r="AA708" s="1" t="s">
        <v>14302</v>
      </c>
      <c r="AB708" s="1" t="s">
        <v>14303</v>
      </c>
      <c r="AC708" s="1" t="s">
        <v>14304</v>
      </c>
      <c r="AD708" s="1" t="s">
        <v>14305</v>
      </c>
      <c r="AE708" s="1" t="s">
        <v>14306</v>
      </c>
      <c r="AF708" s="1" t="s">
        <v>74</v>
      </c>
      <c r="AG708" s="1">
        <v>88.0</v>
      </c>
      <c r="AH708" s="1">
        <v>27.0</v>
      </c>
      <c r="AI708" s="1">
        <v>29.0</v>
      </c>
      <c r="AJ708" s="1">
        <v>7.0</v>
      </c>
      <c r="AK708" s="1">
        <v>29.0</v>
      </c>
      <c r="AL708" s="1" t="s">
        <v>14307</v>
      </c>
      <c r="AM708" s="1" t="s">
        <v>14308</v>
      </c>
      <c r="AN708" s="1" t="s">
        <v>14309</v>
      </c>
      <c r="AO708" s="1" t="s">
        <v>74</v>
      </c>
      <c r="AP708" s="1" t="s">
        <v>10146</v>
      </c>
      <c r="AQ708" s="1" t="s">
        <v>74</v>
      </c>
      <c r="AR708" s="1" t="s">
        <v>10147</v>
      </c>
      <c r="AS708" s="1" t="s">
        <v>10148</v>
      </c>
      <c r="AT708" s="1" t="s">
        <v>6623</v>
      </c>
      <c r="AU708" s="1">
        <v>2020.0</v>
      </c>
      <c r="AV708" s="1">
        <v>9.0</v>
      </c>
      <c r="AW708" s="1">
        <v>4.0</v>
      </c>
      <c r="AX708" s="1" t="s">
        <v>74</v>
      </c>
      <c r="AY708" s="1" t="s">
        <v>74</v>
      </c>
      <c r="AZ708" s="1" t="s">
        <v>74</v>
      </c>
      <c r="BA708" s="1" t="s">
        <v>74</v>
      </c>
      <c r="BB708" s="1">
        <v>299.0</v>
      </c>
      <c r="BC708" s="1">
        <v>307.0</v>
      </c>
      <c r="BD708" s="1" t="s">
        <v>74</v>
      </c>
      <c r="BE708" s="1" t="s">
        <v>14310</v>
      </c>
      <c r="BF708" s="2" t="str">
        <f>HYPERLINK("http://dx.doi.org/10.1097/APO.0000000000000301","http://dx.doi.org/10.1097/APO.0000000000000301")</f>
        <v>http://dx.doi.org/10.1097/APO.0000000000000301</v>
      </c>
      <c r="BG708" s="1" t="s">
        <v>74</v>
      </c>
      <c r="BH708" s="1" t="s">
        <v>74</v>
      </c>
      <c r="BI708" s="1">
        <v>9.0</v>
      </c>
      <c r="BJ708" s="1" t="s">
        <v>1029</v>
      </c>
      <c r="BK708" s="1" t="s">
        <v>149</v>
      </c>
      <c r="BL708" s="1" t="s">
        <v>1029</v>
      </c>
      <c r="BM708" s="1" t="s">
        <v>14311</v>
      </c>
      <c r="BN708" s="1">
        <v>3.2694344E7</v>
      </c>
      <c r="BO708" s="1" t="s">
        <v>1161</v>
      </c>
      <c r="BP708" s="1" t="s">
        <v>74</v>
      </c>
      <c r="BQ708" s="1" t="s">
        <v>74</v>
      </c>
      <c r="BR708" s="1" t="s">
        <v>102</v>
      </c>
      <c r="BS708" s="1" t="s">
        <v>14312</v>
      </c>
      <c r="BT708" s="1" t="str">
        <f>HYPERLINK("https%3A%2F%2Fwww.webofscience.com%2Fwos%2Fwoscc%2Ffull-record%2FWOS:000557544400005","View Full Record in Web of Science")</f>
        <v>View Full Record in Web of Science</v>
      </c>
    </row>
    <row r="709" ht="12.75" customHeight="1">
      <c r="A709" s="1" t="s">
        <v>132</v>
      </c>
      <c r="B709" s="1" t="s">
        <v>14313</v>
      </c>
      <c r="C709" s="1" t="s">
        <v>74</v>
      </c>
      <c r="D709" s="1" t="s">
        <v>74</v>
      </c>
      <c r="E709" s="1" t="s">
        <v>74</v>
      </c>
      <c r="F709" s="1" t="s">
        <v>14314</v>
      </c>
      <c r="G709" s="1" t="s">
        <v>74</v>
      </c>
      <c r="H709" s="1" t="s">
        <v>74</v>
      </c>
      <c r="I709" s="1" t="s">
        <v>14315</v>
      </c>
      <c r="J709" s="1" t="s">
        <v>14316</v>
      </c>
      <c r="K709" s="1" t="s">
        <v>74</v>
      </c>
      <c r="L709" s="1" t="s">
        <v>74</v>
      </c>
      <c r="M709" s="1" t="s">
        <v>80</v>
      </c>
      <c r="N709" s="1" t="s">
        <v>1010</v>
      </c>
      <c r="O709" s="1" t="s">
        <v>74</v>
      </c>
      <c r="P709" s="1" t="s">
        <v>74</v>
      </c>
      <c r="Q709" s="1" t="s">
        <v>74</v>
      </c>
      <c r="R709" s="1" t="s">
        <v>74</v>
      </c>
      <c r="S709" s="1" t="s">
        <v>74</v>
      </c>
      <c r="T709" s="1" t="s">
        <v>14317</v>
      </c>
      <c r="U709" s="1" t="s">
        <v>14318</v>
      </c>
      <c r="V709" s="1" t="s">
        <v>14319</v>
      </c>
      <c r="W709" s="1" t="s">
        <v>14320</v>
      </c>
      <c r="X709" s="1" t="s">
        <v>14321</v>
      </c>
      <c r="Y709" s="1" t="s">
        <v>14322</v>
      </c>
      <c r="Z709" s="1" t="s">
        <v>14323</v>
      </c>
      <c r="AA709" s="1" t="s">
        <v>14324</v>
      </c>
      <c r="AB709" s="1" t="s">
        <v>74</v>
      </c>
      <c r="AC709" s="1" t="s">
        <v>74</v>
      </c>
      <c r="AD709" s="1" t="s">
        <v>74</v>
      </c>
      <c r="AE709" s="1" t="s">
        <v>74</v>
      </c>
      <c r="AF709" s="1" t="s">
        <v>74</v>
      </c>
      <c r="AG709" s="1">
        <v>110.0</v>
      </c>
      <c r="AH709" s="1">
        <v>3.0</v>
      </c>
      <c r="AI709" s="1">
        <v>4.0</v>
      </c>
      <c r="AJ709" s="1">
        <v>12.0</v>
      </c>
      <c r="AK709" s="1">
        <v>25.0</v>
      </c>
      <c r="AL709" s="1" t="s">
        <v>321</v>
      </c>
      <c r="AM709" s="1" t="s">
        <v>322</v>
      </c>
      <c r="AN709" s="1" t="s">
        <v>323</v>
      </c>
      <c r="AO709" s="1" t="s">
        <v>14325</v>
      </c>
      <c r="AP709" s="1" t="s">
        <v>74</v>
      </c>
      <c r="AQ709" s="1" t="s">
        <v>74</v>
      </c>
      <c r="AR709" s="1" t="s">
        <v>14326</v>
      </c>
      <c r="AS709" s="1" t="s">
        <v>14327</v>
      </c>
      <c r="AT709" s="1" t="s">
        <v>1709</v>
      </c>
      <c r="AU709" s="1">
        <v>2023.0</v>
      </c>
      <c r="AV709" s="1">
        <v>3.0</v>
      </c>
      <c r="AW709" s="1">
        <v>3.0</v>
      </c>
      <c r="AX709" s="1" t="s">
        <v>74</v>
      </c>
      <c r="AY709" s="1" t="s">
        <v>74</v>
      </c>
      <c r="AZ709" s="1" t="s">
        <v>74</v>
      </c>
      <c r="BA709" s="1" t="s">
        <v>74</v>
      </c>
      <c r="BB709" s="1">
        <v>211.0</v>
      </c>
      <c r="BC709" s="1">
        <v>221.0</v>
      </c>
      <c r="BD709" s="1" t="s">
        <v>74</v>
      </c>
      <c r="BE709" s="1" t="s">
        <v>14328</v>
      </c>
      <c r="BF709" s="2" t="str">
        <f>HYPERLINK("http://dx.doi.org/10.1016/j.jncc.2023.08.002","http://dx.doi.org/10.1016/j.jncc.2023.08.002")</f>
        <v>http://dx.doi.org/10.1016/j.jncc.2023.08.002</v>
      </c>
      <c r="BG709" s="1" t="s">
        <v>74</v>
      </c>
      <c r="BH709" s="1" t="s">
        <v>357</v>
      </c>
      <c r="BI709" s="1">
        <v>11.0</v>
      </c>
      <c r="BJ709" s="1" t="s">
        <v>1904</v>
      </c>
      <c r="BK709" s="1" t="s">
        <v>172</v>
      </c>
      <c r="BL709" s="1" t="s">
        <v>1904</v>
      </c>
      <c r="BM709" s="1" t="s">
        <v>14329</v>
      </c>
      <c r="BN709" s="1">
        <v>3.9035195E7</v>
      </c>
      <c r="BO709" s="1" t="s">
        <v>1161</v>
      </c>
      <c r="BP709" s="1" t="s">
        <v>74</v>
      </c>
      <c r="BQ709" s="1" t="s">
        <v>74</v>
      </c>
      <c r="BR709" s="1" t="s">
        <v>102</v>
      </c>
      <c r="BS709" s="1" t="s">
        <v>14330</v>
      </c>
      <c r="BT709" s="1" t="str">
        <f>HYPERLINK("https%3A%2F%2Fwww.webofscience.com%2Fwos%2Fwoscc%2Ffull-record%2FWOS:001087134800001","View Full Record in Web of Science")</f>
        <v>View Full Record in Web of Science</v>
      </c>
    </row>
    <row r="710" ht="12.75" customHeight="1">
      <c r="A710" s="1" t="s">
        <v>132</v>
      </c>
      <c r="B710" s="1" t="s">
        <v>14331</v>
      </c>
      <c r="C710" s="1" t="s">
        <v>74</v>
      </c>
      <c r="D710" s="1" t="s">
        <v>74</v>
      </c>
      <c r="E710" s="1" t="s">
        <v>74</v>
      </c>
      <c r="F710" s="1" t="s">
        <v>14332</v>
      </c>
      <c r="G710" s="1" t="s">
        <v>74</v>
      </c>
      <c r="H710" s="1" t="s">
        <v>74</v>
      </c>
      <c r="I710" s="1" t="s">
        <v>14333</v>
      </c>
      <c r="J710" s="1" t="s">
        <v>14334</v>
      </c>
      <c r="K710" s="1" t="s">
        <v>74</v>
      </c>
      <c r="L710" s="1" t="s">
        <v>74</v>
      </c>
      <c r="M710" s="1" t="s">
        <v>80</v>
      </c>
      <c r="N710" s="1" t="s">
        <v>136</v>
      </c>
      <c r="O710" s="1" t="s">
        <v>74</v>
      </c>
      <c r="P710" s="1" t="s">
        <v>74</v>
      </c>
      <c r="Q710" s="1" t="s">
        <v>74</v>
      </c>
      <c r="R710" s="1" t="s">
        <v>74</v>
      </c>
      <c r="S710" s="1" t="s">
        <v>74</v>
      </c>
      <c r="T710" s="1" t="s">
        <v>14335</v>
      </c>
      <c r="U710" s="1" t="s">
        <v>74</v>
      </c>
      <c r="V710" s="1" t="s">
        <v>14336</v>
      </c>
      <c r="W710" s="1" t="s">
        <v>14337</v>
      </c>
      <c r="X710" s="1" t="s">
        <v>14338</v>
      </c>
      <c r="Y710" s="1" t="s">
        <v>14339</v>
      </c>
      <c r="Z710" s="1" t="s">
        <v>14340</v>
      </c>
      <c r="AA710" s="1" t="s">
        <v>14341</v>
      </c>
      <c r="AB710" s="1" t="s">
        <v>14342</v>
      </c>
      <c r="AC710" s="1" t="s">
        <v>14343</v>
      </c>
      <c r="AD710" s="1" t="s">
        <v>14343</v>
      </c>
      <c r="AE710" s="1" t="s">
        <v>14344</v>
      </c>
      <c r="AF710" s="1" t="s">
        <v>74</v>
      </c>
      <c r="AG710" s="1">
        <v>27.0</v>
      </c>
      <c r="AH710" s="1">
        <v>4.0</v>
      </c>
      <c r="AI710" s="1">
        <v>4.0</v>
      </c>
      <c r="AJ710" s="1">
        <v>33.0</v>
      </c>
      <c r="AK710" s="1">
        <v>64.0</v>
      </c>
      <c r="AL710" s="1" t="s">
        <v>275</v>
      </c>
      <c r="AM710" s="1" t="s">
        <v>276</v>
      </c>
      <c r="AN710" s="1" t="s">
        <v>277</v>
      </c>
      <c r="AO710" s="1" t="s">
        <v>74</v>
      </c>
      <c r="AP710" s="1" t="s">
        <v>14345</v>
      </c>
      <c r="AQ710" s="1" t="s">
        <v>74</v>
      </c>
      <c r="AR710" s="1" t="s">
        <v>14346</v>
      </c>
      <c r="AS710" s="1" t="s">
        <v>14347</v>
      </c>
      <c r="AT710" s="1" t="s">
        <v>14348</v>
      </c>
      <c r="AU710" s="1">
        <v>2024.0</v>
      </c>
      <c r="AV710" s="1">
        <v>6.0</v>
      </c>
      <c r="AW710" s="1" t="s">
        <v>74</v>
      </c>
      <c r="AX710" s="1" t="s">
        <v>74</v>
      </c>
      <c r="AY710" s="1" t="s">
        <v>74</v>
      </c>
      <c r="AZ710" s="1" t="s">
        <v>74</v>
      </c>
      <c r="BA710" s="1" t="s">
        <v>74</v>
      </c>
      <c r="BB710" s="1" t="s">
        <v>74</v>
      </c>
      <c r="BC710" s="1" t="s">
        <v>74</v>
      </c>
      <c r="BD710" s="1">
        <v>1363892.0</v>
      </c>
      <c r="BE710" s="1" t="s">
        <v>14349</v>
      </c>
      <c r="BF710" s="2" t="str">
        <f>HYPERLINK("http://dx.doi.org/10.3389/fspor.2024.1363892","http://dx.doi.org/10.3389/fspor.2024.1363892")</f>
        <v>http://dx.doi.org/10.3389/fspor.2024.1363892</v>
      </c>
      <c r="BG710" s="1" t="s">
        <v>74</v>
      </c>
      <c r="BH710" s="1" t="s">
        <v>74</v>
      </c>
      <c r="BI710" s="1">
        <v>11.0</v>
      </c>
      <c r="BJ710" s="1" t="s">
        <v>14350</v>
      </c>
      <c r="BK710" s="1" t="s">
        <v>172</v>
      </c>
      <c r="BL710" s="1" t="s">
        <v>14350</v>
      </c>
      <c r="BM710" s="1" t="s">
        <v>14351</v>
      </c>
      <c r="BN710" s="1">
        <v>3.8606117E7</v>
      </c>
      <c r="BO710" s="1" t="s">
        <v>1997</v>
      </c>
      <c r="BP710" s="1" t="s">
        <v>74</v>
      </c>
      <c r="BQ710" s="1" t="s">
        <v>74</v>
      </c>
      <c r="BR710" s="1" t="s">
        <v>102</v>
      </c>
      <c r="BS710" s="1" t="s">
        <v>14352</v>
      </c>
      <c r="BT710" s="1" t="str">
        <f>HYPERLINK("https%3A%2F%2Fwww.webofscience.com%2Fwos%2Fwoscc%2Ffull-record%2FWOS:001199916600001","View Full Record in Web of Science")</f>
        <v>View Full Record in Web of Science</v>
      </c>
    </row>
    <row r="711" ht="12.75" customHeight="1">
      <c r="A711" s="1" t="s">
        <v>132</v>
      </c>
      <c r="B711" s="1" t="s">
        <v>14353</v>
      </c>
      <c r="C711" s="1" t="s">
        <v>74</v>
      </c>
      <c r="D711" s="1" t="s">
        <v>74</v>
      </c>
      <c r="E711" s="1" t="s">
        <v>74</v>
      </c>
      <c r="F711" s="1" t="s">
        <v>14354</v>
      </c>
      <c r="G711" s="1" t="s">
        <v>74</v>
      </c>
      <c r="H711" s="1" t="s">
        <v>74</v>
      </c>
      <c r="I711" s="1" t="s">
        <v>14355</v>
      </c>
      <c r="J711" s="1" t="s">
        <v>14356</v>
      </c>
      <c r="K711" s="1" t="s">
        <v>74</v>
      </c>
      <c r="L711" s="1" t="s">
        <v>74</v>
      </c>
      <c r="M711" s="1" t="s">
        <v>80</v>
      </c>
      <c r="N711" s="1" t="s">
        <v>1010</v>
      </c>
      <c r="O711" s="1" t="s">
        <v>74</v>
      </c>
      <c r="P711" s="1" t="s">
        <v>74</v>
      </c>
      <c r="Q711" s="1" t="s">
        <v>74</v>
      </c>
      <c r="R711" s="1" t="s">
        <v>74</v>
      </c>
      <c r="S711" s="1" t="s">
        <v>74</v>
      </c>
      <c r="T711" s="1" t="s">
        <v>14357</v>
      </c>
      <c r="U711" s="1" t="s">
        <v>14358</v>
      </c>
      <c r="V711" s="1" t="s">
        <v>14359</v>
      </c>
      <c r="W711" s="1" t="s">
        <v>14360</v>
      </c>
      <c r="X711" s="1" t="s">
        <v>14361</v>
      </c>
      <c r="Y711" s="1" t="s">
        <v>14362</v>
      </c>
      <c r="Z711" s="1" t="s">
        <v>14363</v>
      </c>
      <c r="AA711" s="1" t="s">
        <v>14364</v>
      </c>
      <c r="AB711" s="1" t="s">
        <v>14365</v>
      </c>
      <c r="AC711" s="1" t="s">
        <v>14366</v>
      </c>
      <c r="AD711" s="1" t="s">
        <v>14367</v>
      </c>
      <c r="AE711" s="1" t="s">
        <v>14368</v>
      </c>
      <c r="AF711" s="1" t="s">
        <v>74</v>
      </c>
      <c r="AG711" s="1">
        <v>172.0</v>
      </c>
      <c r="AH711" s="1">
        <v>15.0</v>
      </c>
      <c r="AI711" s="1">
        <v>15.0</v>
      </c>
      <c r="AJ711" s="1">
        <v>10.0</v>
      </c>
      <c r="AK711" s="1">
        <v>52.0</v>
      </c>
      <c r="AL711" s="1" t="s">
        <v>192</v>
      </c>
      <c r="AM711" s="1" t="s">
        <v>193</v>
      </c>
      <c r="AN711" s="1" t="s">
        <v>194</v>
      </c>
      <c r="AO711" s="1" t="s">
        <v>74</v>
      </c>
      <c r="AP711" s="1" t="s">
        <v>14369</v>
      </c>
      <c r="AQ711" s="1" t="s">
        <v>74</v>
      </c>
      <c r="AR711" s="1" t="s">
        <v>14370</v>
      </c>
      <c r="AS711" s="1" t="s">
        <v>14371</v>
      </c>
      <c r="AT711" s="1" t="s">
        <v>11096</v>
      </c>
      <c r="AU711" s="1">
        <v>2023.0</v>
      </c>
      <c r="AV711" s="1">
        <v>18.0</v>
      </c>
      <c r="AW711" s="1">
        <v>1.0</v>
      </c>
      <c r="AX711" s="1" t="s">
        <v>74</v>
      </c>
      <c r="AY711" s="1" t="s">
        <v>74</v>
      </c>
      <c r="AZ711" s="1" t="s">
        <v>74</v>
      </c>
      <c r="BA711" s="1" t="s">
        <v>74</v>
      </c>
      <c r="BB711" s="1" t="s">
        <v>74</v>
      </c>
      <c r="BC711" s="1" t="s">
        <v>74</v>
      </c>
      <c r="BD711" s="1">
        <v>58.0</v>
      </c>
      <c r="BE711" s="1" t="s">
        <v>14372</v>
      </c>
      <c r="BF711" s="2" t="str">
        <f>HYPERLINK("http://dx.doi.org/10.1186/s11671-023-03842-4","http://dx.doi.org/10.1186/s11671-023-03842-4")</f>
        <v>http://dx.doi.org/10.1186/s11671-023-03842-4</v>
      </c>
      <c r="BG711" s="1" t="s">
        <v>74</v>
      </c>
      <c r="BH711" s="1" t="s">
        <v>74</v>
      </c>
      <c r="BI711" s="1">
        <v>28.0</v>
      </c>
      <c r="BJ711" s="1" t="s">
        <v>14373</v>
      </c>
      <c r="BK711" s="1" t="s">
        <v>149</v>
      </c>
      <c r="BL711" s="1" t="s">
        <v>14374</v>
      </c>
      <c r="BM711" s="1" t="s">
        <v>14375</v>
      </c>
      <c r="BN711" s="1">
        <v>3.7032711E7</v>
      </c>
      <c r="BO711" s="1" t="s">
        <v>1161</v>
      </c>
      <c r="BP711" s="1" t="s">
        <v>74</v>
      </c>
      <c r="BQ711" s="1" t="s">
        <v>74</v>
      </c>
      <c r="BR711" s="1" t="s">
        <v>102</v>
      </c>
      <c r="BS711" s="1" t="s">
        <v>14376</v>
      </c>
      <c r="BT711" s="1" t="str">
        <f>HYPERLINK("https%3A%2F%2Fwww.webofscience.com%2Fwos%2Fwoscc%2Ffull-record%2FWOS:000981725300001","View Full Record in Web of Science")</f>
        <v>View Full Record in Web of Science</v>
      </c>
    </row>
    <row r="712" ht="12.75" customHeight="1">
      <c r="A712" s="1" t="s">
        <v>132</v>
      </c>
      <c r="B712" s="1" t="s">
        <v>14377</v>
      </c>
      <c r="C712" s="1" t="s">
        <v>74</v>
      </c>
      <c r="D712" s="1" t="s">
        <v>74</v>
      </c>
      <c r="E712" s="1" t="s">
        <v>74</v>
      </c>
      <c r="F712" s="1" t="s">
        <v>14378</v>
      </c>
      <c r="G712" s="1" t="s">
        <v>74</v>
      </c>
      <c r="H712" s="1" t="s">
        <v>74</v>
      </c>
      <c r="I712" s="1" t="s">
        <v>14379</v>
      </c>
      <c r="J712" s="1" t="s">
        <v>14380</v>
      </c>
      <c r="K712" s="1" t="s">
        <v>74</v>
      </c>
      <c r="L712" s="1" t="s">
        <v>74</v>
      </c>
      <c r="M712" s="1" t="s">
        <v>80</v>
      </c>
      <c r="N712" s="1" t="s">
        <v>136</v>
      </c>
      <c r="O712" s="1" t="s">
        <v>74</v>
      </c>
      <c r="P712" s="1" t="s">
        <v>74</v>
      </c>
      <c r="Q712" s="1" t="s">
        <v>74</v>
      </c>
      <c r="R712" s="1" t="s">
        <v>74</v>
      </c>
      <c r="S712" s="1" t="s">
        <v>74</v>
      </c>
      <c r="T712" s="1" t="s">
        <v>14381</v>
      </c>
      <c r="U712" s="1" t="s">
        <v>14382</v>
      </c>
      <c r="V712" s="1" t="s">
        <v>14383</v>
      </c>
      <c r="W712" s="1" t="s">
        <v>14384</v>
      </c>
      <c r="X712" s="1" t="s">
        <v>14385</v>
      </c>
      <c r="Y712" s="1" t="s">
        <v>14386</v>
      </c>
      <c r="Z712" s="1" t="s">
        <v>14387</v>
      </c>
      <c r="AA712" s="1" t="s">
        <v>14388</v>
      </c>
      <c r="AB712" s="1" t="s">
        <v>14389</v>
      </c>
      <c r="AC712" s="1" t="s">
        <v>74</v>
      </c>
      <c r="AD712" s="1" t="s">
        <v>74</v>
      </c>
      <c r="AE712" s="1" t="s">
        <v>74</v>
      </c>
      <c r="AF712" s="1" t="s">
        <v>74</v>
      </c>
      <c r="AG712" s="1">
        <v>74.0</v>
      </c>
      <c r="AH712" s="1">
        <v>128.0</v>
      </c>
      <c r="AI712" s="1">
        <v>133.0</v>
      </c>
      <c r="AJ712" s="1">
        <v>40.0</v>
      </c>
      <c r="AK712" s="1">
        <v>235.0</v>
      </c>
      <c r="AL712" s="1" t="s">
        <v>3551</v>
      </c>
      <c r="AM712" s="1" t="s">
        <v>193</v>
      </c>
      <c r="AN712" s="1" t="s">
        <v>3552</v>
      </c>
      <c r="AO712" s="1" t="s">
        <v>14390</v>
      </c>
      <c r="AP712" s="1" t="s">
        <v>14391</v>
      </c>
      <c r="AQ712" s="1" t="s">
        <v>74</v>
      </c>
      <c r="AR712" s="1" t="s">
        <v>14392</v>
      </c>
      <c r="AS712" s="1" t="s">
        <v>14393</v>
      </c>
      <c r="AT712" s="1" t="s">
        <v>1027</v>
      </c>
      <c r="AU712" s="1">
        <v>2021.0</v>
      </c>
      <c r="AV712" s="1">
        <v>97.0</v>
      </c>
      <c r="AW712" s="1">
        <v>1.0</v>
      </c>
      <c r="AX712" s="1" t="s">
        <v>74</v>
      </c>
      <c r="AY712" s="1" t="s">
        <v>74</v>
      </c>
      <c r="AZ712" s="1" t="s">
        <v>74</v>
      </c>
      <c r="BA712" s="1" t="s">
        <v>74</v>
      </c>
      <c r="BB712" s="1">
        <v>28.0</v>
      </c>
      <c r="BC712" s="1">
        <v>41.0</v>
      </c>
      <c r="BD712" s="1" t="s">
        <v>74</v>
      </c>
      <c r="BE712" s="1" t="s">
        <v>14394</v>
      </c>
      <c r="BF712" s="2" t="str">
        <f>HYPERLINK("http://dx.doi.org/10.1016/j.jretai.2021.01.005","http://dx.doi.org/10.1016/j.jretai.2021.01.005")</f>
        <v>http://dx.doi.org/10.1016/j.jretai.2021.01.005</v>
      </c>
      <c r="BG712" s="1" t="s">
        <v>74</v>
      </c>
      <c r="BH712" s="1" t="s">
        <v>6321</v>
      </c>
      <c r="BI712" s="1">
        <v>14.0</v>
      </c>
      <c r="BJ712" s="1" t="s">
        <v>2040</v>
      </c>
      <c r="BK712" s="1" t="s">
        <v>203</v>
      </c>
      <c r="BL712" s="1" t="s">
        <v>204</v>
      </c>
      <c r="BM712" s="1" t="s">
        <v>14395</v>
      </c>
      <c r="BN712" s="1" t="s">
        <v>74</v>
      </c>
      <c r="BO712" s="1" t="s">
        <v>74</v>
      </c>
      <c r="BP712" s="1" t="s">
        <v>74</v>
      </c>
      <c r="BQ712" s="1" t="s">
        <v>74</v>
      </c>
      <c r="BR712" s="1" t="s">
        <v>102</v>
      </c>
      <c r="BS712" s="1" t="s">
        <v>14396</v>
      </c>
      <c r="BT712" s="1" t="str">
        <f>HYPERLINK("https%3A%2F%2Fwww.webofscience.com%2Fwos%2Fwoscc%2Ffull-record%2FWOS:000642072700005","View Full Record in Web of Science")</f>
        <v>View Full Record in Web of Science</v>
      </c>
    </row>
    <row r="713" ht="12.75" customHeight="1">
      <c r="A713" s="1" t="s">
        <v>132</v>
      </c>
      <c r="B713" s="1" t="s">
        <v>14397</v>
      </c>
      <c r="C713" s="1" t="s">
        <v>74</v>
      </c>
      <c r="D713" s="1" t="s">
        <v>74</v>
      </c>
      <c r="E713" s="1" t="s">
        <v>74</v>
      </c>
      <c r="F713" s="1" t="s">
        <v>14398</v>
      </c>
      <c r="G713" s="1" t="s">
        <v>74</v>
      </c>
      <c r="H713" s="1" t="s">
        <v>74</v>
      </c>
      <c r="I713" s="1" t="s">
        <v>14399</v>
      </c>
      <c r="J713" s="1" t="s">
        <v>14400</v>
      </c>
      <c r="K713" s="1" t="s">
        <v>74</v>
      </c>
      <c r="L713" s="1" t="s">
        <v>74</v>
      </c>
      <c r="M713" s="1" t="s">
        <v>80</v>
      </c>
      <c r="N713" s="1" t="s">
        <v>136</v>
      </c>
      <c r="O713" s="1" t="s">
        <v>74</v>
      </c>
      <c r="P713" s="1" t="s">
        <v>74</v>
      </c>
      <c r="Q713" s="1" t="s">
        <v>74</v>
      </c>
      <c r="R713" s="1" t="s">
        <v>74</v>
      </c>
      <c r="S713" s="1" t="s">
        <v>74</v>
      </c>
      <c r="T713" s="1" t="s">
        <v>14401</v>
      </c>
      <c r="U713" s="1" t="s">
        <v>74</v>
      </c>
      <c r="V713" s="1" t="s">
        <v>14402</v>
      </c>
      <c r="W713" s="1" t="s">
        <v>14403</v>
      </c>
      <c r="X713" s="1" t="s">
        <v>14404</v>
      </c>
      <c r="Y713" s="1" t="s">
        <v>14405</v>
      </c>
      <c r="Z713" s="1" t="s">
        <v>14406</v>
      </c>
      <c r="AA713" s="1" t="s">
        <v>14407</v>
      </c>
      <c r="AB713" s="1" t="s">
        <v>14408</v>
      </c>
      <c r="AC713" s="1" t="s">
        <v>14409</v>
      </c>
      <c r="AD713" s="1" t="s">
        <v>14410</v>
      </c>
      <c r="AE713" s="1" t="s">
        <v>14411</v>
      </c>
      <c r="AF713" s="1" t="s">
        <v>74</v>
      </c>
      <c r="AG713" s="1">
        <v>31.0</v>
      </c>
      <c r="AH713" s="1">
        <v>2.0</v>
      </c>
      <c r="AI713" s="1">
        <v>2.0</v>
      </c>
      <c r="AJ713" s="1">
        <v>8.0</v>
      </c>
      <c r="AK713" s="1">
        <v>10.0</v>
      </c>
      <c r="AL713" s="1" t="s">
        <v>321</v>
      </c>
      <c r="AM713" s="1" t="s">
        <v>322</v>
      </c>
      <c r="AN713" s="1" t="s">
        <v>323</v>
      </c>
      <c r="AO713" s="1" t="s">
        <v>14412</v>
      </c>
      <c r="AP713" s="1" t="s">
        <v>14413</v>
      </c>
      <c r="AQ713" s="1" t="s">
        <v>74</v>
      </c>
      <c r="AR713" s="1" t="s">
        <v>14400</v>
      </c>
      <c r="AS713" s="1" t="s">
        <v>14414</v>
      </c>
      <c r="AT713" s="1" t="s">
        <v>14415</v>
      </c>
      <c r="AU713" s="1">
        <v>2024.0</v>
      </c>
      <c r="AV713" s="1">
        <v>579.0</v>
      </c>
      <c r="AW713" s="1" t="s">
        <v>74</v>
      </c>
      <c r="AX713" s="1" t="s">
        <v>74</v>
      </c>
      <c r="AY713" s="1" t="s">
        <v>74</v>
      </c>
      <c r="AZ713" s="1" t="s">
        <v>74</v>
      </c>
      <c r="BA713" s="1" t="s">
        <v>74</v>
      </c>
      <c r="BB713" s="1" t="s">
        <v>74</v>
      </c>
      <c r="BC713" s="1" t="s">
        <v>74</v>
      </c>
      <c r="BD713" s="1">
        <v>127415.0</v>
      </c>
      <c r="BE713" s="1" t="s">
        <v>14416</v>
      </c>
      <c r="BF713" s="2" t="str">
        <f>HYPERLINK("http://dx.doi.org/10.1016/j.neucom.2024.127415","http://dx.doi.org/10.1016/j.neucom.2024.127415")</f>
        <v>http://dx.doi.org/10.1016/j.neucom.2024.127415</v>
      </c>
      <c r="BG713" s="1" t="s">
        <v>74</v>
      </c>
      <c r="BH713" s="1" t="s">
        <v>1001</v>
      </c>
      <c r="BI713" s="1">
        <v>7.0</v>
      </c>
      <c r="BJ713" s="1" t="s">
        <v>1214</v>
      </c>
      <c r="BK713" s="1" t="s">
        <v>149</v>
      </c>
      <c r="BL713" s="1" t="s">
        <v>232</v>
      </c>
      <c r="BM713" s="1" t="s">
        <v>14417</v>
      </c>
      <c r="BN713" s="1" t="s">
        <v>74</v>
      </c>
      <c r="BO713" s="1" t="s">
        <v>306</v>
      </c>
      <c r="BP713" s="1" t="s">
        <v>74</v>
      </c>
      <c r="BQ713" s="1" t="s">
        <v>74</v>
      </c>
      <c r="BR713" s="1" t="s">
        <v>102</v>
      </c>
      <c r="BS713" s="1" t="s">
        <v>14418</v>
      </c>
      <c r="BT713" s="1" t="str">
        <f>HYPERLINK("https%3A%2F%2Fwww.webofscience.com%2Fwos%2Fwoscc%2Ffull-record%2FWOS:001211388800001","View Full Record in Web of Science")</f>
        <v>View Full Record in Web of Science</v>
      </c>
    </row>
    <row r="714" ht="12.75" customHeight="1">
      <c r="A714" s="1" t="s">
        <v>132</v>
      </c>
      <c r="B714" s="1" t="s">
        <v>14419</v>
      </c>
      <c r="C714" s="1" t="s">
        <v>74</v>
      </c>
      <c r="D714" s="1" t="s">
        <v>74</v>
      </c>
      <c r="E714" s="1" t="s">
        <v>74</v>
      </c>
      <c r="F714" s="1" t="s">
        <v>14420</v>
      </c>
      <c r="G714" s="1" t="s">
        <v>74</v>
      </c>
      <c r="H714" s="1" t="s">
        <v>74</v>
      </c>
      <c r="I714" s="1" t="s">
        <v>14421</v>
      </c>
      <c r="J714" s="1" t="s">
        <v>14422</v>
      </c>
      <c r="K714" s="1" t="s">
        <v>74</v>
      </c>
      <c r="L714" s="1" t="s">
        <v>74</v>
      </c>
      <c r="M714" s="1" t="s">
        <v>80</v>
      </c>
      <c r="N714" s="1" t="s">
        <v>136</v>
      </c>
      <c r="O714" s="1" t="s">
        <v>74</v>
      </c>
      <c r="P714" s="1" t="s">
        <v>74</v>
      </c>
      <c r="Q714" s="1" t="s">
        <v>74</v>
      </c>
      <c r="R714" s="1" t="s">
        <v>74</v>
      </c>
      <c r="S714" s="1" t="s">
        <v>74</v>
      </c>
      <c r="T714" s="1" t="s">
        <v>14423</v>
      </c>
      <c r="U714" s="1" t="s">
        <v>74</v>
      </c>
      <c r="V714" s="1" t="s">
        <v>14424</v>
      </c>
      <c r="W714" s="1" t="s">
        <v>14425</v>
      </c>
      <c r="X714" s="1" t="s">
        <v>14426</v>
      </c>
      <c r="Y714" s="1" t="s">
        <v>14427</v>
      </c>
      <c r="Z714" s="1" t="s">
        <v>14428</v>
      </c>
      <c r="AA714" s="1" t="s">
        <v>74</v>
      </c>
      <c r="AB714" s="1" t="s">
        <v>74</v>
      </c>
      <c r="AC714" s="1" t="s">
        <v>74</v>
      </c>
      <c r="AD714" s="1" t="s">
        <v>74</v>
      </c>
      <c r="AE714" s="1" t="s">
        <v>74</v>
      </c>
      <c r="AF714" s="1" t="s">
        <v>74</v>
      </c>
      <c r="AG714" s="1">
        <v>20.0</v>
      </c>
      <c r="AH714" s="1">
        <v>0.0</v>
      </c>
      <c r="AI714" s="1">
        <v>0.0</v>
      </c>
      <c r="AJ714" s="1">
        <v>27.0</v>
      </c>
      <c r="AK714" s="1">
        <v>40.0</v>
      </c>
      <c r="AL714" s="1" t="s">
        <v>14429</v>
      </c>
      <c r="AM714" s="1" t="s">
        <v>648</v>
      </c>
      <c r="AN714" s="1" t="s">
        <v>14430</v>
      </c>
      <c r="AO714" s="1" t="s">
        <v>14431</v>
      </c>
      <c r="AP714" s="1" t="s">
        <v>74</v>
      </c>
      <c r="AQ714" s="1" t="s">
        <v>74</v>
      </c>
      <c r="AR714" s="1" t="s">
        <v>14432</v>
      </c>
      <c r="AS714" s="1" t="s">
        <v>14433</v>
      </c>
      <c r="AT714" s="1" t="s">
        <v>1027</v>
      </c>
      <c r="AU714" s="1">
        <v>2024.0</v>
      </c>
      <c r="AV714" s="1">
        <v>24.0</v>
      </c>
      <c r="AW714" s="1">
        <v>95.0</v>
      </c>
      <c r="AX714" s="1" t="s">
        <v>74</v>
      </c>
      <c r="AY714" s="1" t="s">
        <v>74</v>
      </c>
      <c r="AZ714" s="1" t="s">
        <v>74</v>
      </c>
      <c r="BA714" s="1" t="s">
        <v>74</v>
      </c>
      <c r="BB714" s="1">
        <v>225.0</v>
      </c>
      <c r="BC714" s="1">
        <v>239.0</v>
      </c>
      <c r="BD714" s="1" t="s">
        <v>74</v>
      </c>
      <c r="BE714" s="1" t="s">
        <v>14434</v>
      </c>
      <c r="BF714" s="2" t="str">
        <f>HYPERLINK("http://dx.doi.org/10.15366/rimcafd2024.95.014","http://dx.doi.org/10.15366/rimcafd2024.95.014")</f>
        <v>http://dx.doi.org/10.15366/rimcafd2024.95.014</v>
      </c>
      <c r="BG714" s="1" t="s">
        <v>74</v>
      </c>
      <c r="BH714" s="1" t="s">
        <v>74</v>
      </c>
      <c r="BI714" s="1">
        <v>15.0</v>
      </c>
      <c r="BJ714" s="1" t="s">
        <v>14350</v>
      </c>
      <c r="BK714" s="1" t="s">
        <v>149</v>
      </c>
      <c r="BL714" s="1" t="s">
        <v>14350</v>
      </c>
      <c r="BM714" s="1" t="s">
        <v>14435</v>
      </c>
      <c r="BN714" s="1" t="s">
        <v>74</v>
      </c>
      <c r="BO714" s="1" t="s">
        <v>74</v>
      </c>
      <c r="BP714" s="1" t="s">
        <v>74</v>
      </c>
      <c r="BQ714" s="1" t="s">
        <v>74</v>
      </c>
      <c r="BR714" s="1" t="s">
        <v>102</v>
      </c>
      <c r="BS714" s="1" t="s">
        <v>14436</v>
      </c>
      <c r="BT714" s="1" t="str">
        <f>HYPERLINK("https%3A%2F%2Fwww.webofscience.com%2Fwos%2Fwoscc%2Ffull-record%2FWOS:001222995400017","View Full Record in Web of Science")</f>
        <v>View Full Record in Web of Science</v>
      </c>
    </row>
    <row r="715" ht="12.75" customHeight="1">
      <c r="A715" s="1" t="s">
        <v>132</v>
      </c>
      <c r="B715" s="1" t="s">
        <v>14437</v>
      </c>
      <c r="C715" s="1" t="s">
        <v>74</v>
      </c>
      <c r="D715" s="1" t="s">
        <v>74</v>
      </c>
      <c r="E715" s="1" t="s">
        <v>74</v>
      </c>
      <c r="F715" s="1" t="s">
        <v>14438</v>
      </c>
      <c r="G715" s="1" t="s">
        <v>74</v>
      </c>
      <c r="H715" s="1" t="s">
        <v>74</v>
      </c>
      <c r="I715" s="1" t="s">
        <v>14439</v>
      </c>
      <c r="J715" s="1" t="s">
        <v>8174</v>
      </c>
      <c r="K715" s="1" t="s">
        <v>74</v>
      </c>
      <c r="L715" s="1" t="s">
        <v>74</v>
      </c>
      <c r="M715" s="1" t="s">
        <v>80</v>
      </c>
      <c r="N715" s="1" t="s">
        <v>136</v>
      </c>
      <c r="O715" s="1" t="s">
        <v>74</v>
      </c>
      <c r="P715" s="1" t="s">
        <v>74</v>
      </c>
      <c r="Q715" s="1" t="s">
        <v>74</v>
      </c>
      <c r="R715" s="1" t="s">
        <v>74</v>
      </c>
      <c r="S715" s="1" t="s">
        <v>74</v>
      </c>
      <c r="T715" s="1" t="s">
        <v>14440</v>
      </c>
      <c r="U715" s="1" t="s">
        <v>14441</v>
      </c>
      <c r="V715" s="1" t="s">
        <v>14442</v>
      </c>
      <c r="W715" s="1" t="s">
        <v>14443</v>
      </c>
      <c r="X715" s="1" t="s">
        <v>14444</v>
      </c>
      <c r="Y715" s="1" t="s">
        <v>14445</v>
      </c>
      <c r="Z715" s="1" t="s">
        <v>14446</v>
      </c>
      <c r="AA715" s="1" t="s">
        <v>14447</v>
      </c>
      <c r="AB715" s="1" t="s">
        <v>14448</v>
      </c>
      <c r="AC715" s="1" t="s">
        <v>14449</v>
      </c>
      <c r="AD715" s="1" t="s">
        <v>14450</v>
      </c>
      <c r="AE715" s="1" t="s">
        <v>14451</v>
      </c>
      <c r="AF715" s="1" t="s">
        <v>74</v>
      </c>
      <c r="AG715" s="1">
        <v>65.0</v>
      </c>
      <c r="AH715" s="1">
        <v>2.0</v>
      </c>
      <c r="AI715" s="1">
        <v>2.0</v>
      </c>
      <c r="AJ715" s="1">
        <v>29.0</v>
      </c>
      <c r="AK715" s="1">
        <v>33.0</v>
      </c>
      <c r="AL715" s="1" t="s">
        <v>321</v>
      </c>
      <c r="AM715" s="1" t="s">
        <v>322</v>
      </c>
      <c r="AN715" s="1" t="s">
        <v>323</v>
      </c>
      <c r="AO715" s="1" t="s">
        <v>8184</v>
      </c>
      <c r="AP715" s="1" t="s">
        <v>8185</v>
      </c>
      <c r="AQ715" s="1" t="s">
        <v>74</v>
      </c>
      <c r="AR715" s="1" t="s">
        <v>8186</v>
      </c>
      <c r="AS715" s="1" t="s">
        <v>8187</v>
      </c>
      <c r="AT715" s="1" t="s">
        <v>328</v>
      </c>
      <c r="AU715" s="1">
        <v>2024.0</v>
      </c>
      <c r="AV715" s="1">
        <v>134.0</v>
      </c>
      <c r="AW715" s="1" t="s">
        <v>74</v>
      </c>
      <c r="AX715" s="1" t="s">
        <v>74</v>
      </c>
      <c r="AY715" s="1" t="s">
        <v>74</v>
      </c>
      <c r="AZ715" s="1" t="s">
        <v>74</v>
      </c>
      <c r="BA715" s="1" t="s">
        <v>74</v>
      </c>
      <c r="BB715" s="1" t="s">
        <v>74</v>
      </c>
      <c r="BC715" s="1" t="s">
        <v>74</v>
      </c>
      <c r="BD715" s="1">
        <v>107613.0</v>
      </c>
      <c r="BE715" s="1" t="s">
        <v>14452</v>
      </c>
      <c r="BF715" s="2" t="str">
        <f>HYPERLINK("http://dx.doi.org/10.1016/j.eneco.2024.107613","http://dx.doi.org/10.1016/j.eneco.2024.107613")</f>
        <v>http://dx.doi.org/10.1016/j.eneco.2024.107613</v>
      </c>
      <c r="BG715" s="1" t="s">
        <v>74</v>
      </c>
      <c r="BH715" s="1" t="s">
        <v>3129</v>
      </c>
      <c r="BI715" s="1">
        <v>11.0</v>
      </c>
      <c r="BJ715" s="1" t="s">
        <v>202</v>
      </c>
      <c r="BK715" s="1" t="s">
        <v>203</v>
      </c>
      <c r="BL715" s="1" t="s">
        <v>204</v>
      </c>
      <c r="BM715" s="1" t="s">
        <v>14453</v>
      </c>
      <c r="BN715" s="1" t="s">
        <v>74</v>
      </c>
      <c r="BO715" s="1" t="s">
        <v>74</v>
      </c>
      <c r="BP715" s="1" t="s">
        <v>74</v>
      </c>
      <c r="BQ715" s="1" t="s">
        <v>74</v>
      </c>
      <c r="BR715" s="1" t="s">
        <v>102</v>
      </c>
      <c r="BS715" s="1" t="s">
        <v>14454</v>
      </c>
      <c r="BT715" s="1" t="str">
        <f>HYPERLINK("https%3A%2F%2Fwww.webofscience.com%2Fwos%2Fwoscc%2Ffull-record%2FWOS:001264989700001","View Full Record in Web of Science")</f>
        <v>View Full Record in Web of Science</v>
      </c>
    </row>
    <row r="716" ht="12.75" customHeight="1">
      <c r="A716" s="1" t="s">
        <v>132</v>
      </c>
      <c r="B716" s="1" t="s">
        <v>14455</v>
      </c>
      <c r="C716" s="1" t="s">
        <v>74</v>
      </c>
      <c r="D716" s="1" t="s">
        <v>74</v>
      </c>
      <c r="E716" s="1" t="s">
        <v>74</v>
      </c>
      <c r="F716" s="1" t="s">
        <v>14456</v>
      </c>
      <c r="G716" s="1" t="s">
        <v>74</v>
      </c>
      <c r="H716" s="1" t="s">
        <v>74</v>
      </c>
      <c r="I716" s="1" t="s">
        <v>14457</v>
      </c>
      <c r="J716" s="1" t="s">
        <v>14458</v>
      </c>
      <c r="K716" s="1" t="s">
        <v>74</v>
      </c>
      <c r="L716" s="1" t="s">
        <v>74</v>
      </c>
      <c r="M716" s="1" t="s">
        <v>80</v>
      </c>
      <c r="N716" s="1" t="s">
        <v>136</v>
      </c>
      <c r="O716" s="1" t="s">
        <v>74</v>
      </c>
      <c r="P716" s="1" t="s">
        <v>74</v>
      </c>
      <c r="Q716" s="1" t="s">
        <v>74</v>
      </c>
      <c r="R716" s="1" t="s">
        <v>74</v>
      </c>
      <c r="S716" s="1" t="s">
        <v>74</v>
      </c>
      <c r="T716" s="1" t="s">
        <v>14459</v>
      </c>
      <c r="U716" s="1" t="s">
        <v>74</v>
      </c>
      <c r="V716" s="1" t="s">
        <v>14460</v>
      </c>
      <c r="W716" s="1" t="s">
        <v>14461</v>
      </c>
      <c r="X716" s="1" t="s">
        <v>14462</v>
      </c>
      <c r="Y716" s="1" t="s">
        <v>14463</v>
      </c>
      <c r="Z716" s="1" t="s">
        <v>14464</v>
      </c>
      <c r="AA716" s="1" t="s">
        <v>14465</v>
      </c>
      <c r="AB716" s="1" t="s">
        <v>74</v>
      </c>
      <c r="AC716" s="1" t="s">
        <v>14466</v>
      </c>
      <c r="AD716" s="1" t="s">
        <v>14467</v>
      </c>
      <c r="AE716" s="1" t="s">
        <v>14468</v>
      </c>
      <c r="AF716" s="1" t="s">
        <v>74</v>
      </c>
      <c r="AG716" s="1">
        <v>1.0</v>
      </c>
      <c r="AH716" s="1">
        <v>0.0</v>
      </c>
      <c r="AI716" s="1">
        <v>0.0</v>
      </c>
      <c r="AJ716" s="1">
        <v>0.0</v>
      </c>
      <c r="AK716" s="1">
        <v>7.0</v>
      </c>
      <c r="AL716" s="1" t="s">
        <v>12620</v>
      </c>
      <c r="AM716" s="1" t="s">
        <v>10428</v>
      </c>
      <c r="AN716" s="1" t="s">
        <v>12621</v>
      </c>
      <c r="AO716" s="1" t="s">
        <v>14469</v>
      </c>
      <c r="AP716" s="1" t="s">
        <v>14470</v>
      </c>
      <c r="AQ716" s="1" t="s">
        <v>74</v>
      </c>
      <c r="AR716" s="1" t="s">
        <v>14471</v>
      </c>
      <c r="AS716" s="1" t="s">
        <v>14472</v>
      </c>
      <c r="AT716" s="1" t="s">
        <v>1051</v>
      </c>
      <c r="AU716" s="1">
        <v>2020.0</v>
      </c>
      <c r="AV716" s="1" t="s">
        <v>74</v>
      </c>
      <c r="AW716" s="1">
        <v>74.0</v>
      </c>
      <c r="AX716" s="1" t="s">
        <v>74</v>
      </c>
      <c r="AY716" s="1" t="s">
        <v>74</v>
      </c>
      <c r="AZ716" s="1" t="s">
        <v>74</v>
      </c>
      <c r="BA716" s="1" t="s">
        <v>74</v>
      </c>
      <c r="BB716" s="1">
        <v>90.0</v>
      </c>
      <c r="BC716" s="1">
        <v>99.0</v>
      </c>
      <c r="BD716" s="1" t="s">
        <v>74</v>
      </c>
      <c r="BE716" s="1" t="s">
        <v>14473</v>
      </c>
      <c r="BF716" s="2" t="str">
        <f>HYPERLINK("http://dx.doi.org/10.2436/rld.i74.2020.3503","http://dx.doi.org/10.2436/rld.i74.2020.3503")</f>
        <v>http://dx.doi.org/10.2436/rld.i74.2020.3503</v>
      </c>
      <c r="BG716" s="1" t="s">
        <v>74</v>
      </c>
      <c r="BH716" s="1" t="s">
        <v>74</v>
      </c>
      <c r="BI716" s="1">
        <v>10.0</v>
      </c>
      <c r="BJ716" s="1" t="s">
        <v>915</v>
      </c>
      <c r="BK716" s="1" t="s">
        <v>172</v>
      </c>
      <c r="BL716" s="1" t="s">
        <v>916</v>
      </c>
      <c r="BM716" s="1" t="s">
        <v>14474</v>
      </c>
      <c r="BN716" s="1" t="s">
        <v>74</v>
      </c>
      <c r="BO716" s="1" t="s">
        <v>74</v>
      </c>
      <c r="BP716" s="1" t="s">
        <v>74</v>
      </c>
      <c r="BQ716" s="1" t="s">
        <v>74</v>
      </c>
      <c r="BR716" s="1" t="s">
        <v>102</v>
      </c>
      <c r="BS716" s="1" t="s">
        <v>14475</v>
      </c>
      <c r="BT716" s="1" t="str">
        <f>HYPERLINK("https%3A%2F%2Fwww.webofscience.com%2Fwos%2Fwoscc%2Ffull-record%2FWOS:000597412600006","View Full Record in Web of Science")</f>
        <v>View Full Record in Web of Science</v>
      </c>
    </row>
    <row r="717" ht="12.75" customHeight="1">
      <c r="A717" s="1" t="s">
        <v>132</v>
      </c>
      <c r="B717" s="1" t="s">
        <v>14476</v>
      </c>
      <c r="C717" s="1" t="s">
        <v>74</v>
      </c>
      <c r="D717" s="1" t="s">
        <v>74</v>
      </c>
      <c r="E717" s="1" t="s">
        <v>74</v>
      </c>
      <c r="F717" s="1" t="s">
        <v>14477</v>
      </c>
      <c r="G717" s="1" t="s">
        <v>74</v>
      </c>
      <c r="H717" s="1" t="s">
        <v>74</v>
      </c>
      <c r="I717" s="1" t="s">
        <v>14478</v>
      </c>
      <c r="J717" s="1" t="s">
        <v>14479</v>
      </c>
      <c r="K717" s="1" t="s">
        <v>74</v>
      </c>
      <c r="L717" s="1" t="s">
        <v>74</v>
      </c>
      <c r="M717" s="1" t="s">
        <v>80</v>
      </c>
      <c r="N717" s="1" t="s">
        <v>136</v>
      </c>
      <c r="O717" s="1" t="s">
        <v>74</v>
      </c>
      <c r="P717" s="1" t="s">
        <v>74</v>
      </c>
      <c r="Q717" s="1" t="s">
        <v>74</v>
      </c>
      <c r="R717" s="1" t="s">
        <v>74</v>
      </c>
      <c r="S717" s="1" t="s">
        <v>74</v>
      </c>
      <c r="T717" s="1" t="s">
        <v>14480</v>
      </c>
      <c r="U717" s="1" t="s">
        <v>14481</v>
      </c>
      <c r="V717" s="1" t="s">
        <v>14482</v>
      </c>
      <c r="W717" s="1" t="s">
        <v>14483</v>
      </c>
      <c r="X717" s="1" t="s">
        <v>14484</v>
      </c>
      <c r="Y717" s="1" t="s">
        <v>14485</v>
      </c>
      <c r="Z717" s="1" t="s">
        <v>14486</v>
      </c>
      <c r="AA717" s="1" t="s">
        <v>14487</v>
      </c>
      <c r="AB717" s="1" t="s">
        <v>74</v>
      </c>
      <c r="AC717" s="1" t="s">
        <v>14488</v>
      </c>
      <c r="AD717" s="1" t="s">
        <v>14489</v>
      </c>
      <c r="AE717" s="1" t="s">
        <v>14490</v>
      </c>
      <c r="AF717" s="1" t="s">
        <v>74</v>
      </c>
      <c r="AG717" s="1">
        <v>38.0</v>
      </c>
      <c r="AH717" s="1">
        <v>27.0</v>
      </c>
      <c r="AI717" s="1">
        <v>27.0</v>
      </c>
      <c r="AJ717" s="1">
        <v>28.0</v>
      </c>
      <c r="AK717" s="1">
        <v>87.0</v>
      </c>
      <c r="AL717" s="1" t="s">
        <v>10300</v>
      </c>
      <c r="AM717" s="1" t="s">
        <v>1120</v>
      </c>
      <c r="AN717" s="1" t="s">
        <v>10301</v>
      </c>
      <c r="AO717" s="1" t="s">
        <v>14491</v>
      </c>
      <c r="AP717" s="1" t="s">
        <v>14492</v>
      </c>
      <c r="AQ717" s="1" t="s">
        <v>74</v>
      </c>
      <c r="AR717" s="1" t="s">
        <v>14493</v>
      </c>
      <c r="AS717" s="1" t="s">
        <v>14494</v>
      </c>
      <c r="AT717" s="1" t="s">
        <v>1027</v>
      </c>
      <c r="AU717" s="1">
        <v>2022.0</v>
      </c>
      <c r="AV717" s="1">
        <v>22.0</v>
      </c>
      <c r="AW717" s="1" t="s">
        <v>14495</v>
      </c>
      <c r="AX717" s="1" t="s">
        <v>74</v>
      </c>
      <c r="AY717" s="1">
        <v>1.0</v>
      </c>
      <c r="AZ717" s="1" t="s">
        <v>74</v>
      </c>
      <c r="BA717" s="1" t="s">
        <v>74</v>
      </c>
      <c r="BB717" s="1" t="s">
        <v>74</v>
      </c>
      <c r="BC717" s="1" t="s">
        <v>74</v>
      </c>
      <c r="BD717" s="1">
        <v>2141005.0</v>
      </c>
      <c r="BE717" s="1" t="s">
        <v>14496</v>
      </c>
      <c r="BF717" s="2" t="str">
        <f>HYPERLINK("http://dx.doi.org/10.1142/S021926592141005X","http://dx.doi.org/10.1142/S021926592141005X")</f>
        <v>http://dx.doi.org/10.1142/S021926592141005X</v>
      </c>
      <c r="BG717" s="1" t="s">
        <v>74</v>
      </c>
      <c r="BH717" s="1" t="s">
        <v>74</v>
      </c>
      <c r="BI717" s="1">
        <v>23.0</v>
      </c>
      <c r="BJ717" s="1" t="s">
        <v>2221</v>
      </c>
      <c r="BK717" s="1" t="s">
        <v>172</v>
      </c>
      <c r="BL717" s="1" t="s">
        <v>232</v>
      </c>
      <c r="BM717" s="1" t="s">
        <v>14497</v>
      </c>
      <c r="BN717" s="1" t="s">
        <v>74</v>
      </c>
      <c r="BO717" s="1" t="s">
        <v>74</v>
      </c>
      <c r="BP717" s="1" t="s">
        <v>74</v>
      </c>
      <c r="BQ717" s="1" t="s">
        <v>74</v>
      </c>
      <c r="BR717" s="1" t="s">
        <v>102</v>
      </c>
      <c r="BS717" s="1" t="s">
        <v>14498</v>
      </c>
      <c r="BT717" s="1" t="str">
        <f>HYPERLINK("https%3A%2F%2Fwww.webofscience.com%2Fwos%2Fwoscc%2Ffull-record%2FWOS:000867635500009","View Full Record in Web of Science")</f>
        <v>View Full Record in Web of Science</v>
      </c>
    </row>
    <row r="718" ht="12.75" customHeight="1">
      <c r="A718" s="1" t="s">
        <v>132</v>
      </c>
      <c r="B718" s="1" t="s">
        <v>14499</v>
      </c>
      <c r="C718" s="1" t="s">
        <v>74</v>
      </c>
      <c r="D718" s="1" t="s">
        <v>74</v>
      </c>
      <c r="E718" s="1" t="s">
        <v>74</v>
      </c>
      <c r="F718" s="1" t="s">
        <v>14500</v>
      </c>
      <c r="G718" s="1" t="s">
        <v>74</v>
      </c>
      <c r="H718" s="1" t="s">
        <v>74</v>
      </c>
      <c r="I718" s="1" t="s">
        <v>14501</v>
      </c>
      <c r="J718" s="1" t="s">
        <v>14502</v>
      </c>
      <c r="K718" s="1" t="s">
        <v>74</v>
      </c>
      <c r="L718" s="1" t="s">
        <v>74</v>
      </c>
      <c r="M718" s="1" t="s">
        <v>80</v>
      </c>
      <c r="N718" s="1" t="s">
        <v>136</v>
      </c>
      <c r="O718" s="1" t="s">
        <v>74</v>
      </c>
      <c r="P718" s="1" t="s">
        <v>74</v>
      </c>
      <c r="Q718" s="1" t="s">
        <v>74</v>
      </c>
      <c r="R718" s="1" t="s">
        <v>74</v>
      </c>
      <c r="S718" s="1" t="s">
        <v>74</v>
      </c>
      <c r="T718" s="1" t="s">
        <v>14503</v>
      </c>
      <c r="U718" s="1" t="s">
        <v>14504</v>
      </c>
      <c r="V718" s="1" t="s">
        <v>14505</v>
      </c>
      <c r="W718" s="1" t="s">
        <v>14506</v>
      </c>
      <c r="X718" s="1" t="s">
        <v>14507</v>
      </c>
      <c r="Y718" s="1" t="s">
        <v>14508</v>
      </c>
      <c r="Z718" s="1" t="s">
        <v>14509</v>
      </c>
      <c r="AA718" s="1" t="s">
        <v>14510</v>
      </c>
      <c r="AB718" s="1" t="s">
        <v>14511</v>
      </c>
      <c r="AC718" s="1" t="s">
        <v>74</v>
      </c>
      <c r="AD718" s="1" t="s">
        <v>74</v>
      </c>
      <c r="AE718" s="1" t="s">
        <v>74</v>
      </c>
      <c r="AF718" s="1" t="s">
        <v>74</v>
      </c>
      <c r="AG718" s="1">
        <v>68.0</v>
      </c>
      <c r="AH718" s="1">
        <v>3.0</v>
      </c>
      <c r="AI718" s="1">
        <v>3.0</v>
      </c>
      <c r="AJ718" s="1">
        <v>224.0</v>
      </c>
      <c r="AK718" s="1">
        <v>224.0</v>
      </c>
      <c r="AL718" s="1" t="s">
        <v>321</v>
      </c>
      <c r="AM718" s="1" t="s">
        <v>322</v>
      </c>
      <c r="AN718" s="1" t="s">
        <v>323</v>
      </c>
      <c r="AO718" s="1" t="s">
        <v>14512</v>
      </c>
      <c r="AP718" s="1" t="s">
        <v>14513</v>
      </c>
      <c r="AQ718" s="1" t="s">
        <v>74</v>
      </c>
      <c r="AR718" s="1" t="s">
        <v>14502</v>
      </c>
      <c r="AS718" s="1" t="s">
        <v>14514</v>
      </c>
      <c r="AT718" s="1" t="s">
        <v>302</v>
      </c>
      <c r="AU718" s="1">
        <v>2024.0</v>
      </c>
      <c r="AV718" s="1">
        <v>136.0</v>
      </c>
      <c r="AW718" s="1" t="s">
        <v>74</v>
      </c>
      <c r="AX718" s="1" t="s">
        <v>74</v>
      </c>
      <c r="AY718" s="1" t="s">
        <v>74</v>
      </c>
      <c r="AZ718" s="1" t="s">
        <v>74</v>
      </c>
      <c r="BA718" s="1" t="s">
        <v>74</v>
      </c>
      <c r="BB718" s="1" t="s">
        <v>74</v>
      </c>
      <c r="BC718" s="1" t="s">
        <v>74</v>
      </c>
      <c r="BD718" s="1">
        <v>103081.0</v>
      </c>
      <c r="BE718" s="1" t="s">
        <v>14515</v>
      </c>
      <c r="BF718" s="2" t="str">
        <f>HYPERLINK("http://dx.doi.org/10.1016/j.technovation.2024.103081","http://dx.doi.org/10.1016/j.technovation.2024.103081")</f>
        <v>http://dx.doi.org/10.1016/j.technovation.2024.103081</v>
      </c>
      <c r="BG718" s="1" t="s">
        <v>74</v>
      </c>
      <c r="BH718" s="1" t="s">
        <v>1929</v>
      </c>
      <c r="BI718" s="1">
        <v>11.0</v>
      </c>
      <c r="BJ718" s="1" t="s">
        <v>14516</v>
      </c>
      <c r="BK718" s="1" t="s">
        <v>783</v>
      </c>
      <c r="BL718" s="1" t="s">
        <v>14517</v>
      </c>
      <c r="BM718" s="1" t="s">
        <v>14518</v>
      </c>
      <c r="BN718" s="1" t="s">
        <v>74</v>
      </c>
      <c r="BO718" s="1" t="s">
        <v>306</v>
      </c>
      <c r="BP718" s="1" t="s">
        <v>74</v>
      </c>
      <c r="BQ718" s="1" t="s">
        <v>74</v>
      </c>
      <c r="BR718" s="1" t="s">
        <v>102</v>
      </c>
      <c r="BS718" s="1" t="s">
        <v>14519</v>
      </c>
      <c r="BT718" s="1" t="str">
        <f>HYPERLINK("https%3A%2F%2Fwww.webofscience.com%2Fwos%2Fwoscc%2Ffull-record%2FWOS:001280014900001","View Full Record in Web of Science")</f>
        <v>View Full Record in Web of Science</v>
      </c>
    </row>
    <row r="719" ht="12.75" customHeight="1">
      <c r="A719" s="1" t="s">
        <v>72</v>
      </c>
      <c r="B719" s="1" t="s">
        <v>14520</v>
      </c>
      <c r="C719" s="1" t="s">
        <v>74</v>
      </c>
      <c r="D719" s="1" t="s">
        <v>14521</v>
      </c>
      <c r="E719" s="1" t="s">
        <v>74</v>
      </c>
      <c r="F719" s="1" t="s">
        <v>14522</v>
      </c>
      <c r="G719" s="1" t="s">
        <v>74</v>
      </c>
      <c r="H719" s="1" t="s">
        <v>74</v>
      </c>
      <c r="I719" s="1" t="s">
        <v>14523</v>
      </c>
      <c r="J719" s="1" t="s">
        <v>14524</v>
      </c>
      <c r="K719" s="1" t="s">
        <v>3840</v>
      </c>
      <c r="L719" s="1" t="s">
        <v>74</v>
      </c>
      <c r="M719" s="1" t="s">
        <v>80</v>
      </c>
      <c r="N719" s="1" t="s">
        <v>81</v>
      </c>
      <c r="O719" s="1" t="s">
        <v>14525</v>
      </c>
      <c r="P719" s="1" t="s">
        <v>14526</v>
      </c>
      <c r="Q719" s="1" t="s">
        <v>14527</v>
      </c>
      <c r="R719" s="1" t="s">
        <v>74</v>
      </c>
      <c r="S719" s="1" t="s">
        <v>74</v>
      </c>
      <c r="T719" s="1" t="s">
        <v>14528</v>
      </c>
      <c r="U719" s="1" t="s">
        <v>74</v>
      </c>
      <c r="V719" s="1" t="s">
        <v>14529</v>
      </c>
      <c r="W719" s="1" t="s">
        <v>14530</v>
      </c>
      <c r="X719" s="1" t="s">
        <v>14531</v>
      </c>
      <c r="Y719" s="1" t="s">
        <v>14532</v>
      </c>
      <c r="Z719" s="1" t="s">
        <v>14533</v>
      </c>
      <c r="AA719" s="1" t="s">
        <v>74</v>
      </c>
      <c r="AB719" s="1" t="s">
        <v>74</v>
      </c>
      <c r="AC719" s="1" t="s">
        <v>74</v>
      </c>
      <c r="AD719" s="1" t="s">
        <v>74</v>
      </c>
      <c r="AE719" s="1" t="s">
        <v>74</v>
      </c>
      <c r="AF719" s="1" t="s">
        <v>74</v>
      </c>
      <c r="AG719" s="1">
        <v>19.0</v>
      </c>
      <c r="AH719" s="1">
        <v>0.0</v>
      </c>
      <c r="AI719" s="1">
        <v>0.0</v>
      </c>
      <c r="AJ719" s="1">
        <v>4.0</v>
      </c>
      <c r="AK719" s="1">
        <v>4.0</v>
      </c>
      <c r="AL719" s="1" t="s">
        <v>223</v>
      </c>
      <c r="AM719" s="1" t="s">
        <v>224</v>
      </c>
      <c r="AN719" s="1" t="s">
        <v>225</v>
      </c>
      <c r="AO719" s="1" t="s">
        <v>3852</v>
      </c>
      <c r="AP719" s="1" t="s">
        <v>942</v>
      </c>
      <c r="AQ719" s="1" t="s">
        <v>14534</v>
      </c>
      <c r="AR719" s="1" t="s">
        <v>3854</v>
      </c>
      <c r="AS719" s="1" t="s">
        <v>74</v>
      </c>
      <c r="AT719" s="1" t="s">
        <v>74</v>
      </c>
      <c r="AU719" s="1">
        <v>2024.0</v>
      </c>
      <c r="AV719" s="1">
        <v>14484.0</v>
      </c>
      <c r="AW719" s="1" t="s">
        <v>74</v>
      </c>
      <c r="AX719" s="1" t="s">
        <v>74</v>
      </c>
      <c r="AY719" s="1" t="s">
        <v>74</v>
      </c>
      <c r="AZ719" s="1" t="s">
        <v>74</v>
      </c>
      <c r="BA719" s="1" t="s">
        <v>74</v>
      </c>
      <c r="BB719" s="1">
        <v>80.0</v>
      </c>
      <c r="BC719" s="1">
        <v>88.0</v>
      </c>
      <c r="BD719" s="1" t="s">
        <v>74</v>
      </c>
      <c r="BE719" s="1" t="s">
        <v>14535</v>
      </c>
      <c r="BF719" s="2" t="str">
        <f>HYPERLINK("http://dx.doi.org/10.1007/978-3-031-49269-3_8","http://dx.doi.org/10.1007/978-3-031-49269-3_8")</f>
        <v>http://dx.doi.org/10.1007/978-3-031-49269-3_8</v>
      </c>
      <c r="BG719" s="1" t="s">
        <v>74</v>
      </c>
      <c r="BH719" s="1" t="s">
        <v>74</v>
      </c>
      <c r="BI719" s="1">
        <v>9.0</v>
      </c>
      <c r="BJ719" s="1" t="s">
        <v>3769</v>
      </c>
      <c r="BK719" s="1" t="s">
        <v>128</v>
      </c>
      <c r="BL719" s="1" t="s">
        <v>232</v>
      </c>
      <c r="BM719" s="1" t="s">
        <v>14536</v>
      </c>
      <c r="BN719" s="1" t="s">
        <v>74</v>
      </c>
      <c r="BO719" s="1" t="s">
        <v>74</v>
      </c>
      <c r="BP719" s="1" t="s">
        <v>74</v>
      </c>
      <c r="BQ719" s="1" t="s">
        <v>74</v>
      </c>
      <c r="BR719" s="1" t="s">
        <v>102</v>
      </c>
      <c r="BS719" s="1" t="s">
        <v>14537</v>
      </c>
      <c r="BT719" s="1" t="str">
        <f>HYPERLINK("https%3A%2F%2Fwww.webofscience.com%2Fwos%2Fwoscc%2Ffull-record%2FWOS:001157575800008","View Full Record in Web of Science")</f>
        <v>View Full Record in Web of Science</v>
      </c>
    </row>
    <row r="720" ht="12.75" customHeight="1">
      <c r="A720" s="1" t="s">
        <v>72</v>
      </c>
      <c r="B720" s="1" t="s">
        <v>14538</v>
      </c>
      <c r="C720" s="1" t="s">
        <v>74</v>
      </c>
      <c r="D720" s="1" t="s">
        <v>14539</v>
      </c>
      <c r="E720" s="1" t="s">
        <v>74</v>
      </c>
      <c r="F720" s="1" t="s">
        <v>14540</v>
      </c>
      <c r="G720" s="1" t="s">
        <v>74</v>
      </c>
      <c r="H720" s="1" t="s">
        <v>74</v>
      </c>
      <c r="I720" s="1" t="s">
        <v>14541</v>
      </c>
      <c r="J720" s="1" t="s">
        <v>14542</v>
      </c>
      <c r="K720" s="1" t="s">
        <v>3840</v>
      </c>
      <c r="L720" s="1" t="s">
        <v>74</v>
      </c>
      <c r="M720" s="1" t="s">
        <v>80</v>
      </c>
      <c r="N720" s="1" t="s">
        <v>81</v>
      </c>
      <c r="O720" s="1" t="s">
        <v>14543</v>
      </c>
      <c r="P720" s="1" t="s">
        <v>14544</v>
      </c>
      <c r="Q720" s="1" t="s">
        <v>14545</v>
      </c>
      <c r="R720" s="1" t="s">
        <v>14546</v>
      </c>
      <c r="S720" s="1" t="s">
        <v>14547</v>
      </c>
      <c r="T720" s="1" t="s">
        <v>14548</v>
      </c>
      <c r="U720" s="1" t="s">
        <v>1912</v>
      </c>
      <c r="V720" s="1" t="s">
        <v>14549</v>
      </c>
      <c r="W720" s="1" t="s">
        <v>14550</v>
      </c>
      <c r="X720" s="1" t="s">
        <v>14551</v>
      </c>
      <c r="Y720" s="1" t="s">
        <v>14552</v>
      </c>
      <c r="Z720" s="1" t="s">
        <v>14553</v>
      </c>
      <c r="AA720" s="1" t="s">
        <v>14554</v>
      </c>
      <c r="AB720" s="1" t="s">
        <v>74</v>
      </c>
      <c r="AC720" s="1" t="s">
        <v>74</v>
      </c>
      <c r="AD720" s="1" t="s">
        <v>74</v>
      </c>
      <c r="AE720" s="1" t="s">
        <v>74</v>
      </c>
      <c r="AF720" s="1" t="s">
        <v>74</v>
      </c>
      <c r="AG720" s="1">
        <v>35.0</v>
      </c>
      <c r="AH720" s="1">
        <v>0.0</v>
      </c>
      <c r="AI720" s="1">
        <v>0.0</v>
      </c>
      <c r="AJ720" s="1">
        <v>2.0</v>
      </c>
      <c r="AK720" s="1">
        <v>2.0</v>
      </c>
      <c r="AL720" s="1" t="s">
        <v>223</v>
      </c>
      <c r="AM720" s="1" t="s">
        <v>224</v>
      </c>
      <c r="AN720" s="1" t="s">
        <v>225</v>
      </c>
      <c r="AO720" s="1" t="s">
        <v>3852</v>
      </c>
      <c r="AP720" s="1" t="s">
        <v>942</v>
      </c>
      <c r="AQ720" s="1" t="s">
        <v>14555</v>
      </c>
      <c r="AR720" s="1" t="s">
        <v>3854</v>
      </c>
      <c r="AS720" s="1" t="s">
        <v>74</v>
      </c>
      <c r="AT720" s="1" t="s">
        <v>74</v>
      </c>
      <c r="AU720" s="1">
        <v>2024.0</v>
      </c>
      <c r="AV720" s="1">
        <v>14907.0</v>
      </c>
      <c r="AW720" s="1" t="s">
        <v>74</v>
      </c>
      <c r="AX720" s="1" t="s">
        <v>74</v>
      </c>
      <c r="AY720" s="1" t="s">
        <v>74</v>
      </c>
      <c r="AZ720" s="1" t="s">
        <v>74</v>
      </c>
      <c r="BA720" s="1" t="s">
        <v>74</v>
      </c>
      <c r="BB720" s="1">
        <v>90.0</v>
      </c>
      <c r="BC720" s="1">
        <v>102.0</v>
      </c>
      <c r="BD720" s="1" t="s">
        <v>74</v>
      </c>
      <c r="BE720" s="1" t="s">
        <v>14556</v>
      </c>
      <c r="BF720" s="2" t="str">
        <f>HYPERLINK("http://dx.doi.org/10.1007/978-3-031-72234-9_8","http://dx.doi.org/10.1007/978-3-031-72234-9_8")</f>
        <v>http://dx.doi.org/10.1007/978-3-031-72234-9_8</v>
      </c>
      <c r="BG720" s="1" t="s">
        <v>74</v>
      </c>
      <c r="BH720" s="1" t="s">
        <v>74</v>
      </c>
      <c r="BI720" s="1">
        <v>13.0</v>
      </c>
      <c r="BJ720" s="1" t="s">
        <v>527</v>
      </c>
      <c r="BK720" s="1" t="s">
        <v>128</v>
      </c>
      <c r="BL720" s="1" t="s">
        <v>232</v>
      </c>
      <c r="BM720" s="1" t="s">
        <v>14557</v>
      </c>
      <c r="BN720" s="1" t="s">
        <v>74</v>
      </c>
      <c r="BO720" s="1" t="s">
        <v>74</v>
      </c>
      <c r="BP720" s="1" t="s">
        <v>74</v>
      </c>
      <c r="BQ720" s="1" t="s">
        <v>74</v>
      </c>
      <c r="BR720" s="1" t="s">
        <v>102</v>
      </c>
      <c r="BS720" s="1" t="s">
        <v>14558</v>
      </c>
      <c r="BT720" s="1" t="str">
        <f>HYPERLINK("https%3A%2F%2Fwww.webofscience.com%2Fwos%2Fwoscc%2Ffull-record%2FWOS:001336388000008","View Full Record in Web of Science")</f>
        <v>View Full Record in Web of Science</v>
      </c>
    </row>
    <row r="721" ht="12.75" customHeight="1">
      <c r="A721" s="1" t="s">
        <v>132</v>
      </c>
      <c r="B721" s="1" t="s">
        <v>14559</v>
      </c>
      <c r="C721" s="1" t="s">
        <v>74</v>
      </c>
      <c r="D721" s="1" t="s">
        <v>74</v>
      </c>
      <c r="E721" s="1" t="s">
        <v>74</v>
      </c>
      <c r="F721" s="1" t="s">
        <v>14560</v>
      </c>
      <c r="G721" s="1" t="s">
        <v>74</v>
      </c>
      <c r="H721" s="1" t="s">
        <v>74</v>
      </c>
      <c r="I721" s="1" t="s">
        <v>14561</v>
      </c>
      <c r="J721" s="1" t="s">
        <v>14562</v>
      </c>
      <c r="K721" s="1" t="s">
        <v>74</v>
      </c>
      <c r="L721" s="1" t="s">
        <v>74</v>
      </c>
      <c r="M721" s="1" t="s">
        <v>80</v>
      </c>
      <c r="N721" s="1" t="s">
        <v>136</v>
      </c>
      <c r="O721" s="1" t="s">
        <v>74</v>
      </c>
      <c r="P721" s="1" t="s">
        <v>74</v>
      </c>
      <c r="Q721" s="1" t="s">
        <v>74</v>
      </c>
      <c r="R721" s="1" t="s">
        <v>74</v>
      </c>
      <c r="S721" s="1" t="s">
        <v>74</v>
      </c>
      <c r="T721" s="1" t="s">
        <v>14563</v>
      </c>
      <c r="U721" s="1" t="s">
        <v>14564</v>
      </c>
      <c r="V721" s="1" t="s">
        <v>14565</v>
      </c>
      <c r="W721" s="1" t="s">
        <v>14566</v>
      </c>
      <c r="X721" s="1" t="s">
        <v>3733</v>
      </c>
      <c r="Y721" s="1" t="s">
        <v>14567</v>
      </c>
      <c r="Z721" s="1" t="s">
        <v>14568</v>
      </c>
      <c r="AA721" s="1" t="s">
        <v>14569</v>
      </c>
      <c r="AB721" s="1" t="s">
        <v>14570</v>
      </c>
      <c r="AC721" s="1" t="s">
        <v>74</v>
      </c>
      <c r="AD721" s="1" t="s">
        <v>74</v>
      </c>
      <c r="AE721" s="1" t="s">
        <v>74</v>
      </c>
      <c r="AF721" s="1" t="s">
        <v>74</v>
      </c>
      <c r="AG721" s="1">
        <v>76.0</v>
      </c>
      <c r="AH721" s="1">
        <v>119.0</v>
      </c>
      <c r="AI721" s="1">
        <v>129.0</v>
      </c>
      <c r="AJ721" s="1">
        <v>130.0</v>
      </c>
      <c r="AK721" s="1">
        <v>604.0</v>
      </c>
      <c r="AL721" s="1" t="s">
        <v>571</v>
      </c>
      <c r="AM721" s="1" t="s">
        <v>1768</v>
      </c>
      <c r="AN721" s="1" t="s">
        <v>1769</v>
      </c>
      <c r="AO721" s="1" t="s">
        <v>14571</v>
      </c>
      <c r="AP721" s="1" t="s">
        <v>14572</v>
      </c>
      <c r="AQ721" s="1" t="s">
        <v>74</v>
      </c>
      <c r="AR721" s="1" t="s">
        <v>14573</v>
      </c>
      <c r="AS721" s="1" t="s">
        <v>14574</v>
      </c>
      <c r="AT721" s="1" t="s">
        <v>14575</v>
      </c>
      <c r="AU721" s="1">
        <v>2022.0</v>
      </c>
      <c r="AV721" s="1">
        <v>43.0</v>
      </c>
      <c r="AW721" s="1">
        <v>2.0</v>
      </c>
      <c r="AX721" s="1" t="s">
        <v>74</v>
      </c>
      <c r="AY721" s="1" t="s">
        <v>74</v>
      </c>
      <c r="AZ721" s="1" t="s">
        <v>474</v>
      </c>
      <c r="BA721" s="1" t="s">
        <v>74</v>
      </c>
      <c r="BB721" s="1">
        <v>334.0</v>
      </c>
      <c r="BC721" s="1">
        <v>354.0</v>
      </c>
      <c r="BD721" s="1" t="s">
        <v>74</v>
      </c>
      <c r="BE721" s="1" t="s">
        <v>14576</v>
      </c>
      <c r="BF721" s="2" t="str">
        <f>HYPERLINK("http://dx.doi.org/10.1108/IJM-03-2021-0173","http://dx.doi.org/10.1108/IJM-03-2021-0173")</f>
        <v>http://dx.doi.org/10.1108/IJM-03-2021-0173</v>
      </c>
      <c r="BG721" s="1" t="s">
        <v>74</v>
      </c>
      <c r="BH721" s="1" t="s">
        <v>3899</v>
      </c>
      <c r="BI721" s="1">
        <v>21.0</v>
      </c>
      <c r="BJ721" s="1" t="s">
        <v>14577</v>
      </c>
      <c r="BK721" s="1" t="s">
        <v>203</v>
      </c>
      <c r="BL721" s="1" t="s">
        <v>204</v>
      </c>
      <c r="BM721" s="1" t="s">
        <v>14578</v>
      </c>
      <c r="BN721" s="1" t="s">
        <v>74</v>
      </c>
      <c r="BO721" s="1" t="s">
        <v>74</v>
      </c>
      <c r="BP721" s="1" t="s">
        <v>74</v>
      </c>
      <c r="BQ721" s="1" t="s">
        <v>74</v>
      </c>
      <c r="BR721" s="1" t="s">
        <v>102</v>
      </c>
      <c r="BS721" s="1" t="s">
        <v>14579</v>
      </c>
      <c r="BT721" s="1" t="str">
        <f>HYPERLINK("https%3A%2F%2Fwww.webofscience.com%2Fwos%2Fwoscc%2Ffull-record%2FWOS:000663465200001","View Full Record in Web of Science")</f>
        <v>View Full Record in Web of Science</v>
      </c>
    </row>
    <row r="722" ht="12.75" customHeight="1">
      <c r="A722" s="1" t="s">
        <v>132</v>
      </c>
      <c r="B722" s="1" t="s">
        <v>14580</v>
      </c>
      <c r="C722" s="1" t="s">
        <v>74</v>
      </c>
      <c r="D722" s="1" t="s">
        <v>74</v>
      </c>
      <c r="E722" s="1" t="s">
        <v>74</v>
      </c>
      <c r="F722" s="1" t="s">
        <v>14581</v>
      </c>
      <c r="G722" s="1" t="s">
        <v>74</v>
      </c>
      <c r="H722" s="1" t="s">
        <v>74</v>
      </c>
      <c r="I722" s="1" t="s">
        <v>14582</v>
      </c>
      <c r="J722" s="1" t="s">
        <v>14583</v>
      </c>
      <c r="K722" s="1" t="s">
        <v>74</v>
      </c>
      <c r="L722" s="1" t="s">
        <v>74</v>
      </c>
      <c r="M722" s="1" t="s">
        <v>80</v>
      </c>
      <c r="N722" s="1" t="s">
        <v>136</v>
      </c>
      <c r="O722" s="1" t="s">
        <v>74</v>
      </c>
      <c r="P722" s="1" t="s">
        <v>74</v>
      </c>
      <c r="Q722" s="1" t="s">
        <v>74</v>
      </c>
      <c r="R722" s="1" t="s">
        <v>74</v>
      </c>
      <c r="S722" s="1" t="s">
        <v>74</v>
      </c>
      <c r="T722" s="1" t="s">
        <v>14584</v>
      </c>
      <c r="U722" s="1" t="s">
        <v>14585</v>
      </c>
      <c r="V722" s="1" t="s">
        <v>14586</v>
      </c>
      <c r="W722" s="1" t="s">
        <v>14587</v>
      </c>
      <c r="X722" s="1" t="s">
        <v>14588</v>
      </c>
      <c r="Y722" s="1" t="s">
        <v>14589</v>
      </c>
      <c r="Z722" s="1" t="s">
        <v>14590</v>
      </c>
      <c r="AA722" s="1" t="s">
        <v>74</v>
      </c>
      <c r="AB722" s="1" t="s">
        <v>74</v>
      </c>
      <c r="AC722" s="1" t="s">
        <v>74</v>
      </c>
      <c r="AD722" s="1" t="s">
        <v>74</v>
      </c>
      <c r="AE722" s="1" t="s">
        <v>74</v>
      </c>
      <c r="AF722" s="1" t="s">
        <v>74</v>
      </c>
      <c r="AG722" s="1">
        <v>24.0</v>
      </c>
      <c r="AH722" s="1">
        <v>5.0</v>
      </c>
      <c r="AI722" s="1">
        <v>5.0</v>
      </c>
      <c r="AJ722" s="1">
        <v>11.0</v>
      </c>
      <c r="AK722" s="1">
        <v>58.0</v>
      </c>
      <c r="AL722" s="1" t="s">
        <v>5999</v>
      </c>
      <c r="AM722" s="1" t="s">
        <v>322</v>
      </c>
      <c r="AN722" s="1" t="s">
        <v>6000</v>
      </c>
      <c r="AO722" s="1" t="s">
        <v>14591</v>
      </c>
      <c r="AP722" s="1" t="s">
        <v>14592</v>
      </c>
      <c r="AQ722" s="1" t="s">
        <v>74</v>
      </c>
      <c r="AR722" s="1" t="s">
        <v>14593</v>
      </c>
      <c r="AS722" s="1" t="s">
        <v>14594</v>
      </c>
      <c r="AT722" s="1" t="s">
        <v>74</v>
      </c>
      <c r="AU722" s="1">
        <v>2021.0</v>
      </c>
      <c r="AV722" s="1">
        <v>40.0</v>
      </c>
      <c r="AW722" s="1">
        <v>2.0</v>
      </c>
      <c r="AX722" s="1" t="s">
        <v>74</v>
      </c>
      <c r="AY722" s="1" t="s">
        <v>74</v>
      </c>
      <c r="AZ722" s="1" t="s">
        <v>74</v>
      </c>
      <c r="BA722" s="1" t="s">
        <v>74</v>
      </c>
      <c r="BB722" s="1">
        <v>3289.0</v>
      </c>
      <c r="BC722" s="1">
        <v>3299.0</v>
      </c>
      <c r="BD722" s="1" t="s">
        <v>74</v>
      </c>
      <c r="BE722" s="1" t="s">
        <v>14595</v>
      </c>
      <c r="BF722" s="2" t="str">
        <f>HYPERLINK("http://dx.doi.org/10.3233/JIFS-189369","http://dx.doi.org/10.3233/JIFS-189369")</f>
        <v>http://dx.doi.org/10.3233/JIFS-189369</v>
      </c>
      <c r="BG722" s="1" t="s">
        <v>74</v>
      </c>
      <c r="BH722" s="1" t="s">
        <v>74</v>
      </c>
      <c r="BI722" s="1">
        <v>11.0</v>
      </c>
      <c r="BJ722" s="1" t="s">
        <v>1214</v>
      </c>
      <c r="BK722" s="1" t="s">
        <v>149</v>
      </c>
      <c r="BL722" s="1" t="s">
        <v>232</v>
      </c>
      <c r="BM722" s="1" t="s">
        <v>14596</v>
      </c>
      <c r="BN722" s="1" t="s">
        <v>74</v>
      </c>
      <c r="BO722" s="1" t="s">
        <v>74</v>
      </c>
      <c r="BP722" s="1" t="s">
        <v>74</v>
      </c>
      <c r="BQ722" s="1" t="s">
        <v>74</v>
      </c>
      <c r="BR722" s="1" t="s">
        <v>102</v>
      </c>
      <c r="BS722" s="1" t="s">
        <v>14597</v>
      </c>
      <c r="BT722" s="1" t="str">
        <f>HYPERLINK("https%3A%2F%2Fwww.webofscience.com%2Fwos%2Fwoscc%2Ffull-record%2FWOS:000618076700139","View Full Record in Web of Science")</f>
        <v>View Full Record in Web of Science</v>
      </c>
    </row>
    <row r="723" ht="12.75" customHeight="1">
      <c r="A723" s="1" t="s">
        <v>72</v>
      </c>
      <c r="B723" s="1" t="s">
        <v>14598</v>
      </c>
      <c r="C723" s="1" t="s">
        <v>74</v>
      </c>
      <c r="D723" s="1" t="s">
        <v>74</v>
      </c>
      <c r="E723" s="1" t="s">
        <v>236</v>
      </c>
      <c r="F723" s="1" t="s">
        <v>14599</v>
      </c>
      <c r="G723" s="1" t="s">
        <v>74</v>
      </c>
      <c r="H723" s="1" t="s">
        <v>74</v>
      </c>
      <c r="I723" s="1" t="s">
        <v>14600</v>
      </c>
      <c r="J723" s="1" t="s">
        <v>14601</v>
      </c>
      <c r="K723" s="1" t="s">
        <v>74</v>
      </c>
      <c r="L723" s="1" t="s">
        <v>74</v>
      </c>
      <c r="M723" s="1" t="s">
        <v>80</v>
      </c>
      <c r="N723" s="1" t="s">
        <v>81</v>
      </c>
      <c r="O723" s="1" t="s">
        <v>14602</v>
      </c>
      <c r="P723" s="1" t="s">
        <v>14603</v>
      </c>
      <c r="Q723" s="1" t="s">
        <v>14604</v>
      </c>
      <c r="R723" s="1" t="s">
        <v>14605</v>
      </c>
      <c r="S723" s="1" t="s">
        <v>74</v>
      </c>
      <c r="T723" s="1" t="s">
        <v>14606</v>
      </c>
      <c r="U723" s="1" t="s">
        <v>14607</v>
      </c>
      <c r="V723" s="1" t="s">
        <v>14608</v>
      </c>
      <c r="W723" s="1" t="s">
        <v>14609</v>
      </c>
      <c r="X723" s="1" t="s">
        <v>14610</v>
      </c>
      <c r="Y723" s="1" t="s">
        <v>14145</v>
      </c>
      <c r="Z723" s="1" t="s">
        <v>74</v>
      </c>
      <c r="AA723" s="1" t="s">
        <v>14611</v>
      </c>
      <c r="AB723" s="1" t="s">
        <v>14612</v>
      </c>
      <c r="AC723" s="1" t="s">
        <v>14613</v>
      </c>
      <c r="AD723" s="1" t="s">
        <v>14614</v>
      </c>
      <c r="AE723" s="1" t="s">
        <v>14615</v>
      </c>
      <c r="AF723" s="1" t="s">
        <v>74</v>
      </c>
      <c r="AG723" s="1">
        <v>20.0</v>
      </c>
      <c r="AH723" s="1">
        <v>2.0</v>
      </c>
      <c r="AI723" s="1">
        <v>2.0</v>
      </c>
      <c r="AJ723" s="1">
        <v>0.0</v>
      </c>
      <c r="AK723" s="1">
        <v>3.0</v>
      </c>
      <c r="AL723" s="1" t="s">
        <v>236</v>
      </c>
      <c r="AM723" s="1" t="s">
        <v>193</v>
      </c>
      <c r="AN723" s="1" t="s">
        <v>252</v>
      </c>
      <c r="AO723" s="1" t="s">
        <v>74</v>
      </c>
      <c r="AP723" s="1" t="s">
        <v>74</v>
      </c>
      <c r="AQ723" s="1" t="s">
        <v>14616</v>
      </c>
      <c r="AR723" s="1" t="s">
        <v>74</v>
      </c>
      <c r="AS723" s="1" t="s">
        <v>74</v>
      </c>
      <c r="AT723" s="1" t="s">
        <v>74</v>
      </c>
      <c r="AU723" s="1">
        <v>2022.0</v>
      </c>
      <c r="AV723" s="1" t="s">
        <v>74</v>
      </c>
      <c r="AW723" s="1" t="s">
        <v>74</v>
      </c>
      <c r="AX723" s="1" t="s">
        <v>74</v>
      </c>
      <c r="AY723" s="1" t="s">
        <v>74</v>
      </c>
      <c r="AZ723" s="1" t="s">
        <v>74</v>
      </c>
      <c r="BA723" s="1" t="s">
        <v>74</v>
      </c>
      <c r="BB723" s="1">
        <v>33.0</v>
      </c>
      <c r="BC723" s="1">
        <v>38.0</v>
      </c>
      <c r="BD723" s="1" t="s">
        <v>74</v>
      </c>
      <c r="BE723" s="1" t="s">
        <v>14617</v>
      </c>
      <c r="BF723" s="2" t="str">
        <f>HYPERLINK("http://dx.doi.org/10.1109/METROSEA55331.2022.9950875","http://dx.doi.org/10.1109/METROSEA55331.2022.9950875")</f>
        <v>http://dx.doi.org/10.1109/METROSEA55331.2022.9950875</v>
      </c>
      <c r="BG723" s="1" t="s">
        <v>74</v>
      </c>
      <c r="BH723" s="1" t="s">
        <v>74</v>
      </c>
      <c r="BI723" s="1">
        <v>6.0</v>
      </c>
      <c r="BJ723" s="1" t="s">
        <v>14618</v>
      </c>
      <c r="BK723" s="1" t="s">
        <v>128</v>
      </c>
      <c r="BL723" s="1" t="s">
        <v>14619</v>
      </c>
      <c r="BM723" s="1" t="s">
        <v>14620</v>
      </c>
      <c r="BN723" s="1" t="s">
        <v>74</v>
      </c>
      <c r="BO723" s="1" t="s">
        <v>74</v>
      </c>
      <c r="BP723" s="1" t="s">
        <v>74</v>
      </c>
      <c r="BQ723" s="1" t="s">
        <v>74</v>
      </c>
      <c r="BR723" s="1" t="s">
        <v>102</v>
      </c>
      <c r="BS723" s="1" t="s">
        <v>14621</v>
      </c>
      <c r="BT723" s="1" t="str">
        <f>HYPERLINK("https%3A%2F%2Fwww.webofscience.com%2Fwos%2Fwoscc%2Ffull-record%2FWOS:000894276700007","View Full Record in Web of Science")</f>
        <v>View Full Record in Web of Science</v>
      </c>
    </row>
    <row r="724" ht="12.75" customHeight="1">
      <c r="A724" s="1" t="s">
        <v>132</v>
      </c>
      <c r="B724" s="1" t="s">
        <v>14622</v>
      </c>
      <c r="C724" s="1" t="s">
        <v>74</v>
      </c>
      <c r="D724" s="1" t="s">
        <v>74</v>
      </c>
      <c r="E724" s="1" t="s">
        <v>74</v>
      </c>
      <c r="F724" s="1" t="s">
        <v>14623</v>
      </c>
      <c r="G724" s="1" t="s">
        <v>74</v>
      </c>
      <c r="H724" s="1" t="s">
        <v>74</v>
      </c>
      <c r="I724" s="1" t="s">
        <v>14624</v>
      </c>
      <c r="J724" s="1" t="s">
        <v>14625</v>
      </c>
      <c r="K724" s="1" t="s">
        <v>74</v>
      </c>
      <c r="L724" s="1" t="s">
        <v>74</v>
      </c>
      <c r="M724" s="1" t="s">
        <v>80</v>
      </c>
      <c r="N724" s="1" t="s">
        <v>1010</v>
      </c>
      <c r="O724" s="1" t="s">
        <v>74</v>
      </c>
      <c r="P724" s="1" t="s">
        <v>74</v>
      </c>
      <c r="Q724" s="1" t="s">
        <v>74</v>
      </c>
      <c r="R724" s="1" t="s">
        <v>74</v>
      </c>
      <c r="S724" s="1" t="s">
        <v>74</v>
      </c>
      <c r="T724" s="1" t="s">
        <v>14626</v>
      </c>
      <c r="U724" s="1" t="s">
        <v>14627</v>
      </c>
      <c r="V724" s="1" t="s">
        <v>14628</v>
      </c>
      <c r="W724" s="1" t="s">
        <v>14629</v>
      </c>
      <c r="X724" s="1" t="s">
        <v>14630</v>
      </c>
      <c r="Y724" s="1" t="s">
        <v>14631</v>
      </c>
      <c r="Z724" s="1" t="s">
        <v>14632</v>
      </c>
      <c r="AA724" s="1" t="s">
        <v>14633</v>
      </c>
      <c r="AB724" s="1" t="s">
        <v>14634</v>
      </c>
      <c r="AC724" s="1" t="s">
        <v>14635</v>
      </c>
      <c r="AD724" s="1" t="s">
        <v>14636</v>
      </c>
      <c r="AE724" s="1" t="s">
        <v>14637</v>
      </c>
      <c r="AF724" s="1" t="s">
        <v>74</v>
      </c>
      <c r="AG724" s="1">
        <v>143.0</v>
      </c>
      <c r="AH724" s="1">
        <v>43.0</v>
      </c>
      <c r="AI724" s="1">
        <v>45.0</v>
      </c>
      <c r="AJ724" s="1">
        <v>4.0</v>
      </c>
      <c r="AK724" s="1">
        <v>50.0</v>
      </c>
      <c r="AL724" s="1" t="s">
        <v>14638</v>
      </c>
      <c r="AM724" s="1" t="s">
        <v>2533</v>
      </c>
      <c r="AN724" s="1" t="s">
        <v>14639</v>
      </c>
      <c r="AO724" s="1" t="s">
        <v>14640</v>
      </c>
      <c r="AP724" s="1" t="s">
        <v>14641</v>
      </c>
      <c r="AQ724" s="1" t="s">
        <v>74</v>
      </c>
      <c r="AR724" s="1" t="s">
        <v>14642</v>
      </c>
      <c r="AS724" s="1" t="s">
        <v>14643</v>
      </c>
      <c r="AT724" s="1" t="s">
        <v>199</v>
      </c>
      <c r="AU724" s="1">
        <v>2021.0</v>
      </c>
      <c r="AV724" s="1">
        <v>11.0</v>
      </c>
      <c r="AW724" s="1">
        <v>11.0</v>
      </c>
      <c r="AX724" s="1" t="s">
        <v>74</v>
      </c>
      <c r="AY724" s="1" t="s">
        <v>74</v>
      </c>
      <c r="AZ724" s="1" t="s">
        <v>74</v>
      </c>
      <c r="BA724" s="1" t="s">
        <v>74</v>
      </c>
      <c r="BB724" s="1">
        <v>3393.0</v>
      </c>
      <c r="BC724" s="1">
        <v>3405.0</v>
      </c>
      <c r="BD724" s="1" t="s">
        <v>74</v>
      </c>
      <c r="BE724" s="1" t="s">
        <v>14644</v>
      </c>
      <c r="BF724" s="2" t="str">
        <f>HYPERLINK("http://dx.doi.org/10.1016/j.apsb.2021.02.007","http://dx.doi.org/10.1016/j.apsb.2021.02.007")</f>
        <v>http://dx.doi.org/10.1016/j.apsb.2021.02.007</v>
      </c>
      <c r="BG724" s="1" t="s">
        <v>74</v>
      </c>
      <c r="BH724" s="1" t="s">
        <v>74</v>
      </c>
      <c r="BI724" s="1">
        <v>13.0</v>
      </c>
      <c r="BJ724" s="1" t="s">
        <v>7236</v>
      </c>
      <c r="BK724" s="1" t="s">
        <v>149</v>
      </c>
      <c r="BL724" s="1" t="s">
        <v>7236</v>
      </c>
      <c r="BM724" s="1" t="s">
        <v>14645</v>
      </c>
      <c r="BN724" s="1">
        <v>3.4900525E7</v>
      </c>
      <c r="BO724" s="1" t="s">
        <v>1161</v>
      </c>
      <c r="BP724" s="1" t="s">
        <v>74</v>
      </c>
      <c r="BQ724" s="1" t="s">
        <v>74</v>
      </c>
      <c r="BR724" s="1" t="s">
        <v>102</v>
      </c>
      <c r="BS724" s="1" t="s">
        <v>14646</v>
      </c>
      <c r="BT724" s="1" t="str">
        <f>HYPERLINK("https%3A%2F%2Fwww.webofscience.com%2Fwos%2Fwoscc%2Ffull-record%2FWOS:000725260200004","View Full Record in Web of Science")</f>
        <v>View Full Record in Web of Science</v>
      </c>
    </row>
    <row r="725" ht="12.75" customHeight="1">
      <c r="A725" s="1" t="s">
        <v>132</v>
      </c>
      <c r="B725" s="1" t="s">
        <v>14647</v>
      </c>
      <c r="C725" s="1" t="s">
        <v>74</v>
      </c>
      <c r="D725" s="1" t="s">
        <v>74</v>
      </c>
      <c r="E725" s="1" t="s">
        <v>74</v>
      </c>
      <c r="F725" s="1" t="s">
        <v>14648</v>
      </c>
      <c r="G725" s="1" t="s">
        <v>74</v>
      </c>
      <c r="H725" s="1" t="s">
        <v>74</v>
      </c>
      <c r="I725" s="1" t="s">
        <v>14649</v>
      </c>
      <c r="J725" s="1" t="s">
        <v>9652</v>
      </c>
      <c r="K725" s="1" t="s">
        <v>74</v>
      </c>
      <c r="L725" s="1" t="s">
        <v>74</v>
      </c>
      <c r="M725" s="1" t="s">
        <v>80</v>
      </c>
      <c r="N725" s="1" t="s">
        <v>136</v>
      </c>
      <c r="O725" s="1" t="s">
        <v>74</v>
      </c>
      <c r="P725" s="1" t="s">
        <v>74</v>
      </c>
      <c r="Q725" s="1" t="s">
        <v>74</v>
      </c>
      <c r="R725" s="1" t="s">
        <v>74</v>
      </c>
      <c r="S725" s="1" t="s">
        <v>74</v>
      </c>
      <c r="T725" s="1" t="s">
        <v>14650</v>
      </c>
      <c r="U725" s="1" t="s">
        <v>14651</v>
      </c>
      <c r="V725" s="1" t="s">
        <v>14652</v>
      </c>
      <c r="W725" s="1" t="s">
        <v>14653</v>
      </c>
      <c r="X725" s="1" t="s">
        <v>74</v>
      </c>
      <c r="Y725" s="1" t="s">
        <v>14654</v>
      </c>
      <c r="Z725" s="1" t="s">
        <v>14655</v>
      </c>
      <c r="AA725" s="1" t="s">
        <v>14656</v>
      </c>
      <c r="AB725" s="1" t="s">
        <v>14657</v>
      </c>
      <c r="AC725" s="1" t="s">
        <v>14658</v>
      </c>
      <c r="AD725" s="1" t="s">
        <v>14659</v>
      </c>
      <c r="AE725" s="1" t="s">
        <v>14660</v>
      </c>
      <c r="AF725" s="1" t="s">
        <v>74</v>
      </c>
      <c r="AG725" s="1">
        <v>40.0</v>
      </c>
      <c r="AH725" s="1">
        <v>3.0</v>
      </c>
      <c r="AI725" s="1">
        <v>3.0</v>
      </c>
      <c r="AJ725" s="1">
        <v>1.0</v>
      </c>
      <c r="AK725" s="1">
        <v>1.0</v>
      </c>
      <c r="AL725" s="1" t="s">
        <v>1970</v>
      </c>
      <c r="AM725" s="1" t="s">
        <v>1658</v>
      </c>
      <c r="AN725" s="1" t="s">
        <v>1971</v>
      </c>
      <c r="AO725" s="1" t="s">
        <v>74</v>
      </c>
      <c r="AP725" s="1" t="s">
        <v>9662</v>
      </c>
      <c r="AQ725" s="1" t="s">
        <v>74</v>
      </c>
      <c r="AR725" s="1" t="s">
        <v>9652</v>
      </c>
      <c r="AS725" s="1" t="s">
        <v>9663</v>
      </c>
      <c r="AT725" s="1" t="s">
        <v>1051</v>
      </c>
      <c r="AU725" s="1">
        <v>2023.0</v>
      </c>
      <c r="AV725" s="1">
        <v>15.0</v>
      </c>
      <c r="AW725" s="1">
        <v>24.0</v>
      </c>
      <c r="AX725" s="1" t="s">
        <v>74</v>
      </c>
      <c r="AY725" s="1" t="s">
        <v>74</v>
      </c>
      <c r="AZ725" s="1" t="s">
        <v>74</v>
      </c>
      <c r="BA725" s="1" t="s">
        <v>74</v>
      </c>
      <c r="BB725" s="1" t="s">
        <v>74</v>
      </c>
      <c r="BC725" s="1" t="s">
        <v>74</v>
      </c>
      <c r="BD725" s="1">
        <v>5735.0</v>
      </c>
      <c r="BE725" s="1" t="s">
        <v>14661</v>
      </c>
      <c r="BF725" s="2" t="str">
        <f>HYPERLINK("http://dx.doi.org/10.3390/cancers15245735","http://dx.doi.org/10.3390/cancers15245735")</f>
        <v>http://dx.doi.org/10.3390/cancers15245735</v>
      </c>
      <c r="BG725" s="1" t="s">
        <v>74</v>
      </c>
      <c r="BH725" s="1" t="s">
        <v>74</v>
      </c>
      <c r="BI725" s="1">
        <v>25.0</v>
      </c>
      <c r="BJ725" s="1" t="s">
        <v>1904</v>
      </c>
      <c r="BK725" s="1" t="s">
        <v>149</v>
      </c>
      <c r="BL725" s="1" t="s">
        <v>1904</v>
      </c>
      <c r="BM725" s="1" t="s">
        <v>14662</v>
      </c>
      <c r="BN725" s="1">
        <v>3.8136281E7</v>
      </c>
      <c r="BO725" s="1" t="s">
        <v>284</v>
      </c>
      <c r="BP725" s="1" t="s">
        <v>74</v>
      </c>
      <c r="BQ725" s="1" t="s">
        <v>74</v>
      </c>
      <c r="BR725" s="1" t="s">
        <v>102</v>
      </c>
      <c r="BS725" s="1" t="s">
        <v>14663</v>
      </c>
      <c r="BT725" s="1" t="str">
        <f>HYPERLINK("https%3A%2F%2Fwww.webofscience.com%2Fwos%2Fwoscc%2Ffull-record%2FWOS:001130619400001","View Full Record in Web of Science")</f>
        <v>View Full Record in Web of Science</v>
      </c>
    </row>
    <row r="726" ht="12.75" customHeight="1">
      <c r="A726" s="1" t="s">
        <v>132</v>
      </c>
      <c r="B726" s="1" t="s">
        <v>14664</v>
      </c>
      <c r="C726" s="1" t="s">
        <v>74</v>
      </c>
      <c r="D726" s="1" t="s">
        <v>74</v>
      </c>
      <c r="E726" s="1" t="s">
        <v>74</v>
      </c>
      <c r="F726" s="1" t="s">
        <v>14665</v>
      </c>
      <c r="G726" s="1" t="s">
        <v>74</v>
      </c>
      <c r="H726" s="1" t="s">
        <v>74</v>
      </c>
      <c r="I726" s="1" t="s">
        <v>14666</v>
      </c>
      <c r="J726" s="1" t="s">
        <v>14667</v>
      </c>
      <c r="K726" s="1" t="s">
        <v>74</v>
      </c>
      <c r="L726" s="1" t="s">
        <v>74</v>
      </c>
      <c r="M726" s="1" t="s">
        <v>80</v>
      </c>
      <c r="N726" s="1" t="s">
        <v>136</v>
      </c>
      <c r="O726" s="1" t="s">
        <v>74</v>
      </c>
      <c r="P726" s="1" t="s">
        <v>74</v>
      </c>
      <c r="Q726" s="1" t="s">
        <v>74</v>
      </c>
      <c r="R726" s="1" t="s">
        <v>74</v>
      </c>
      <c r="S726" s="1" t="s">
        <v>74</v>
      </c>
      <c r="T726" s="1" t="s">
        <v>14668</v>
      </c>
      <c r="U726" s="1" t="s">
        <v>14669</v>
      </c>
      <c r="V726" s="1" t="s">
        <v>14670</v>
      </c>
      <c r="W726" s="1" t="s">
        <v>14671</v>
      </c>
      <c r="X726" s="1" t="s">
        <v>14672</v>
      </c>
      <c r="Y726" s="1" t="s">
        <v>14673</v>
      </c>
      <c r="Z726" s="1" t="s">
        <v>14674</v>
      </c>
      <c r="AA726" s="1" t="s">
        <v>74</v>
      </c>
      <c r="AB726" s="1" t="s">
        <v>74</v>
      </c>
      <c r="AC726" s="1" t="s">
        <v>74</v>
      </c>
      <c r="AD726" s="1" t="s">
        <v>74</v>
      </c>
      <c r="AE726" s="1" t="s">
        <v>74</v>
      </c>
      <c r="AF726" s="1" t="s">
        <v>74</v>
      </c>
      <c r="AG726" s="1">
        <v>39.0</v>
      </c>
      <c r="AH726" s="1">
        <v>0.0</v>
      </c>
      <c r="AI726" s="1">
        <v>0.0</v>
      </c>
      <c r="AJ726" s="1">
        <v>1.0</v>
      </c>
      <c r="AK726" s="1">
        <v>1.0</v>
      </c>
      <c r="AL726" s="1" t="s">
        <v>14675</v>
      </c>
      <c r="AM726" s="1" t="s">
        <v>14676</v>
      </c>
      <c r="AN726" s="1" t="s">
        <v>14677</v>
      </c>
      <c r="AO726" s="1" t="s">
        <v>14678</v>
      </c>
      <c r="AP726" s="1" t="s">
        <v>14679</v>
      </c>
      <c r="AQ726" s="1" t="s">
        <v>74</v>
      </c>
      <c r="AR726" s="1" t="s">
        <v>14680</v>
      </c>
      <c r="AS726" s="1" t="s">
        <v>14681</v>
      </c>
      <c r="AT726" s="1" t="s">
        <v>1027</v>
      </c>
      <c r="AU726" s="1">
        <v>2024.0</v>
      </c>
      <c r="AV726" s="1">
        <v>13.0</v>
      </c>
      <c r="AW726" s="1">
        <v>1.0</v>
      </c>
      <c r="AX726" s="1" t="s">
        <v>74</v>
      </c>
      <c r="AY726" s="1" t="s">
        <v>74</v>
      </c>
      <c r="AZ726" s="1" t="s">
        <v>74</v>
      </c>
      <c r="BA726" s="1" t="s">
        <v>74</v>
      </c>
      <c r="BB726" s="1">
        <v>51.0</v>
      </c>
      <c r="BC726" s="1">
        <v>69.0</v>
      </c>
      <c r="BD726" s="1" t="s">
        <v>74</v>
      </c>
      <c r="BE726" s="1" t="s">
        <v>14682</v>
      </c>
      <c r="BF726" s="2" t="str">
        <f>HYPERLINK("http://dx.doi.org/10.12989/aer.2024.13.1.051","http://dx.doi.org/10.12989/aer.2024.13.1.051")</f>
        <v>http://dx.doi.org/10.12989/aer.2024.13.1.051</v>
      </c>
      <c r="BG726" s="1" t="s">
        <v>74</v>
      </c>
      <c r="BH726" s="1" t="s">
        <v>74</v>
      </c>
      <c r="BI726" s="1">
        <v>19.0</v>
      </c>
      <c r="BJ726" s="1" t="s">
        <v>14683</v>
      </c>
      <c r="BK726" s="1" t="s">
        <v>172</v>
      </c>
      <c r="BL726" s="1" t="s">
        <v>3052</v>
      </c>
      <c r="BM726" s="1" t="s">
        <v>14684</v>
      </c>
      <c r="BN726" s="1" t="s">
        <v>74</v>
      </c>
      <c r="BO726" s="1" t="s">
        <v>74</v>
      </c>
      <c r="BP726" s="1" t="s">
        <v>74</v>
      </c>
      <c r="BQ726" s="1" t="s">
        <v>74</v>
      </c>
      <c r="BR726" s="1" t="s">
        <v>102</v>
      </c>
      <c r="BS726" s="1" t="s">
        <v>14685</v>
      </c>
      <c r="BT726" s="1" t="str">
        <f>HYPERLINK("https%3A%2F%2Fwww.webofscience.com%2Fwos%2Fwoscc%2Ffull-record%2FWOS:001360898400001","View Full Record in Web of Science")</f>
        <v>View Full Record in Web of Science</v>
      </c>
    </row>
    <row r="727" ht="12.75" customHeight="1">
      <c r="A727" s="1" t="s">
        <v>132</v>
      </c>
      <c r="B727" s="1" t="s">
        <v>14686</v>
      </c>
      <c r="C727" s="1" t="s">
        <v>74</v>
      </c>
      <c r="D727" s="1" t="s">
        <v>74</v>
      </c>
      <c r="E727" s="1" t="s">
        <v>74</v>
      </c>
      <c r="F727" s="1" t="s">
        <v>14687</v>
      </c>
      <c r="G727" s="1" t="s">
        <v>74</v>
      </c>
      <c r="H727" s="1" t="s">
        <v>74</v>
      </c>
      <c r="I727" s="1" t="s">
        <v>14688</v>
      </c>
      <c r="J727" s="1" t="s">
        <v>1794</v>
      </c>
      <c r="K727" s="1" t="s">
        <v>74</v>
      </c>
      <c r="L727" s="1" t="s">
        <v>74</v>
      </c>
      <c r="M727" s="1" t="s">
        <v>80</v>
      </c>
      <c r="N727" s="1" t="s">
        <v>136</v>
      </c>
      <c r="O727" s="1" t="s">
        <v>74</v>
      </c>
      <c r="P727" s="1" t="s">
        <v>74</v>
      </c>
      <c r="Q727" s="1" t="s">
        <v>74</v>
      </c>
      <c r="R727" s="1" t="s">
        <v>74</v>
      </c>
      <c r="S727" s="1" t="s">
        <v>74</v>
      </c>
      <c r="T727" s="1" t="s">
        <v>14689</v>
      </c>
      <c r="U727" s="1" t="s">
        <v>74</v>
      </c>
      <c r="V727" s="1" t="s">
        <v>14690</v>
      </c>
      <c r="W727" s="1" t="s">
        <v>14691</v>
      </c>
      <c r="X727" s="1" t="s">
        <v>14692</v>
      </c>
      <c r="Y727" s="1" t="s">
        <v>14693</v>
      </c>
      <c r="Z727" s="1" t="s">
        <v>14694</v>
      </c>
      <c r="AA727" s="1" t="s">
        <v>14695</v>
      </c>
      <c r="AB727" s="1" t="s">
        <v>14696</v>
      </c>
      <c r="AC727" s="1" t="s">
        <v>14697</v>
      </c>
      <c r="AD727" s="1" t="s">
        <v>14697</v>
      </c>
      <c r="AE727" s="1" t="s">
        <v>14698</v>
      </c>
      <c r="AF727" s="1" t="s">
        <v>74</v>
      </c>
      <c r="AG727" s="1">
        <v>73.0</v>
      </c>
      <c r="AH727" s="1">
        <v>1.0</v>
      </c>
      <c r="AI727" s="1">
        <v>1.0</v>
      </c>
      <c r="AJ727" s="1">
        <v>91.0</v>
      </c>
      <c r="AK727" s="1">
        <v>91.0</v>
      </c>
      <c r="AL727" s="1" t="s">
        <v>1612</v>
      </c>
      <c r="AM727" s="1" t="s">
        <v>1613</v>
      </c>
      <c r="AN727" s="1" t="s">
        <v>1614</v>
      </c>
      <c r="AO727" s="1" t="s">
        <v>1807</v>
      </c>
      <c r="AP727" s="1" t="s">
        <v>1808</v>
      </c>
      <c r="AQ727" s="1" t="s">
        <v>74</v>
      </c>
      <c r="AR727" s="1" t="s">
        <v>1809</v>
      </c>
      <c r="AS727" s="1" t="s">
        <v>1810</v>
      </c>
      <c r="AT727" s="1" t="s">
        <v>74</v>
      </c>
      <c r="AU727" s="1">
        <v>2024.0</v>
      </c>
      <c r="AV727" s="1">
        <v>71.0</v>
      </c>
      <c r="AW727" s="1" t="s">
        <v>74</v>
      </c>
      <c r="AX727" s="1" t="s">
        <v>74</v>
      </c>
      <c r="AY727" s="1" t="s">
        <v>74</v>
      </c>
      <c r="AZ727" s="1" t="s">
        <v>74</v>
      </c>
      <c r="BA727" s="1" t="s">
        <v>74</v>
      </c>
      <c r="BB727" s="1">
        <v>14155.0</v>
      </c>
      <c r="BC727" s="1">
        <v>14167.0</v>
      </c>
      <c r="BD727" s="1" t="s">
        <v>74</v>
      </c>
      <c r="BE727" s="1" t="s">
        <v>14699</v>
      </c>
      <c r="BF727" s="2" t="str">
        <f>HYPERLINK("http://dx.doi.org/10.1109/TEM.2024.3442618","http://dx.doi.org/10.1109/TEM.2024.3442618")</f>
        <v>http://dx.doi.org/10.1109/TEM.2024.3442618</v>
      </c>
      <c r="BG727" s="1" t="s">
        <v>74</v>
      </c>
      <c r="BH727" s="1" t="s">
        <v>74</v>
      </c>
      <c r="BI727" s="1">
        <v>13.0</v>
      </c>
      <c r="BJ727" s="1" t="s">
        <v>1812</v>
      </c>
      <c r="BK727" s="1" t="s">
        <v>783</v>
      </c>
      <c r="BL727" s="1" t="s">
        <v>1813</v>
      </c>
      <c r="BM727" s="1" t="s">
        <v>14700</v>
      </c>
      <c r="BN727" s="1" t="s">
        <v>74</v>
      </c>
      <c r="BO727" s="1" t="s">
        <v>306</v>
      </c>
      <c r="BP727" s="1" t="s">
        <v>74</v>
      </c>
      <c r="BQ727" s="1" t="s">
        <v>74</v>
      </c>
      <c r="BR727" s="1" t="s">
        <v>102</v>
      </c>
      <c r="BS727" s="1" t="s">
        <v>14701</v>
      </c>
      <c r="BT727" s="1" t="str">
        <f>HYPERLINK("https%3A%2F%2Fwww.webofscience.com%2Fwos%2Fwoscc%2Ffull-record%2FWOS:001300990700006","View Full Record in Web of Science")</f>
        <v>View Full Record in Web of Science</v>
      </c>
    </row>
    <row r="728" ht="12.75" customHeight="1">
      <c r="A728" s="1" t="s">
        <v>132</v>
      </c>
      <c r="B728" s="1" t="s">
        <v>14702</v>
      </c>
      <c r="C728" s="1" t="s">
        <v>74</v>
      </c>
      <c r="D728" s="1" t="s">
        <v>74</v>
      </c>
      <c r="E728" s="1" t="s">
        <v>74</v>
      </c>
      <c r="F728" s="1" t="s">
        <v>14703</v>
      </c>
      <c r="G728" s="1" t="s">
        <v>74</v>
      </c>
      <c r="H728" s="1" t="s">
        <v>74</v>
      </c>
      <c r="I728" s="1" t="s">
        <v>14704</v>
      </c>
      <c r="J728" s="1" t="s">
        <v>7242</v>
      </c>
      <c r="K728" s="1" t="s">
        <v>74</v>
      </c>
      <c r="L728" s="1" t="s">
        <v>74</v>
      </c>
      <c r="M728" s="1" t="s">
        <v>80</v>
      </c>
      <c r="N728" s="1" t="s">
        <v>136</v>
      </c>
      <c r="O728" s="1" t="s">
        <v>74</v>
      </c>
      <c r="P728" s="1" t="s">
        <v>74</v>
      </c>
      <c r="Q728" s="1" t="s">
        <v>74</v>
      </c>
      <c r="R728" s="1" t="s">
        <v>74</v>
      </c>
      <c r="S728" s="1" t="s">
        <v>74</v>
      </c>
      <c r="T728" s="1" t="s">
        <v>14705</v>
      </c>
      <c r="U728" s="1" t="s">
        <v>14706</v>
      </c>
      <c r="V728" s="1" t="s">
        <v>14707</v>
      </c>
      <c r="W728" s="1" t="s">
        <v>14708</v>
      </c>
      <c r="X728" s="1" t="s">
        <v>14709</v>
      </c>
      <c r="Y728" s="1" t="s">
        <v>14710</v>
      </c>
      <c r="Z728" s="1" t="s">
        <v>14711</v>
      </c>
      <c r="AA728" s="1" t="s">
        <v>14712</v>
      </c>
      <c r="AB728" s="1" t="s">
        <v>5174</v>
      </c>
      <c r="AC728" s="1" t="s">
        <v>14713</v>
      </c>
      <c r="AD728" s="1" t="s">
        <v>14714</v>
      </c>
      <c r="AE728" s="1" t="s">
        <v>14715</v>
      </c>
      <c r="AF728" s="1" t="s">
        <v>74</v>
      </c>
      <c r="AG728" s="1">
        <v>65.0</v>
      </c>
      <c r="AH728" s="1">
        <v>3.0</v>
      </c>
      <c r="AI728" s="1">
        <v>3.0</v>
      </c>
      <c r="AJ728" s="1">
        <v>44.0</v>
      </c>
      <c r="AK728" s="1">
        <v>122.0</v>
      </c>
      <c r="AL728" s="1" t="s">
        <v>192</v>
      </c>
      <c r="AM728" s="1" t="s">
        <v>193</v>
      </c>
      <c r="AN728" s="1" t="s">
        <v>194</v>
      </c>
      <c r="AO728" s="1" t="s">
        <v>7252</v>
      </c>
      <c r="AP728" s="1" t="s">
        <v>7253</v>
      </c>
      <c r="AQ728" s="1" t="s">
        <v>74</v>
      </c>
      <c r="AR728" s="1" t="s">
        <v>7254</v>
      </c>
      <c r="AS728" s="1" t="s">
        <v>7255</v>
      </c>
      <c r="AT728" s="1" t="s">
        <v>1027</v>
      </c>
      <c r="AU728" s="1">
        <v>2024.0</v>
      </c>
      <c r="AV728" s="1">
        <v>29.0</v>
      </c>
      <c r="AW728" s="1">
        <v>4.0</v>
      </c>
      <c r="AX728" s="1" t="s">
        <v>74</v>
      </c>
      <c r="AY728" s="1" t="s">
        <v>74</v>
      </c>
      <c r="AZ728" s="1" t="s">
        <v>74</v>
      </c>
      <c r="BA728" s="1" t="s">
        <v>74</v>
      </c>
      <c r="BB728" s="1">
        <v>4371.0</v>
      </c>
      <c r="BC728" s="1">
        <v>4400.0</v>
      </c>
      <c r="BD728" s="1" t="s">
        <v>74</v>
      </c>
      <c r="BE728" s="1" t="s">
        <v>14716</v>
      </c>
      <c r="BF728" s="2" t="str">
        <f>HYPERLINK("http://dx.doi.org/10.1007/s10639-023-11961-9","http://dx.doi.org/10.1007/s10639-023-11961-9")</f>
        <v>http://dx.doi.org/10.1007/s10639-023-11961-9</v>
      </c>
      <c r="BG728" s="1" t="s">
        <v>74</v>
      </c>
      <c r="BH728" s="1" t="s">
        <v>3074</v>
      </c>
      <c r="BI728" s="1">
        <v>30.0</v>
      </c>
      <c r="BJ728" s="1" t="s">
        <v>171</v>
      </c>
      <c r="BK728" s="1" t="s">
        <v>203</v>
      </c>
      <c r="BL728" s="1" t="s">
        <v>171</v>
      </c>
      <c r="BM728" s="1" t="s">
        <v>14717</v>
      </c>
      <c r="BN728" s="1" t="s">
        <v>74</v>
      </c>
      <c r="BO728" s="1" t="s">
        <v>74</v>
      </c>
      <c r="BP728" s="1" t="s">
        <v>74</v>
      </c>
      <c r="BQ728" s="1" t="s">
        <v>74</v>
      </c>
      <c r="BR728" s="1" t="s">
        <v>102</v>
      </c>
      <c r="BS728" s="1" t="s">
        <v>14718</v>
      </c>
      <c r="BT728" s="1" t="str">
        <f>HYPERLINK("https%3A%2F%2Fwww.webofscience.com%2Fwos%2Fwoscc%2Ffull-record%2FWOS:001022448200002","View Full Record in Web of Science")</f>
        <v>View Full Record in Web of Science</v>
      </c>
    </row>
    <row r="729" ht="12.75" customHeight="1">
      <c r="A729" s="1" t="s">
        <v>132</v>
      </c>
      <c r="B729" s="1" t="s">
        <v>14719</v>
      </c>
      <c r="C729" s="1" t="s">
        <v>74</v>
      </c>
      <c r="D729" s="1" t="s">
        <v>74</v>
      </c>
      <c r="E729" s="1" t="s">
        <v>74</v>
      </c>
      <c r="F729" s="1" t="s">
        <v>14720</v>
      </c>
      <c r="G729" s="1" t="s">
        <v>74</v>
      </c>
      <c r="H729" s="1" t="s">
        <v>74</v>
      </c>
      <c r="I729" s="1" t="s">
        <v>14721</v>
      </c>
      <c r="J729" s="1" t="s">
        <v>14722</v>
      </c>
      <c r="K729" s="1" t="s">
        <v>74</v>
      </c>
      <c r="L729" s="1" t="s">
        <v>74</v>
      </c>
      <c r="M729" s="1" t="s">
        <v>80</v>
      </c>
      <c r="N729" s="1" t="s">
        <v>1010</v>
      </c>
      <c r="O729" s="1" t="s">
        <v>74</v>
      </c>
      <c r="P729" s="1" t="s">
        <v>74</v>
      </c>
      <c r="Q729" s="1" t="s">
        <v>74</v>
      </c>
      <c r="R729" s="1" t="s">
        <v>74</v>
      </c>
      <c r="S729" s="1" t="s">
        <v>74</v>
      </c>
      <c r="T729" s="1" t="s">
        <v>14723</v>
      </c>
      <c r="U729" s="1" t="s">
        <v>14724</v>
      </c>
      <c r="V729" s="1" t="s">
        <v>14725</v>
      </c>
      <c r="W729" s="1" t="s">
        <v>14726</v>
      </c>
      <c r="X729" s="1" t="s">
        <v>14727</v>
      </c>
      <c r="Y729" s="1" t="s">
        <v>14728</v>
      </c>
      <c r="Z729" s="1" t="s">
        <v>14729</v>
      </c>
      <c r="AA729" s="1" t="s">
        <v>14730</v>
      </c>
      <c r="AB729" s="1" t="s">
        <v>14731</v>
      </c>
      <c r="AC729" s="1" t="s">
        <v>14732</v>
      </c>
      <c r="AD729" s="1" t="s">
        <v>14733</v>
      </c>
      <c r="AE729" s="1" t="s">
        <v>14734</v>
      </c>
      <c r="AF729" s="1" t="s">
        <v>74</v>
      </c>
      <c r="AG729" s="1">
        <v>127.0</v>
      </c>
      <c r="AH729" s="1">
        <v>93.0</v>
      </c>
      <c r="AI729" s="1">
        <v>96.0</v>
      </c>
      <c r="AJ729" s="1">
        <v>106.0</v>
      </c>
      <c r="AK729" s="1">
        <v>339.0</v>
      </c>
      <c r="AL729" s="1" t="s">
        <v>1089</v>
      </c>
      <c r="AM729" s="1" t="s">
        <v>1090</v>
      </c>
      <c r="AN729" s="1" t="s">
        <v>1091</v>
      </c>
      <c r="AO729" s="1" t="s">
        <v>14735</v>
      </c>
      <c r="AP729" s="1" t="s">
        <v>14736</v>
      </c>
      <c r="AQ729" s="1" t="s">
        <v>74</v>
      </c>
      <c r="AR729" s="1" t="s">
        <v>14737</v>
      </c>
      <c r="AS729" s="1" t="s">
        <v>14738</v>
      </c>
      <c r="AT729" s="1" t="s">
        <v>1027</v>
      </c>
      <c r="AU729" s="1">
        <v>2022.0</v>
      </c>
      <c r="AV729" s="1">
        <v>127.0</v>
      </c>
      <c r="AW729" s="1" t="s">
        <v>74</v>
      </c>
      <c r="AX729" s="1" t="s">
        <v>74</v>
      </c>
      <c r="AY729" s="1" t="s">
        <v>74</v>
      </c>
      <c r="AZ729" s="1" t="s">
        <v>74</v>
      </c>
      <c r="BA729" s="1" t="s">
        <v>74</v>
      </c>
      <c r="BB729" s="1" t="s">
        <v>74</v>
      </c>
      <c r="BC729" s="1" t="s">
        <v>74</v>
      </c>
      <c r="BD729" s="1">
        <v>104153.0</v>
      </c>
      <c r="BE729" s="1" t="s">
        <v>14739</v>
      </c>
      <c r="BF729" s="2" t="str">
        <f>HYPERLINK("http://dx.doi.org/10.1016/j.ijnurstu.2021.104153","http://dx.doi.org/10.1016/j.ijnurstu.2021.104153")</f>
        <v>http://dx.doi.org/10.1016/j.ijnurstu.2021.104153</v>
      </c>
      <c r="BG729" s="1" t="s">
        <v>74</v>
      </c>
      <c r="BH729" s="1" t="s">
        <v>8249</v>
      </c>
      <c r="BI729" s="1">
        <v>20.0</v>
      </c>
      <c r="BJ729" s="1" t="s">
        <v>1578</v>
      </c>
      <c r="BK729" s="1" t="s">
        <v>783</v>
      </c>
      <c r="BL729" s="1" t="s">
        <v>1578</v>
      </c>
      <c r="BM729" s="1" t="s">
        <v>14740</v>
      </c>
      <c r="BN729" s="1">
        <v>3.509287E7</v>
      </c>
      <c r="BO729" s="1" t="s">
        <v>306</v>
      </c>
      <c r="BP729" s="1" t="s">
        <v>74</v>
      </c>
      <c r="BQ729" s="1" t="s">
        <v>74</v>
      </c>
      <c r="BR729" s="1" t="s">
        <v>102</v>
      </c>
      <c r="BS729" s="1" t="s">
        <v>14741</v>
      </c>
      <c r="BT729" s="1" t="str">
        <f>HYPERLINK("https%3A%2F%2Fwww.webofscience.com%2Fwos%2Fwoscc%2Ffull-record%2FWOS:000799095600009","View Full Record in Web of Science")</f>
        <v>View Full Record in Web of Science</v>
      </c>
    </row>
    <row r="730" ht="12.75" customHeight="1">
      <c r="A730" s="1" t="s">
        <v>132</v>
      </c>
      <c r="B730" s="1" t="s">
        <v>14742</v>
      </c>
      <c r="C730" s="1" t="s">
        <v>74</v>
      </c>
      <c r="D730" s="1" t="s">
        <v>74</v>
      </c>
      <c r="E730" s="1" t="s">
        <v>74</v>
      </c>
      <c r="F730" s="1" t="s">
        <v>14743</v>
      </c>
      <c r="G730" s="1" t="s">
        <v>74</v>
      </c>
      <c r="H730" s="1" t="s">
        <v>74</v>
      </c>
      <c r="I730" s="1" t="s">
        <v>14744</v>
      </c>
      <c r="J730" s="1" t="s">
        <v>14745</v>
      </c>
      <c r="K730" s="1" t="s">
        <v>74</v>
      </c>
      <c r="L730" s="1" t="s">
        <v>74</v>
      </c>
      <c r="M730" s="1" t="s">
        <v>80</v>
      </c>
      <c r="N730" s="1" t="s">
        <v>136</v>
      </c>
      <c r="O730" s="1" t="s">
        <v>74</v>
      </c>
      <c r="P730" s="1" t="s">
        <v>74</v>
      </c>
      <c r="Q730" s="1" t="s">
        <v>74</v>
      </c>
      <c r="R730" s="1" t="s">
        <v>74</v>
      </c>
      <c r="S730" s="1" t="s">
        <v>74</v>
      </c>
      <c r="T730" s="1" t="s">
        <v>14746</v>
      </c>
      <c r="U730" s="1" t="s">
        <v>14747</v>
      </c>
      <c r="V730" s="1" t="s">
        <v>14748</v>
      </c>
      <c r="W730" s="1" t="s">
        <v>14749</v>
      </c>
      <c r="X730" s="1" t="s">
        <v>14750</v>
      </c>
      <c r="Y730" s="1" t="s">
        <v>14751</v>
      </c>
      <c r="Z730" s="1" t="s">
        <v>14752</v>
      </c>
      <c r="AA730" s="1" t="s">
        <v>14753</v>
      </c>
      <c r="AB730" s="1" t="s">
        <v>74</v>
      </c>
      <c r="AC730" s="1" t="s">
        <v>74</v>
      </c>
      <c r="AD730" s="1" t="s">
        <v>74</v>
      </c>
      <c r="AE730" s="1" t="s">
        <v>74</v>
      </c>
      <c r="AF730" s="1" t="s">
        <v>74</v>
      </c>
      <c r="AG730" s="1">
        <v>59.0</v>
      </c>
      <c r="AH730" s="1">
        <v>17.0</v>
      </c>
      <c r="AI730" s="1">
        <v>23.0</v>
      </c>
      <c r="AJ730" s="1">
        <v>6.0</v>
      </c>
      <c r="AK730" s="1">
        <v>58.0</v>
      </c>
      <c r="AL730" s="1" t="s">
        <v>3551</v>
      </c>
      <c r="AM730" s="1" t="s">
        <v>193</v>
      </c>
      <c r="AN730" s="1" t="s">
        <v>3552</v>
      </c>
      <c r="AO730" s="1" t="s">
        <v>14754</v>
      </c>
      <c r="AP730" s="1" t="s">
        <v>14755</v>
      </c>
      <c r="AQ730" s="1" t="s">
        <v>74</v>
      </c>
      <c r="AR730" s="1" t="s">
        <v>14756</v>
      </c>
      <c r="AS730" s="1" t="s">
        <v>14757</v>
      </c>
      <c r="AT730" s="1" t="s">
        <v>199</v>
      </c>
      <c r="AU730" s="1">
        <v>2020.0</v>
      </c>
      <c r="AV730" s="1">
        <v>114.0</v>
      </c>
      <c r="AW730" s="1">
        <v>5.0</v>
      </c>
      <c r="AX730" s="1" t="s">
        <v>74</v>
      </c>
      <c r="AY730" s="1" t="s">
        <v>74</v>
      </c>
      <c r="AZ730" s="1" t="s">
        <v>74</v>
      </c>
      <c r="BA730" s="1" t="s">
        <v>74</v>
      </c>
      <c r="BB730" s="1">
        <v>908.0</v>
      </c>
      <c r="BC730" s="1">
        <v>913.0</v>
      </c>
      <c r="BD730" s="1" t="s">
        <v>74</v>
      </c>
      <c r="BE730" s="1" t="s">
        <v>14758</v>
      </c>
      <c r="BF730" s="2" t="str">
        <f>HYPERLINK("http://dx.doi.org/10.1016/j.fertnstert.2020.09.156","http://dx.doi.org/10.1016/j.fertnstert.2020.09.156")</f>
        <v>http://dx.doi.org/10.1016/j.fertnstert.2020.09.156</v>
      </c>
      <c r="BG730" s="1" t="s">
        <v>74</v>
      </c>
      <c r="BH730" s="1" t="s">
        <v>74</v>
      </c>
      <c r="BI730" s="1">
        <v>6.0</v>
      </c>
      <c r="BJ730" s="1" t="s">
        <v>14759</v>
      </c>
      <c r="BK730" s="1" t="s">
        <v>149</v>
      </c>
      <c r="BL730" s="1" t="s">
        <v>14759</v>
      </c>
      <c r="BM730" s="1" t="s">
        <v>14760</v>
      </c>
      <c r="BN730" s="1">
        <v>3.3160512E7</v>
      </c>
      <c r="BO730" s="1" t="s">
        <v>632</v>
      </c>
      <c r="BP730" s="1" t="s">
        <v>74</v>
      </c>
      <c r="BQ730" s="1" t="s">
        <v>74</v>
      </c>
      <c r="BR730" s="1" t="s">
        <v>102</v>
      </c>
      <c r="BS730" s="1" t="s">
        <v>14761</v>
      </c>
      <c r="BT730" s="1" t="str">
        <f>HYPERLINK("https%3A%2F%2Fwww.webofscience.com%2Fwos%2Fwoscc%2Ffull-record%2FWOS:000588282900002","View Full Record in Web of Science")</f>
        <v>View Full Record in Web of Science</v>
      </c>
    </row>
    <row r="731" ht="12.75" customHeight="1">
      <c r="A731" s="1" t="s">
        <v>132</v>
      </c>
      <c r="B731" s="1" t="s">
        <v>14762</v>
      </c>
      <c r="C731" s="1" t="s">
        <v>74</v>
      </c>
      <c r="D731" s="1" t="s">
        <v>74</v>
      </c>
      <c r="E731" s="1" t="s">
        <v>74</v>
      </c>
      <c r="F731" s="1" t="s">
        <v>14763</v>
      </c>
      <c r="G731" s="1" t="s">
        <v>74</v>
      </c>
      <c r="H731" s="1" t="s">
        <v>74</v>
      </c>
      <c r="I731" s="1" t="s">
        <v>14764</v>
      </c>
      <c r="J731" s="1" t="s">
        <v>14765</v>
      </c>
      <c r="K731" s="1" t="s">
        <v>74</v>
      </c>
      <c r="L731" s="1" t="s">
        <v>74</v>
      </c>
      <c r="M731" s="1" t="s">
        <v>80</v>
      </c>
      <c r="N731" s="1" t="s">
        <v>136</v>
      </c>
      <c r="O731" s="1" t="s">
        <v>74</v>
      </c>
      <c r="P731" s="1" t="s">
        <v>74</v>
      </c>
      <c r="Q731" s="1" t="s">
        <v>74</v>
      </c>
      <c r="R731" s="1" t="s">
        <v>74</v>
      </c>
      <c r="S731" s="1" t="s">
        <v>74</v>
      </c>
      <c r="T731" s="1" t="s">
        <v>14766</v>
      </c>
      <c r="U731" s="1" t="s">
        <v>14767</v>
      </c>
      <c r="V731" s="1" t="s">
        <v>14768</v>
      </c>
      <c r="W731" s="1" t="s">
        <v>14769</v>
      </c>
      <c r="X731" s="1" t="s">
        <v>14770</v>
      </c>
      <c r="Y731" s="1" t="s">
        <v>14771</v>
      </c>
      <c r="Z731" s="1" t="s">
        <v>14772</v>
      </c>
      <c r="AA731" s="1" t="s">
        <v>14773</v>
      </c>
      <c r="AB731" s="1" t="s">
        <v>14774</v>
      </c>
      <c r="AC731" s="1" t="s">
        <v>74</v>
      </c>
      <c r="AD731" s="1" t="s">
        <v>74</v>
      </c>
      <c r="AE731" s="1" t="s">
        <v>74</v>
      </c>
      <c r="AF731" s="1" t="s">
        <v>74</v>
      </c>
      <c r="AG731" s="1">
        <v>21.0</v>
      </c>
      <c r="AH731" s="1">
        <v>94.0</v>
      </c>
      <c r="AI731" s="1">
        <v>95.0</v>
      </c>
      <c r="AJ731" s="1">
        <v>29.0</v>
      </c>
      <c r="AK731" s="1">
        <v>123.0</v>
      </c>
      <c r="AL731" s="1" t="s">
        <v>321</v>
      </c>
      <c r="AM731" s="1" t="s">
        <v>322</v>
      </c>
      <c r="AN731" s="1" t="s">
        <v>323</v>
      </c>
      <c r="AO731" s="1" t="s">
        <v>14775</v>
      </c>
      <c r="AP731" s="1" t="s">
        <v>14776</v>
      </c>
      <c r="AQ731" s="1" t="s">
        <v>74</v>
      </c>
      <c r="AR731" s="1" t="s">
        <v>14777</v>
      </c>
      <c r="AS731" s="1" t="s">
        <v>14778</v>
      </c>
      <c r="AT731" s="1" t="s">
        <v>2469</v>
      </c>
      <c r="AU731" s="1">
        <v>2021.0</v>
      </c>
      <c r="AV731" s="1">
        <v>47.0</v>
      </c>
      <c r="AW731" s="1" t="s">
        <v>74</v>
      </c>
      <c r="AX731" s="1" t="s">
        <v>74</v>
      </c>
      <c r="AY731" s="1" t="s">
        <v>74</v>
      </c>
      <c r="AZ731" s="1" t="s">
        <v>74</v>
      </c>
      <c r="BA731" s="1" t="s">
        <v>74</v>
      </c>
      <c r="BB731" s="1" t="s">
        <v>74</v>
      </c>
      <c r="BC731" s="1" t="s">
        <v>74</v>
      </c>
      <c r="BD731" s="1">
        <v>101358.0</v>
      </c>
      <c r="BE731" s="1" t="s">
        <v>14779</v>
      </c>
      <c r="BF731" s="2" t="str">
        <f>HYPERLINK("http://dx.doi.org/10.1016/j.seta.2021.101358","http://dx.doi.org/10.1016/j.seta.2021.101358")</f>
        <v>http://dx.doi.org/10.1016/j.seta.2021.101358</v>
      </c>
      <c r="BG731" s="1" t="s">
        <v>74</v>
      </c>
      <c r="BH731" s="1" t="s">
        <v>3899</v>
      </c>
      <c r="BI731" s="1">
        <v>9.0</v>
      </c>
      <c r="BJ731" s="1" t="s">
        <v>12126</v>
      </c>
      <c r="BK731" s="1" t="s">
        <v>149</v>
      </c>
      <c r="BL731" s="1" t="s">
        <v>12127</v>
      </c>
      <c r="BM731" s="1" t="s">
        <v>14780</v>
      </c>
      <c r="BN731" s="1" t="s">
        <v>74</v>
      </c>
      <c r="BO731" s="1" t="s">
        <v>74</v>
      </c>
      <c r="BP731" s="1" t="s">
        <v>74</v>
      </c>
      <c r="BQ731" s="1" t="s">
        <v>74</v>
      </c>
      <c r="BR731" s="1" t="s">
        <v>102</v>
      </c>
      <c r="BS731" s="1" t="s">
        <v>14781</v>
      </c>
      <c r="BT731" s="1" t="str">
        <f>HYPERLINK("https%3A%2F%2Fwww.webofscience.com%2Fwos%2Fwoscc%2Ffull-record%2FWOS:000723708800005","View Full Record in Web of Science")</f>
        <v>View Full Record in Web of Science</v>
      </c>
    </row>
    <row r="732" ht="12.75" customHeight="1">
      <c r="A732" s="1" t="s">
        <v>132</v>
      </c>
      <c r="B732" s="1" t="s">
        <v>14782</v>
      </c>
      <c r="C732" s="1" t="s">
        <v>74</v>
      </c>
      <c r="D732" s="1" t="s">
        <v>74</v>
      </c>
      <c r="E732" s="1" t="s">
        <v>74</v>
      </c>
      <c r="F732" s="1" t="s">
        <v>14783</v>
      </c>
      <c r="G732" s="1" t="s">
        <v>74</v>
      </c>
      <c r="H732" s="1" t="s">
        <v>74</v>
      </c>
      <c r="I732" s="1" t="s">
        <v>14784</v>
      </c>
      <c r="J732" s="1" t="s">
        <v>14785</v>
      </c>
      <c r="K732" s="1" t="s">
        <v>74</v>
      </c>
      <c r="L732" s="1" t="s">
        <v>74</v>
      </c>
      <c r="M732" s="1" t="s">
        <v>80</v>
      </c>
      <c r="N732" s="1" t="s">
        <v>136</v>
      </c>
      <c r="O732" s="1" t="s">
        <v>74</v>
      </c>
      <c r="P732" s="1" t="s">
        <v>74</v>
      </c>
      <c r="Q732" s="1" t="s">
        <v>74</v>
      </c>
      <c r="R732" s="1" t="s">
        <v>74</v>
      </c>
      <c r="S732" s="1" t="s">
        <v>74</v>
      </c>
      <c r="T732" s="1" t="s">
        <v>14786</v>
      </c>
      <c r="U732" s="1" t="s">
        <v>14787</v>
      </c>
      <c r="V732" s="1" t="s">
        <v>14788</v>
      </c>
      <c r="W732" s="1" t="s">
        <v>14789</v>
      </c>
      <c r="X732" s="1" t="s">
        <v>14790</v>
      </c>
      <c r="Y732" s="1" t="s">
        <v>14791</v>
      </c>
      <c r="Z732" s="1" t="s">
        <v>14792</v>
      </c>
      <c r="AA732" s="1" t="s">
        <v>14793</v>
      </c>
      <c r="AB732" s="1" t="s">
        <v>14794</v>
      </c>
      <c r="AC732" s="1" t="s">
        <v>74</v>
      </c>
      <c r="AD732" s="1" t="s">
        <v>74</v>
      </c>
      <c r="AE732" s="1" t="s">
        <v>74</v>
      </c>
      <c r="AF732" s="1" t="s">
        <v>74</v>
      </c>
      <c r="AG732" s="1">
        <v>90.0</v>
      </c>
      <c r="AH732" s="1">
        <v>32.0</v>
      </c>
      <c r="AI732" s="1">
        <v>34.0</v>
      </c>
      <c r="AJ732" s="1">
        <v>92.0</v>
      </c>
      <c r="AK732" s="1">
        <v>314.0</v>
      </c>
      <c r="AL732" s="1" t="s">
        <v>12297</v>
      </c>
      <c r="AM732" s="1" t="s">
        <v>1021</v>
      </c>
      <c r="AN732" s="1" t="s">
        <v>12298</v>
      </c>
      <c r="AO732" s="1" t="s">
        <v>14795</v>
      </c>
      <c r="AP732" s="1" t="s">
        <v>14796</v>
      </c>
      <c r="AQ732" s="1" t="s">
        <v>74</v>
      </c>
      <c r="AR732" s="1" t="s">
        <v>14797</v>
      </c>
      <c r="AS732" s="1" t="s">
        <v>14798</v>
      </c>
      <c r="AT732" s="1" t="s">
        <v>5759</v>
      </c>
      <c r="AU732" s="1">
        <v>2022.0</v>
      </c>
      <c r="AV732" s="1">
        <v>36.0</v>
      </c>
      <c r="AW732" s="1">
        <v>1.0</v>
      </c>
      <c r="AX732" s="1" t="s">
        <v>74</v>
      </c>
      <c r="AY732" s="1" t="s">
        <v>74</v>
      </c>
      <c r="AZ732" s="1" t="s">
        <v>74</v>
      </c>
      <c r="BA732" s="1" t="s">
        <v>74</v>
      </c>
      <c r="BB732" s="1" t="s">
        <v>74</v>
      </c>
      <c r="BC732" s="1" t="s">
        <v>74</v>
      </c>
      <c r="BD732" s="1">
        <v>2145631.0</v>
      </c>
      <c r="BE732" s="1" t="s">
        <v>14799</v>
      </c>
      <c r="BF732" s="2" t="str">
        <f>HYPERLINK("http://dx.doi.org/10.1080/08839514.2022.2145631","http://dx.doi.org/10.1080/08839514.2022.2145631")</f>
        <v>http://dx.doi.org/10.1080/08839514.2022.2145631</v>
      </c>
      <c r="BG732" s="1" t="s">
        <v>74</v>
      </c>
      <c r="BH732" s="1" t="s">
        <v>74</v>
      </c>
      <c r="BI732" s="1">
        <v>28.0</v>
      </c>
      <c r="BJ732" s="1" t="s">
        <v>9419</v>
      </c>
      <c r="BK732" s="1" t="s">
        <v>149</v>
      </c>
      <c r="BL732" s="1" t="s">
        <v>1325</v>
      </c>
      <c r="BM732" s="1" t="s">
        <v>14800</v>
      </c>
      <c r="BN732" s="1" t="s">
        <v>74</v>
      </c>
      <c r="BO732" s="1" t="s">
        <v>284</v>
      </c>
      <c r="BP732" s="1" t="s">
        <v>74</v>
      </c>
      <c r="BQ732" s="1" t="s">
        <v>74</v>
      </c>
      <c r="BR732" s="1" t="s">
        <v>102</v>
      </c>
      <c r="BS732" s="1" t="s">
        <v>14801</v>
      </c>
      <c r="BT732" s="1" t="str">
        <f>HYPERLINK("https%3A%2F%2Fwww.webofscience.com%2Fwos%2Fwoscc%2Ffull-record%2FWOS:000889889300001","View Full Record in Web of Science")</f>
        <v>View Full Record in Web of Science</v>
      </c>
    </row>
    <row r="733" ht="12.75" customHeight="1">
      <c r="A733" s="1" t="s">
        <v>132</v>
      </c>
      <c r="B733" s="1" t="s">
        <v>14802</v>
      </c>
      <c r="C733" s="1" t="s">
        <v>74</v>
      </c>
      <c r="D733" s="1" t="s">
        <v>74</v>
      </c>
      <c r="E733" s="1" t="s">
        <v>74</v>
      </c>
      <c r="F733" s="1" t="s">
        <v>14803</v>
      </c>
      <c r="G733" s="1" t="s">
        <v>74</v>
      </c>
      <c r="H733" s="1" t="s">
        <v>74</v>
      </c>
      <c r="I733" s="1" t="s">
        <v>14804</v>
      </c>
      <c r="J733" s="1" t="s">
        <v>5829</v>
      </c>
      <c r="K733" s="1" t="s">
        <v>74</v>
      </c>
      <c r="L733" s="1" t="s">
        <v>74</v>
      </c>
      <c r="M733" s="1" t="s">
        <v>80</v>
      </c>
      <c r="N733" s="1" t="s">
        <v>136</v>
      </c>
      <c r="O733" s="1" t="s">
        <v>74</v>
      </c>
      <c r="P733" s="1" t="s">
        <v>74</v>
      </c>
      <c r="Q733" s="1" t="s">
        <v>74</v>
      </c>
      <c r="R733" s="1" t="s">
        <v>74</v>
      </c>
      <c r="S733" s="1" t="s">
        <v>74</v>
      </c>
      <c r="T733" s="1" t="s">
        <v>14805</v>
      </c>
      <c r="U733" s="1" t="s">
        <v>14806</v>
      </c>
      <c r="V733" s="1" t="s">
        <v>14807</v>
      </c>
      <c r="W733" s="1" t="s">
        <v>14808</v>
      </c>
      <c r="X733" s="1" t="s">
        <v>14809</v>
      </c>
      <c r="Y733" s="1" t="s">
        <v>14810</v>
      </c>
      <c r="Z733" s="1" t="s">
        <v>14811</v>
      </c>
      <c r="AA733" s="1" t="s">
        <v>14812</v>
      </c>
      <c r="AB733" s="1" t="s">
        <v>14813</v>
      </c>
      <c r="AC733" s="1" t="s">
        <v>74</v>
      </c>
      <c r="AD733" s="1" t="s">
        <v>74</v>
      </c>
      <c r="AE733" s="1" t="s">
        <v>74</v>
      </c>
      <c r="AF733" s="1" t="s">
        <v>74</v>
      </c>
      <c r="AG733" s="1">
        <v>68.0</v>
      </c>
      <c r="AH733" s="1">
        <v>27.0</v>
      </c>
      <c r="AI733" s="1">
        <v>29.0</v>
      </c>
      <c r="AJ733" s="1">
        <v>54.0</v>
      </c>
      <c r="AK733" s="1">
        <v>264.0</v>
      </c>
      <c r="AL733" s="1" t="s">
        <v>595</v>
      </c>
      <c r="AM733" s="1" t="s">
        <v>467</v>
      </c>
      <c r="AN733" s="1" t="s">
        <v>596</v>
      </c>
      <c r="AO733" s="1" t="s">
        <v>5838</v>
      </c>
      <c r="AP733" s="1" t="s">
        <v>5839</v>
      </c>
      <c r="AQ733" s="1" t="s">
        <v>74</v>
      </c>
      <c r="AR733" s="1" t="s">
        <v>5840</v>
      </c>
      <c r="AS733" s="1" t="s">
        <v>5841</v>
      </c>
      <c r="AT733" s="1" t="s">
        <v>4547</v>
      </c>
      <c r="AU733" s="1">
        <v>2022.0</v>
      </c>
      <c r="AV733" s="1">
        <v>42.0</v>
      </c>
      <c r="AW733" s="1" t="s">
        <v>14814</v>
      </c>
      <c r="AX733" s="1" t="s">
        <v>74</v>
      </c>
      <c r="AY733" s="1" t="s">
        <v>74</v>
      </c>
      <c r="AZ733" s="1" t="s">
        <v>74</v>
      </c>
      <c r="BA733" s="1" t="s">
        <v>74</v>
      </c>
      <c r="BB733" s="1">
        <v>1054.0</v>
      </c>
      <c r="BC733" s="1">
        <v>1074.0</v>
      </c>
      <c r="BD733" s="1" t="s">
        <v>74</v>
      </c>
      <c r="BE733" s="1" t="s">
        <v>14815</v>
      </c>
      <c r="BF733" s="2" t="str">
        <f>HYPERLINK("http://dx.doi.org/10.1080/02642069.2022.2092615","http://dx.doi.org/10.1080/02642069.2022.2092615")</f>
        <v>http://dx.doi.org/10.1080/02642069.2022.2092615</v>
      </c>
      <c r="BG733" s="1" t="s">
        <v>74</v>
      </c>
      <c r="BH733" s="1" t="s">
        <v>476</v>
      </c>
      <c r="BI733" s="1">
        <v>21.0</v>
      </c>
      <c r="BJ733" s="1" t="s">
        <v>1776</v>
      </c>
      <c r="BK733" s="1" t="s">
        <v>203</v>
      </c>
      <c r="BL733" s="1" t="s">
        <v>204</v>
      </c>
      <c r="BM733" s="1" t="s">
        <v>14816</v>
      </c>
      <c r="BN733" s="1" t="s">
        <v>74</v>
      </c>
      <c r="BO733" s="1" t="s">
        <v>74</v>
      </c>
      <c r="BP733" s="1" t="s">
        <v>74</v>
      </c>
      <c r="BQ733" s="1" t="s">
        <v>74</v>
      </c>
      <c r="BR733" s="1" t="s">
        <v>102</v>
      </c>
      <c r="BS733" s="1" t="s">
        <v>14817</v>
      </c>
      <c r="BT733" s="1" t="str">
        <f>HYPERLINK("https%3A%2F%2Fwww.webofscience.com%2Fwos%2Fwoscc%2Ffull-record%2FWOS:000819759700001","View Full Record in Web of Science")</f>
        <v>View Full Record in Web of Science</v>
      </c>
    </row>
    <row r="734" ht="12.75" customHeight="1">
      <c r="A734" s="1" t="s">
        <v>132</v>
      </c>
      <c r="B734" s="1" t="s">
        <v>14818</v>
      </c>
      <c r="C734" s="1" t="s">
        <v>74</v>
      </c>
      <c r="D734" s="1" t="s">
        <v>74</v>
      </c>
      <c r="E734" s="1" t="s">
        <v>74</v>
      </c>
      <c r="F734" s="1" t="s">
        <v>14819</v>
      </c>
      <c r="G734" s="1" t="s">
        <v>74</v>
      </c>
      <c r="H734" s="1" t="s">
        <v>74</v>
      </c>
      <c r="I734" s="1" t="s">
        <v>14820</v>
      </c>
      <c r="J734" s="1" t="s">
        <v>14583</v>
      </c>
      <c r="K734" s="1" t="s">
        <v>74</v>
      </c>
      <c r="L734" s="1" t="s">
        <v>74</v>
      </c>
      <c r="M734" s="1" t="s">
        <v>80</v>
      </c>
      <c r="N734" s="1" t="s">
        <v>136</v>
      </c>
      <c r="O734" s="1" t="s">
        <v>74</v>
      </c>
      <c r="P734" s="1" t="s">
        <v>74</v>
      </c>
      <c r="Q734" s="1" t="s">
        <v>74</v>
      </c>
      <c r="R734" s="1" t="s">
        <v>74</v>
      </c>
      <c r="S734" s="1" t="s">
        <v>74</v>
      </c>
      <c r="T734" s="1" t="s">
        <v>14821</v>
      </c>
      <c r="U734" s="1" t="s">
        <v>14822</v>
      </c>
      <c r="V734" s="1" t="s">
        <v>14823</v>
      </c>
      <c r="W734" s="1" t="s">
        <v>14824</v>
      </c>
      <c r="X734" s="1" t="s">
        <v>14825</v>
      </c>
      <c r="Y734" s="1" t="s">
        <v>14826</v>
      </c>
      <c r="Z734" s="1" t="s">
        <v>14827</v>
      </c>
      <c r="AA734" s="1" t="s">
        <v>74</v>
      </c>
      <c r="AB734" s="1" t="s">
        <v>74</v>
      </c>
      <c r="AC734" s="1" t="s">
        <v>14828</v>
      </c>
      <c r="AD734" s="1" t="s">
        <v>14829</v>
      </c>
      <c r="AE734" s="1" t="s">
        <v>14830</v>
      </c>
      <c r="AF734" s="1" t="s">
        <v>74</v>
      </c>
      <c r="AG734" s="1">
        <v>29.0</v>
      </c>
      <c r="AH734" s="1">
        <v>4.0</v>
      </c>
      <c r="AI734" s="1">
        <v>4.0</v>
      </c>
      <c r="AJ734" s="1">
        <v>21.0</v>
      </c>
      <c r="AK734" s="1">
        <v>131.0</v>
      </c>
      <c r="AL734" s="1" t="s">
        <v>5999</v>
      </c>
      <c r="AM734" s="1" t="s">
        <v>322</v>
      </c>
      <c r="AN734" s="1" t="s">
        <v>6000</v>
      </c>
      <c r="AO734" s="1" t="s">
        <v>14591</v>
      </c>
      <c r="AP734" s="1" t="s">
        <v>14592</v>
      </c>
      <c r="AQ734" s="1" t="s">
        <v>74</v>
      </c>
      <c r="AR734" s="1" t="s">
        <v>14593</v>
      </c>
      <c r="AS734" s="1" t="s">
        <v>14594</v>
      </c>
      <c r="AT734" s="1" t="s">
        <v>74</v>
      </c>
      <c r="AU734" s="1">
        <v>2021.0</v>
      </c>
      <c r="AV734" s="1">
        <v>40.0</v>
      </c>
      <c r="AW734" s="1">
        <v>4.0</v>
      </c>
      <c r="AX734" s="1" t="s">
        <v>74</v>
      </c>
      <c r="AY734" s="1" t="s">
        <v>74</v>
      </c>
      <c r="AZ734" s="1" t="s">
        <v>74</v>
      </c>
      <c r="BA734" s="1" t="s">
        <v>74</v>
      </c>
      <c r="BB734" s="1">
        <v>6629.0</v>
      </c>
      <c r="BC734" s="1">
        <v>6640.0</v>
      </c>
      <c r="BD734" s="1" t="s">
        <v>74</v>
      </c>
      <c r="BE734" s="1" t="s">
        <v>14831</v>
      </c>
      <c r="BF734" s="2" t="str">
        <f>HYPERLINK("http://dx.doi.org/10.3233/JIFS-189499","http://dx.doi.org/10.3233/JIFS-189499")</f>
        <v>http://dx.doi.org/10.3233/JIFS-189499</v>
      </c>
      <c r="BG734" s="1" t="s">
        <v>74</v>
      </c>
      <c r="BH734" s="1" t="s">
        <v>74</v>
      </c>
      <c r="BI734" s="1">
        <v>12.0</v>
      </c>
      <c r="BJ734" s="1" t="s">
        <v>1214</v>
      </c>
      <c r="BK734" s="1" t="s">
        <v>149</v>
      </c>
      <c r="BL734" s="1" t="s">
        <v>232</v>
      </c>
      <c r="BM734" s="1" t="s">
        <v>14832</v>
      </c>
      <c r="BN734" s="1" t="s">
        <v>74</v>
      </c>
      <c r="BO734" s="1" t="s">
        <v>74</v>
      </c>
      <c r="BP734" s="1" t="s">
        <v>74</v>
      </c>
      <c r="BQ734" s="1" t="s">
        <v>74</v>
      </c>
      <c r="BR734" s="1" t="s">
        <v>102</v>
      </c>
      <c r="BS734" s="1" t="s">
        <v>14833</v>
      </c>
      <c r="BT734" s="1" t="str">
        <f>HYPERLINK("https%3A%2F%2Fwww.webofscience.com%2Fwos%2Fwoscc%2Ffull-record%2FWOS:000640518000081","View Full Record in Web of Science")</f>
        <v>View Full Record in Web of Science</v>
      </c>
    </row>
    <row r="735" ht="12.75" customHeight="1">
      <c r="A735" s="1" t="s">
        <v>132</v>
      </c>
      <c r="B735" s="1" t="s">
        <v>14834</v>
      </c>
      <c r="C735" s="1" t="s">
        <v>74</v>
      </c>
      <c r="D735" s="1" t="s">
        <v>74</v>
      </c>
      <c r="E735" s="1" t="s">
        <v>74</v>
      </c>
      <c r="F735" s="1" t="s">
        <v>14835</v>
      </c>
      <c r="G735" s="1" t="s">
        <v>74</v>
      </c>
      <c r="H735" s="1" t="s">
        <v>74</v>
      </c>
      <c r="I735" s="1" t="s">
        <v>14836</v>
      </c>
      <c r="J735" s="1" t="s">
        <v>5328</v>
      </c>
      <c r="K735" s="1" t="s">
        <v>74</v>
      </c>
      <c r="L735" s="1" t="s">
        <v>74</v>
      </c>
      <c r="M735" s="1" t="s">
        <v>80</v>
      </c>
      <c r="N735" s="1" t="s">
        <v>136</v>
      </c>
      <c r="O735" s="1" t="s">
        <v>74</v>
      </c>
      <c r="P735" s="1" t="s">
        <v>74</v>
      </c>
      <c r="Q735" s="1" t="s">
        <v>74</v>
      </c>
      <c r="R735" s="1" t="s">
        <v>74</v>
      </c>
      <c r="S735" s="1" t="s">
        <v>74</v>
      </c>
      <c r="T735" s="1" t="s">
        <v>14837</v>
      </c>
      <c r="U735" s="1" t="s">
        <v>74</v>
      </c>
      <c r="V735" s="1" t="s">
        <v>14838</v>
      </c>
      <c r="W735" s="1" t="s">
        <v>14839</v>
      </c>
      <c r="X735" s="1" t="s">
        <v>14840</v>
      </c>
      <c r="Y735" s="1" t="s">
        <v>14841</v>
      </c>
      <c r="Z735" s="1" t="s">
        <v>14842</v>
      </c>
      <c r="AA735" s="1" t="s">
        <v>14843</v>
      </c>
      <c r="AB735" s="1" t="s">
        <v>14844</v>
      </c>
      <c r="AC735" s="1" t="s">
        <v>74</v>
      </c>
      <c r="AD735" s="1" t="s">
        <v>74</v>
      </c>
      <c r="AE735" s="1" t="s">
        <v>74</v>
      </c>
      <c r="AF735" s="1" t="s">
        <v>74</v>
      </c>
      <c r="AG735" s="1">
        <v>12.0</v>
      </c>
      <c r="AH735" s="1">
        <v>4.0</v>
      </c>
      <c r="AI735" s="1">
        <v>4.0</v>
      </c>
      <c r="AJ735" s="1">
        <v>8.0</v>
      </c>
      <c r="AK735" s="1">
        <v>29.0</v>
      </c>
      <c r="AL735" s="1" t="s">
        <v>348</v>
      </c>
      <c r="AM735" s="1" t="s">
        <v>349</v>
      </c>
      <c r="AN735" s="1" t="s">
        <v>350</v>
      </c>
      <c r="AO735" s="1" t="s">
        <v>5338</v>
      </c>
      <c r="AP735" s="1" t="s">
        <v>74</v>
      </c>
      <c r="AQ735" s="1" t="s">
        <v>74</v>
      </c>
      <c r="AR735" s="1" t="s">
        <v>5339</v>
      </c>
      <c r="AS735" s="1" t="s">
        <v>5340</v>
      </c>
      <c r="AT735" s="1" t="s">
        <v>328</v>
      </c>
      <c r="AU735" s="1">
        <v>2023.0</v>
      </c>
      <c r="AV735" s="1">
        <v>9.0</v>
      </c>
      <c r="AW735" s="1" t="s">
        <v>74</v>
      </c>
      <c r="AX735" s="1" t="s">
        <v>74</v>
      </c>
      <c r="AY735" s="1" t="s">
        <v>74</v>
      </c>
      <c r="AZ735" s="1" t="s">
        <v>74</v>
      </c>
      <c r="BA735" s="1" t="s">
        <v>74</v>
      </c>
      <c r="BB735" s="1" t="s">
        <v>74</v>
      </c>
      <c r="BC735" s="1" t="s">
        <v>74</v>
      </c>
      <c r="BD735" s="1">
        <v>2.0552076231186244E16</v>
      </c>
      <c r="BE735" s="1" t="s">
        <v>14845</v>
      </c>
      <c r="BF735" s="2" t="str">
        <f>HYPERLINK("http://dx.doi.org/10.1177/20552076231186245","http://dx.doi.org/10.1177/20552076231186245")</f>
        <v>http://dx.doi.org/10.1177/20552076231186245</v>
      </c>
      <c r="BG735" s="1" t="s">
        <v>74</v>
      </c>
      <c r="BH735" s="1" t="s">
        <v>74</v>
      </c>
      <c r="BI735" s="1">
        <v>5.0</v>
      </c>
      <c r="BJ735" s="1" t="s">
        <v>5342</v>
      </c>
      <c r="BK735" s="1" t="s">
        <v>783</v>
      </c>
      <c r="BL735" s="1" t="s">
        <v>2623</v>
      </c>
      <c r="BM735" s="1" t="s">
        <v>14846</v>
      </c>
      <c r="BN735" s="1">
        <v>3.7426587E7</v>
      </c>
      <c r="BO735" s="1" t="s">
        <v>284</v>
      </c>
      <c r="BP735" s="1" t="s">
        <v>74</v>
      </c>
      <c r="BQ735" s="1" t="s">
        <v>74</v>
      </c>
      <c r="BR735" s="1" t="s">
        <v>102</v>
      </c>
      <c r="BS735" s="1" t="s">
        <v>14847</v>
      </c>
      <c r="BT735" s="1" t="str">
        <f>HYPERLINK("https%3A%2F%2Fwww.webofscience.com%2Fwos%2Fwoscc%2Ffull-record%2FWOS:001016509500001","View Full Record in Web of Science")</f>
        <v>View Full Record in Web of Science</v>
      </c>
    </row>
    <row r="736" ht="12.75" customHeight="1">
      <c r="A736" s="1" t="s">
        <v>132</v>
      </c>
      <c r="B736" s="1" t="s">
        <v>14848</v>
      </c>
      <c r="C736" s="1" t="s">
        <v>74</v>
      </c>
      <c r="D736" s="1" t="s">
        <v>74</v>
      </c>
      <c r="E736" s="1" t="s">
        <v>74</v>
      </c>
      <c r="F736" s="1" t="s">
        <v>14849</v>
      </c>
      <c r="G736" s="1" t="s">
        <v>74</v>
      </c>
      <c r="H736" s="1" t="s">
        <v>74</v>
      </c>
      <c r="I736" s="1" t="s">
        <v>14850</v>
      </c>
      <c r="J736" s="1" t="s">
        <v>14851</v>
      </c>
      <c r="K736" s="1" t="s">
        <v>74</v>
      </c>
      <c r="L736" s="1" t="s">
        <v>74</v>
      </c>
      <c r="M736" s="1" t="s">
        <v>80</v>
      </c>
      <c r="N736" s="1" t="s">
        <v>136</v>
      </c>
      <c r="O736" s="1" t="s">
        <v>74</v>
      </c>
      <c r="P736" s="1" t="s">
        <v>74</v>
      </c>
      <c r="Q736" s="1" t="s">
        <v>74</v>
      </c>
      <c r="R736" s="1" t="s">
        <v>74</v>
      </c>
      <c r="S736" s="1" t="s">
        <v>74</v>
      </c>
      <c r="T736" s="1" t="s">
        <v>14852</v>
      </c>
      <c r="U736" s="1" t="s">
        <v>74</v>
      </c>
      <c r="V736" s="1" t="s">
        <v>14853</v>
      </c>
      <c r="W736" s="1" t="s">
        <v>14854</v>
      </c>
      <c r="X736" s="1" t="s">
        <v>14855</v>
      </c>
      <c r="Y736" s="1" t="s">
        <v>14856</v>
      </c>
      <c r="Z736" s="1" t="s">
        <v>14857</v>
      </c>
      <c r="AA736" s="1" t="s">
        <v>74</v>
      </c>
      <c r="AB736" s="1" t="s">
        <v>74</v>
      </c>
      <c r="AC736" s="1" t="s">
        <v>14858</v>
      </c>
      <c r="AD736" s="1" t="s">
        <v>14859</v>
      </c>
      <c r="AE736" s="1" t="s">
        <v>14860</v>
      </c>
      <c r="AF736" s="1" t="s">
        <v>74</v>
      </c>
      <c r="AG736" s="1">
        <v>28.0</v>
      </c>
      <c r="AH736" s="1">
        <v>2.0</v>
      </c>
      <c r="AI736" s="1">
        <v>2.0</v>
      </c>
      <c r="AJ736" s="1">
        <v>15.0</v>
      </c>
      <c r="AK736" s="1">
        <v>21.0</v>
      </c>
      <c r="AL736" s="1" t="s">
        <v>14861</v>
      </c>
      <c r="AM736" s="1" t="s">
        <v>14862</v>
      </c>
      <c r="AN736" s="1" t="s">
        <v>14863</v>
      </c>
      <c r="AO736" s="1" t="s">
        <v>14864</v>
      </c>
      <c r="AP736" s="1" t="s">
        <v>74</v>
      </c>
      <c r="AQ736" s="1" t="s">
        <v>74</v>
      </c>
      <c r="AR736" s="1" t="s">
        <v>14865</v>
      </c>
      <c r="AS736" s="1" t="s">
        <v>14866</v>
      </c>
      <c r="AT736" s="1" t="s">
        <v>1253</v>
      </c>
      <c r="AU736" s="1">
        <v>2024.0</v>
      </c>
      <c r="AV736" s="1">
        <v>15.0</v>
      </c>
      <c r="AW736" s="1">
        <v>1.0</v>
      </c>
      <c r="AX736" s="1" t="s">
        <v>74</v>
      </c>
      <c r="AY736" s="1" t="s">
        <v>74</v>
      </c>
      <c r="AZ736" s="1" t="s">
        <v>74</v>
      </c>
      <c r="BA736" s="1" t="s">
        <v>74</v>
      </c>
      <c r="BB736" s="1">
        <v>50.0</v>
      </c>
      <c r="BC736" s="1">
        <v>63.0</v>
      </c>
      <c r="BD736" s="1" t="s">
        <v>74</v>
      </c>
      <c r="BE736" s="1" t="s">
        <v>74</v>
      </c>
      <c r="BF736" s="1" t="s">
        <v>74</v>
      </c>
      <c r="BG736" s="1" t="s">
        <v>74</v>
      </c>
      <c r="BH736" s="1" t="s">
        <v>74</v>
      </c>
      <c r="BI736" s="1">
        <v>14.0</v>
      </c>
      <c r="BJ736" s="1" t="s">
        <v>2183</v>
      </c>
      <c r="BK736" s="1" t="s">
        <v>172</v>
      </c>
      <c r="BL736" s="1" t="s">
        <v>2183</v>
      </c>
      <c r="BM736" s="1" t="s">
        <v>14867</v>
      </c>
      <c r="BN736" s="1" t="s">
        <v>74</v>
      </c>
      <c r="BO736" s="1" t="s">
        <v>74</v>
      </c>
      <c r="BP736" s="1" t="s">
        <v>74</v>
      </c>
      <c r="BQ736" s="1" t="s">
        <v>74</v>
      </c>
      <c r="BR736" s="1" t="s">
        <v>102</v>
      </c>
      <c r="BS736" s="1" t="s">
        <v>14868</v>
      </c>
      <c r="BT736" s="1" t="str">
        <f>HYPERLINK("https%3A%2F%2Fwww.webofscience.com%2Fwos%2Fwoscc%2Ffull-record%2FWOS:001218553900002","View Full Record in Web of Science")</f>
        <v>View Full Record in Web of Science</v>
      </c>
    </row>
    <row r="737" ht="12.75" customHeight="1">
      <c r="A737" s="1" t="s">
        <v>132</v>
      </c>
      <c r="B737" s="1" t="s">
        <v>14869</v>
      </c>
      <c r="C737" s="1" t="s">
        <v>74</v>
      </c>
      <c r="D737" s="1" t="s">
        <v>74</v>
      </c>
      <c r="E737" s="1" t="s">
        <v>74</v>
      </c>
      <c r="F737" s="1" t="s">
        <v>14870</v>
      </c>
      <c r="G737" s="1" t="s">
        <v>74</v>
      </c>
      <c r="H737" s="1" t="s">
        <v>74</v>
      </c>
      <c r="I737" s="1" t="s">
        <v>14871</v>
      </c>
      <c r="J737" s="1" t="s">
        <v>3329</v>
      </c>
      <c r="K737" s="1" t="s">
        <v>74</v>
      </c>
      <c r="L737" s="1" t="s">
        <v>74</v>
      </c>
      <c r="M737" s="1" t="s">
        <v>80</v>
      </c>
      <c r="N737" s="1" t="s">
        <v>136</v>
      </c>
      <c r="O737" s="1" t="s">
        <v>74</v>
      </c>
      <c r="P737" s="1" t="s">
        <v>74</v>
      </c>
      <c r="Q737" s="1" t="s">
        <v>74</v>
      </c>
      <c r="R737" s="1" t="s">
        <v>74</v>
      </c>
      <c r="S737" s="1" t="s">
        <v>74</v>
      </c>
      <c r="T737" s="1" t="s">
        <v>14872</v>
      </c>
      <c r="U737" s="1" t="s">
        <v>74</v>
      </c>
      <c r="V737" s="1" t="s">
        <v>14873</v>
      </c>
      <c r="W737" s="1" t="s">
        <v>14874</v>
      </c>
      <c r="X737" s="1" t="s">
        <v>14875</v>
      </c>
      <c r="Y737" s="1" t="s">
        <v>14876</v>
      </c>
      <c r="Z737" s="1" t="s">
        <v>14877</v>
      </c>
      <c r="AA737" s="1" t="s">
        <v>14878</v>
      </c>
      <c r="AB737" s="1" t="s">
        <v>14879</v>
      </c>
      <c r="AC737" s="1" t="s">
        <v>14880</v>
      </c>
      <c r="AD737" s="1" t="s">
        <v>14881</v>
      </c>
      <c r="AE737" s="1" t="s">
        <v>14882</v>
      </c>
      <c r="AF737" s="1" t="s">
        <v>74</v>
      </c>
      <c r="AG737" s="1">
        <v>36.0</v>
      </c>
      <c r="AH737" s="1">
        <v>35.0</v>
      </c>
      <c r="AI737" s="1">
        <v>35.0</v>
      </c>
      <c r="AJ737" s="1">
        <v>144.0</v>
      </c>
      <c r="AK737" s="1">
        <v>399.0</v>
      </c>
      <c r="AL737" s="1" t="s">
        <v>3341</v>
      </c>
      <c r="AM737" s="1" t="s">
        <v>2426</v>
      </c>
      <c r="AN737" s="1" t="s">
        <v>3342</v>
      </c>
      <c r="AO737" s="1" t="s">
        <v>3343</v>
      </c>
      <c r="AP737" s="1" t="s">
        <v>3344</v>
      </c>
      <c r="AQ737" s="1" t="s">
        <v>74</v>
      </c>
      <c r="AR737" s="1" t="s">
        <v>3345</v>
      </c>
      <c r="AS737" s="1" t="s">
        <v>3346</v>
      </c>
      <c r="AT737" s="1" t="s">
        <v>1051</v>
      </c>
      <c r="AU737" s="1">
        <v>2023.0</v>
      </c>
      <c r="AV737" s="1">
        <v>58.0</v>
      </c>
      <c r="AW737" s="1" t="s">
        <v>74</v>
      </c>
      <c r="AX737" s="1" t="s">
        <v>3347</v>
      </c>
      <c r="AY737" s="1" t="s">
        <v>74</v>
      </c>
      <c r="AZ737" s="1" t="s">
        <v>74</v>
      </c>
      <c r="BA737" s="1" t="s">
        <v>74</v>
      </c>
      <c r="BB737" s="1" t="s">
        <v>74</v>
      </c>
      <c r="BC737" s="1" t="s">
        <v>74</v>
      </c>
      <c r="BD737" s="1">
        <v>104437.0</v>
      </c>
      <c r="BE737" s="1" t="s">
        <v>14883</v>
      </c>
      <c r="BF737" s="2" t="str">
        <f>HYPERLINK("http://dx.doi.org/10.1016/j.frl.2023.104437","http://dx.doi.org/10.1016/j.frl.2023.104437")</f>
        <v>http://dx.doi.org/10.1016/j.frl.2023.104437</v>
      </c>
      <c r="BG737" s="1" t="s">
        <v>74</v>
      </c>
      <c r="BH737" s="1" t="s">
        <v>357</v>
      </c>
      <c r="BI737" s="1">
        <v>9.0</v>
      </c>
      <c r="BJ737" s="1" t="s">
        <v>3350</v>
      </c>
      <c r="BK737" s="1" t="s">
        <v>203</v>
      </c>
      <c r="BL737" s="1" t="s">
        <v>204</v>
      </c>
      <c r="BM737" s="1" t="s">
        <v>14884</v>
      </c>
      <c r="BN737" s="1" t="s">
        <v>74</v>
      </c>
      <c r="BO737" s="1" t="s">
        <v>74</v>
      </c>
      <c r="BP737" s="1" t="s">
        <v>74</v>
      </c>
      <c r="BQ737" s="1" t="s">
        <v>74</v>
      </c>
      <c r="BR737" s="1" t="s">
        <v>102</v>
      </c>
      <c r="BS737" s="1" t="s">
        <v>14885</v>
      </c>
      <c r="BT737" s="1" t="str">
        <f>HYPERLINK("https%3A%2F%2Fwww.webofscience.com%2Fwos%2Fwoscc%2Ffull-record%2FWOS:001075043800001","View Full Record in Web of Science")</f>
        <v>View Full Record in Web of Science</v>
      </c>
    </row>
    <row r="738" ht="12.75" customHeight="1">
      <c r="A738" s="1" t="s">
        <v>132</v>
      </c>
      <c r="B738" s="1" t="s">
        <v>14886</v>
      </c>
      <c r="C738" s="1" t="s">
        <v>74</v>
      </c>
      <c r="D738" s="1" t="s">
        <v>74</v>
      </c>
      <c r="E738" s="1" t="s">
        <v>74</v>
      </c>
      <c r="F738" s="1" t="s">
        <v>14887</v>
      </c>
      <c r="G738" s="1" t="s">
        <v>74</v>
      </c>
      <c r="H738" s="1" t="s">
        <v>74</v>
      </c>
      <c r="I738" s="1" t="s">
        <v>14888</v>
      </c>
      <c r="J738" s="1" t="s">
        <v>12856</v>
      </c>
      <c r="K738" s="1" t="s">
        <v>74</v>
      </c>
      <c r="L738" s="1" t="s">
        <v>74</v>
      </c>
      <c r="M738" s="1" t="s">
        <v>80</v>
      </c>
      <c r="N738" s="1" t="s">
        <v>136</v>
      </c>
      <c r="O738" s="1" t="s">
        <v>74</v>
      </c>
      <c r="P738" s="1" t="s">
        <v>74</v>
      </c>
      <c r="Q738" s="1" t="s">
        <v>74</v>
      </c>
      <c r="R738" s="1" t="s">
        <v>74</v>
      </c>
      <c r="S738" s="1" t="s">
        <v>74</v>
      </c>
      <c r="T738" s="1" t="s">
        <v>14889</v>
      </c>
      <c r="U738" s="1" t="s">
        <v>14890</v>
      </c>
      <c r="V738" s="1" t="s">
        <v>14891</v>
      </c>
      <c r="W738" s="1" t="s">
        <v>14892</v>
      </c>
      <c r="X738" s="1" t="s">
        <v>14893</v>
      </c>
      <c r="Y738" s="1" t="s">
        <v>14894</v>
      </c>
      <c r="Z738" s="1" t="s">
        <v>14895</v>
      </c>
      <c r="AA738" s="1" t="s">
        <v>14896</v>
      </c>
      <c r="AB738" s="1" t="s">
        <v>14897</v>
      </c>
      <c r="AC738" s="1" t="s">
        <v>14898</v>
      </c>
      <c r="AD738" s="1" t="s">
        <v>8224</v>
      </c>
      <c r="AE738" s="1" t="s">
        <v>14899</v>
      </c>
      <c r="AF738" s="1" t="s">
        <v>74</v>
      </c>
      <c r="AG738" s="1">
        <v>84.0</v>
      </c>
      <c r="AH738" s="1">
        <v>173.0</v>
      </c>
      <c r="AI738" s="1">
        <v>177.0</v>
      </c>
      <c r="AJ738" s="1">
        <v>86.0</v>
      </c>
      <c r="AK738" s="1">
        <v>698.0</v>
      </c>
      <c r="AL738" s="1" t="s">
        <v>1089</v>
      </c>
      <c r="AM738" s="1" t="s">
        <v>1090</v>
      </c>
      <c r="AN738" s="1" t="s">
        <v>1091</v>
      </c>
      <c r="AO738" s="1" t="s">
        <v>12868</v>
      </c>
      <c r="AP738" s="1" t="s">
        <v>12869</v>
      </c>
      <c r="AQ738" s="1" t="s">
        <v>74</v>
      </c>
      <c r="AR738" s="1" t="s">
        <v>12870</v>
      </c>
      <c r="AS738" s="1" t="s">
        <v>12871</v>
      </c>
      <c r="AT738" s="1" t="s">
        <v>1027</v>
      </c>
      <c r="AU738" s="1">
        <v>2021.0</v>
      </c>
      <c r="AV738" s="1">
        <v>87.0</v>
      </c>
      <c r="AW738" s="1" t="s">
        <v>74</v>
      </c>
      <c r="AX738" s="1" t="s">
        <v>74</v>
      </c>
      <c r="AY738" s="1" t="s">
        <v>74</v>
      </c>
      <c r="AZ738" s="1" t="s">
        <v>74</v>
      </c>
      <c r="BA738" s="1" t="s">
        <v>74</v>
      </c>
      <c r="BB738" s="1" t="s">
        <v>74</v>
      </c>
      <c r="BC738" s="1" t="s">
        <v>74</v>
      </c>
      <c r="BD738" s="1">
        <v>103114.0</v>
      </c>
      <c r="BE738" s="1" t="s">
        <v>14900</v>
      </c>
      <c r="BF738" s="2" t="str">
        <f>HYPERLINK("http://dx.doi.org/10.1016/j.annals.2020.103114","http://dx.doi.org/10.1016/j.annals.2020.103114")</f>
        <v>http://dx.doi.org/10.1016/j.annals.2020.103114</v>
      </c>
      <c r="BG738" s="1" t="s">
        <v>74</v>
      </c>
      <c r="BH738" s="1" t="s">
        <v>74</v>
      </c>
      <c r="BI738" s="1">
        <v>19.0</v>
      </c>
      <c r="BJ738" s="1" t="s">
        <v>12873</v>
      </c>
      <c r="BK738" s="1" t="s">
        <v>203</v>
      </c>
      <c r="BL738" s="1" t="s">
        <v>2162</v>
      </c>
      <c r="BM738" s="1" t="s">
        <v>14901</v>
      </c>
      <c r="BN738" s="1" t="s">
        <v>74</v>
      </c>
      <c r="BO738" s="1" t="s">
        <v>74</v>
      </c>
      <c r="BP738" s="1" t="s">
        <v>74</v>
      </c>
      <c r="BQ738" s="1" t="s">
        <v>74</v>
      </c>
      <c r="BR738" s="1" t="s">
        <v>102</v>
      </c>
      <c r="BS738" s="1" t="s">
        <v>14902</v>
      </c>
      <c r="BT738" s="1" t="str">
        <f>HYPERLINK("https%3A%2F%2Fwww.webofscience.com%2Fwos%2Fwoscc%2Ffull-record%2FWOS:000642003400016","View Full Record in Web of Science")</f>
        <v>View Full Record in Web of Science</v>
      </c>
    </row>
    <row r="739" ht="12.75" customHeight="1">
      <c r="A739" s="1" t="s">
        <v>132</v>
      </c>
      <c r="B739" s="1" t="s">
        <v>14903</v>
      </c>
      <c r="C739" s="1" t="s">
        <v>74</v>
      </c>
      <c r="D739" s="1" t="s">
        <v>74</v>
      </c>
      <c r="E739" s="1" t="s">
        <v>74</v>
      </c>
      <c r="F739" s="1" t="s">
        <v>14904</v>
      </c>
      <c r="G739" s="1" t="s">
        <v>74</v>
      </c>
      <c r="H739" s="1" t="s">
        <v>74</v>
      </c>
      <c r="I739" s="1" t="s">
        <v>14905</v>
      </c>
      <c r="J739" s="1" t="s">
        <v>11723</v>
      </c>
      <c r="K739" s="1" t="s">
        <v>74</v>
      </c>
      <c r="L739" s="1" t="s">
        <v>74</v>
      </c>
      <c r="M739" s="1" t="s">
        <v>80</v>
      </c>
      <c r="N739" s="1" t="s">
        <v>136</v>
      </c>
      <c r="O739" s="1" t="s">
        <v>74</v>
      </c>
      <c r="P739" s="1" t="s">
        <v>74</v>
      </c>
      <c r="Q739" s="1" t="s">
        <v>74</v>
      </c>
      <c r="R739" s="1" t="s">
        <v>74</v>
      </c>
      <c r="S739" s="1" t="s">
        <v>74</v>
      </c>
      <c r="T739" s="1" t="s">
        <v>14906</v>
      </c>
      <c r="U739" s="1" t="s">
        <v>74</v>
      </c>
      <c r="V739" s="1" t="s">
        <v>14907</v>
      </c>
      <c r="W739" s="1" t="s">
        <v>14908</v>
      </c>
      <c r="X739" s="1" t="s">
        <v>14909</v>
      </c>
      <c r="Y739" s="1" t="s">
        <v>14910</v>
      </c>
      <c r="Z739" s="1" t="s">
        <v>14911</v>
      </c>
      <c r="AA739" s="1" t="s">
        <v>74</v>
      </c>
      <c r="AB739" s="1" t="s">
        <v>74</v>
      </c>
      <c r="AC739" s="1" t="s">
        <v>74</v>
      </c>
      <c r="AD739" s="1" t="s">
        <v>74</v>
      </c>
      <c r="AE739" s="1" t="s">
        <v>74</v>
      </c>
      <c r="AF739" s="1" t="s">
        <v>74</v>
      </c>
      <c r="AG739" s="1">
        <v>27.0</v>
      </c>
      <c r="AH739" s="1">
        <v>15.0</v>
      </c>
      <c r="AI739" s="1">
        <v>15.0</v>
      </c>
      <c r="AJ739" s="1">
        <v>4.0</v>
      </c>
      <c r="AK739" s="1">
        <v>54.0</v>
      </c>
      <c r="AL739" s="1" t="s">
        <v>4583</v>
      </c>
      <c r="AM739" s="1" t="s">
        <v>193</v>
      </c>
      <c r="AN739" s="1" t="s">
        <v>11730</v>
      </c>
      <c r="AO739" s="1" t="s">
        <v>11731</v>
      </c>
      <c r="AP739" s="1" t="s">
        <v>11732</v>
      </c>
      <c r="AQ739" s="1" t="s">
        <v>74</v>
      </c>
      <c r="AR739" s="1" t="s">
        <v>11733</v>
      </c>
      <c r="AS739" s="1" t="s">
        <v>11734</v>
      </c>
      <c r="AT739" s="1" t="s">
        <v>10076</v>
      </c>
      <c r="AU739" s="1">
        <v>2019.0</v>
      </c>
      <c r="AV739" s="1">
        <v>33.0</v>
      </c>
      <c r="AW739" s="1">
        <v>2.0</v>
      </c>
      <c r="AX739" s="1" t="s">
        <v>74</v>
      </c>
      <c r="AY739" s="1" t="s">
        <v>74</v>
      </c>
      <c r="AZ739" s="1" t="s">
        <v>74</v>
      </c>
      <c r="BA739" s="1" t="s">
        <v>74</v>
      </c>
      <c r="BB739" s="1">
        <v>127.0</v>
      </c>
      <c r="BC739" s="1">
        <v>140.0</v>
      </c>
      <c r="BD739" s="1" t="s">
        <v>74</v>
      </c>
      <c r="BE739" s="1" t="s">
        <v>14912</v>
      </c>
      <c r="BF739" s="2" t="str">
        <f>HYPERLINK("http://dx.doi.org/10.1017/S0892679419000121","http://dx.doi.org/10.1017/S0892679419000121")</f>
        <v>http://dx.doi.org/10.1017/S0892679419000121</v>
      </c>
      <c r="BG739" s="1" t="s">
        <v>74</v>
      </c>
      <c r="BH739" s="1" t="s">
        <v>74</v>
      </c>
      <c r="BI739" s="1">
        <v>14.0</v>
      </c>
      <c r="BJ739" s="1" t="s">
        <v>11736</v>
      </c>
      <c r="BK739" s="1" t="s">
        <v>203</v>
      </c>
      <c r="BL739" s="1" t="s">
        <v>11737</v>
      </c>
      <c r="BM739" s="1" t="s">
        <v>11738</v>
      </c>
      <c r="BN739" s="1" t="s">
        <v>74</v>
      </c>
      <c r="BO739" s="1" t="s">
        <v>74</v>
      </c>
      <c r="BP739" s="1" t="s">
        <v>74</v>
      </c>
      <c r="BQ739" s="1" t="s">
        <v>74</v>
      </c>
      <c r="BR739" s="1" t="s">
        <v>102</v>
      </c>
      <c r="BS739" s="1" t="s">
        <v>14913</v>
      </c>
      <c r="BT739" s="1" t="str">
        <f>HYPERLINK("https%3A%2F%2Fwww.webofscience.com%2Fwos%2Fwoscc%2Ffull-record%2FWOS:000470740100002","View Full Record in Web of Science")</f>
        <v>View Full Record in Web of Science</v>
      </c>
    </row>
    <row r="740" ht="12.75" customHeight="1">
      <c r="A740" s="1" t="s">
        <v>72</v>
      </c>
      <c r="B740" s="1" t="s">
        <v>14914</v>
      </c>
      <c r="C740" s="1" t="s">
        <v>74</v>
      </c>
      <c r="D740" s="1" t="s">
        <v>14915</v>
      </c>
      <c r="E740" s="1" t="s">
        <v>74</v>
      </c>
      <c r="F740" s="1" t="s">
        <v>14916</v>
      </c>
      <c r="G740" s="1" t="s">
        <v>74</v>
      </c>
      <c r="H740" s="1" t="s">
        <v>74</v>
      </c>
      <c r="I740" s="1" t="s">
        <v>14917</v>
      </c>
      <c r="J740" s="1" t="s">
        <v>14918</v>
      </c>
      <c r="K740" s="1" t="s">
        <v>4507</v>
      </c>
      <c r="L740" s="1" t="s">
        <v>74</v>
      </c>
      <c r="M740" s="1" t="s">
        <v>80</v>
      </c>
      <c r="N740" s="1" t="s">
        <v>81</v>
      </c>
      <c r="O740" s="1" t="s">
        <v>14919</v>
      </c>
      <c r="P740" s="1" t="s">
        <v>4509</v>
      </c>
      <c r="Q740" s="1" t="s">
        <v>667</v>
      </c>
      <c r="R740" s="1" t="s">
        <v>74</v>
      </c>
      <c r="S740" s="1" t="s">
        <v>74</v>
      </c>
      <c r="T740" s="1" t="s">
        <v>14920</v>
      </c>
      <c r="U740" s="1" t="s">
        <v>14921</v>
      </c>
      <c r="V740" s="1" t="s">
        <v>14922</v>
      </c>
      <c r="W740" s="1" t="s">
        <v>14923</v>
      </c>
      <c r="X740" s="1" t="s">
        <v>14924</v>
      </c>
      <c r="Y740" s="1" t="s">
        <v>14925</v>
      </c>
      <c r="Z740" s="1" t="s">
        <v>14926</v>
      </c>
      <c r="AA740" s="1" t="s">
        <v>74</v>
      </c>
      <c r="AB740" s="1" t="s">
        <v>2924</v>
      </c>
      <c r="AC740" s="1" t="s">
        <v>74</v>
      </c>
      <c r="AD740" s="1" t="s">
        <v>74</v>
      </c>
      <c r="AE740" s="1" t="s">
        <v>74</v>
      </c>
      <c r="AF740" s="1" t="s">
        <v>74</v>
      </c>
      <c r="AG740" s="1">
        <v>26.0</v>
      </c>
      <c r="AH740" s="1">
        <v>0.0</v>
      </c>
      <c r="AI740" s="1">
        <v>0.0</v>
      </c>
      <c r="AJ740" s="1">
        <v>1.0</v>
      </c>
      <c r="AK740" s="1">
        <v>2.0</v>
      </c>
      <c r="AL740" s="1" t="s">
        <v>223</v>
      </c>
      <c r="AM740" s="1" t="s">
        <v>224</v>
      </c>
      <c r="AN740" s="1" t="s">
        <v>225</v>
      </c>
      <c r="AO740" s="1" t="s">
        <v>74</v>
      </c>
      <c r="AP740" s="1" t="s">
        <v>74</v>
      </c>
      <c r="AQ740" s="1" t="s">
        <v>14927</v>
      </c>
      <c r="AR740" s="1" t="s">
        <v>4523</v>
      </c>
      <c r="AS740" s="1" t="s">
        <v>74</v>
      </c>
      <c r="AT740" s="1" t="s">
        <v>74</v>
      </c>
      <c r="AU740" s="1">
        <v>2021.0</v>
      </c>
      <c r="AV740" s="1">
        <v>12783.0</v>
      </c>
      <c r="AW740" s="1" t="s">
        <v>74</v>
      </c>
      <c r="AX740" s="1" t="s">
        <v>74</v>
      </c>
      <c r="AY740" s="1" t="s">
        <v>74</v>
      </c>
      <c r="AZ740" s="1" t="s">
        <v>74</v>
      </c>
      <c r="BA740" s="1" t="s">
        <v>74</v>
      </c>
      <c r="BB740" s="1">
        <v>600.0</v>
      </c>
      <c r="BC740" s="1">
        <v>607.0</v>
      </c>
      <c r="BD740" s="1" t="s">
        <v>74</v>
      </c>
      <c r="BE740" s="1" t="s">
        <v>14928</v>
      </c>
      <c r="BF740" s="2" t="str">
        <f>HYPERLINK("http://dx.doi.org/10.1007/978-3-030-77750-0_39","http://dx.doi.org/10.1007/978-3-030-77750-0_39")</f>
        <v>http://dx.doi.org/10.1007/978-3-030-77750-0_39</v>
      </c>
      <c r="BG740" s="1" t="s">
        <v>74</v>
      </c>
      <c r="BH740" s="1" t="s">
        <v>74</v>
      </c>
      <c r="BI740" s="1">
        <v>8.0</v>
      </c>
      <c r="BJ740" s="1" t="s">
        <v>14929</v>
      </c>
      <c r="BK740" s="1" t="s">
        <v>405</v>
      </c>
      <c r="BL740" s="1" t="s">
        <v>14930</v>
      </c>
      <c r="BM740" s="1" t="s">
        <v>14931</v>
      </c>
      <c r="BN740" s="1" t="s">
        <v>74</v>
      </c>
      <c r="BO740" s="1" t="s">
        <v>74</v>
      </c>
      <c r="BP740" s="1" t="s">
        <v>74</v>
      </c>
      <c r="BQ740" s="1" t="s">
        <v>74</v>
      </c>
      <c r="BR740" s="1" t="s">
        <v>102</v>
      </c>
      <c r="BS740" s="1" t="s">
        <v>14932</v>
      </c>
      <c r="BT740" s="1" t="str">
        <f>HYPERLINK("https%3A%2F%2Fwww.webofscience.com%2Fwos%2Fwoscc%2Ffull-record%2FWOS:001297300300039","View Full Record in Web of Science")</f>
        <v>View Full Record in Web of Science</v>
      </c>
    </row>
    <row r="741" ht="12.75" customHeight="1">
      <c r="A741" s="1" t="s">
        <v>132</v>
      </c>
      <c r="B741" s="1" t="s">
        <v>14933</v>
      </c>
      <c r="C741" s="1" t="s">
        <v>74</v>
      </c>
      <c r="D741" s="1" t="s">
        <v>74</v>
      </c>
      <c r="E741" s="1" t="s">
        <v>74</v>
      </c>
      <c r="F741" s="1" t="s">
        <v>14934</v>
      </c>
      <c r="G741" s="1" t="s">
        <v>74</v>
      </c>
      <c r="H741" s="1" t="s">
        <v>74</v>
      </c>
      <c r="I741" s="1" t="s">
        <v>14935</v>
      </c>
      <c r="J741" s="1" t="s">
        <v>14936</v>
      </c>
      <c r="K741" s="1" t="s">
        <v>74</v>
      </c>
      <c r="L741" s="1" t="s">
        <v>74</v>
      </c>
      <c r="M741" s="1" t="s">
        <v>80</v>
      </c>
      <c r="N741" s="1" t="s">
        <v>136</v>
      </c>
      <c r="O741" s="1" t="s">
        <v>74</v>
      </c>
      <c r="P741" s="1" t="s">
        <v>74</v>
      </c>
      <c r="Q741" s="1" t="s">
        <v>74</v>
      </c>
      <c r="R741" s="1" t="s">
        <v>74</v>
      </c>
      <c r="S741" s="1" t="s">
        <v>74</v>
      </c>
      <c r="T741" s="1" t="s">
        <v>14937</v>
      </c>
      <c r="U741" s="1" t="s">
        <v>74</v>
      </c>
      <c r="V741" s="1" t="s">
        <v>14938</v>
      </c>
      <c r="W741" s="1" t="s">
        <v>14939</v>
      </c>
      <c r="X741" s="1" t="s">
        <v>14940</v>
      </c>
      <c r="Y741" s="1" t="s">
        <v>14941</v>
      </c>
      <c r="Z741" s="1" t="s">
        <v>14942</v>
      </c>
      <c r="AA741" s="1" t="s">
        <v>74</v>
      </c>
      <c r="AB741" s="1" t="s">
        <v>74</v>
      </c>
      <c r="AC741" s="1" t="s">
        <v>74</v>
      </c>
      <c r="AD741" s="1" t="s">
        <v>74</v>
      </c>
      <c r="AE741" s="1" t="s">
        <v>74</v>
      </c>
      <c r="AF741" s="1" t="s">
        <v>74</v>
      </c>
      <c r="AG741" s="1">
        <v>23.0</v>
      </c>
      <c r="AH741" s="1">
        <v>4.0</v>
      </c>
      <c r="AI741" s="1">
        <v>5.0</v>
      </c>
      <c r="AJ741" s="1">
        <v>43.0</v>
      </c>
      <c r="AK741" s="1">
        <v>64.0</v>
      </c>
      <c r="AL741" s="1" t="s">
        <v>1571</v>
      </c>
      <c r="AM741" s="1" t="s">
        <v>1572</v>
      </c>
      <c r="AN741" s="1" t="s">
        <v>1573</v>
      </c>
      <c r="AO741" s="1" t="s">
        <v>14943</v>
      </c>
      <c r="AP741" s="1" t="s">
        <v>14944</v>
      </c>
      <c r="AQ741" s="1" t="s">
        <v>74</v>
      </c>
      <c r="AR741" s="1" t="s">
        <v>14945</v>
      </c>
      <c r="AS741" s="1" t="s">
        <v>14946</v>
      </c>
      <c r="AT741" s="1" t="s">
        <v>1364</v>
      </c>
      <c r="AU741" s="1">
        <v>2024.0</v>
      </c>
      <c r="AV741" s="1">
        <v>30.0</v>
      </c>
      <c r="AW741" s="1">
        <v>2.0</v>
      </c>
      <c r="AX741" s="1" t="s">
        <v>74</v>
      </c>
      <c r="AY741" s="1" t="s">
        <v>74</v>
      </c>
      <c r="AZ741" s="1" t="s">
        <v>474</v>
      </c>
      <c r="BA741" s="1" t="s">
        <v>74</v>
      </c>
      <c r="BB741" s="1">
        <v>125.0</v>
      </c>
      <c r="BC741" s="1">
        <v>132.0</v>
      </c>
      <c r="BD741" s="1" t="s">
        <v>74</v>
      </c>
      <c r="BE741" s="1" t="s">
        <v>14947</v>
      </c>
      <c r="BF741" s="2" t="str">
        <f>HYPERLINK("http://dx.doi.org/10.1177/10784535241247094","http://dx.doi.org/10.1177/10784535241247094")</f>
        <v>http://dx.doi.org/10.1177/10784535241247094</v>
      </c>
      <c r="BG741" s="1" t="s">
        <v>74</v>
      </c>
      <c r="BH741" s="1" t="s">
        <v>580</v>
      </c>
      <c r="BI741" s="1">
        <v>8.0</v>
      </c>
      <c r="BJ741" s="1" t="s">
        <v>1578</v>
      </c>
      <c r="BK741" s="1" t="s">
        <v>172</v>
      </c>
      <c r="BL741" s="1" t="s">
        <v>1578</v>
      </c>
      <c r="BM741" s="1" t="s">
        <v>14948</v>
      </c>
      <c r="BN741" s="1">
        <v>3.8651267E7</v>
      </c>
      <c r="BO741" s="1" t="s">
        <v>74</v>
      </c>
      <c r="BP741" s="1" t="s">
        <v>74</v>
      </c>
      <c r="BQ741" s="1" t="s">
        <v>74</v>
      </c>
      <c r="BR741" s="1" t="s">
        <v>102</v>
      </c>
      <c r="BS741" s="1" t="s">
        <v>14949</v>
      </c>
      <c r="BT741" s="1" t="str">
        <f>HYPERLINK("https%3A%2F%2Fwww.webofscience.com%2Fwos%2Fwoscc%2Ffull-record%2FWOS:001206516700001","View Full Record in Web of Science")</f>
        <v>View Full Record in Web of Science</v>
      </c>
    </row>
    <row r="742" ht="12.75" customHeight="1">
      <c r="A742" s="1" t="s">
        <v>132</v>
      </c>
      <c r="B742" s="1" t="s">
        <v>14950</v>
      </c>
      <c r="C742" s="1" t="s">
        <v>74</v>
      </c>
      <c r="D742" s="1" t="s">
        <v>74</v>
      </c>
      <c r="E742" s="1" t="s">
        <v>74</v>
      </c>
      <c r="F742" s="1" t="s">
        <v>14951</v>
      </c>
      <c r="G742" s="1" t="s">
        <v>74</v>
      </c>
      <c r="H742" s="1" t="s">
        <v>74</v>
      </c>
      <c r="I742" s="1" t="s">
        <v>14952</v>
      </c>
      <c r="J742" s="1" t="s">
        <v>14953</v>
      </c>
      <c r="K742" s="1" t="s">
        <v>74</v>
      </c>
      <c r="L742" s="1" t="s">
        <v>74</v>
      </c>
      <c r="M742" s="1" t="s">
        <v>8770</v>
      </c>
      <c r="N742" s="1" t="s">
        <v>136</v>
      </c>
      <c r="O742" s="1" t="s">
        <v>74</v>
      </c>
      <c r="P742" s="1" t="s">
        <v>74</v>
      </c>
      <c r="Q742" s="1" t="s">
        <v>74</v>
      </c>
      <c r="R742" s="1" t="s">
        <v>74</v>
      </c>
      <c r="S742" s="1" t="s">
        <v>74</v>
      </c>
      <c r="T742" s="1" t="s">
        <v>14954</v>
      </c>
      <c r="U742" s="1" t="s">
        <v>74</v>
      </c>
      <c r="V742" s="1" t="s">
        <v>14955</v>
      </c>
      <c r="W742" s="1" t="s">
        <v>74</v>
      </c>
      <c r="X742" s="1" t="s">
        <v>74</v>
      </c>
      <c r="Y742" s="1" t="s">
        <v>74</v>
      </c>
      <c r="Z742" s="1" t="s">
        <v>74</v>
      </c>
      <c r="AA742" s="1" t="s">
        <v>74</v>
      </c>
      <c r="AB742" s="1" t="s">
        <v>74</v>
      </c>
      <c r="AC742" s="1" t="s">
        <v>74</v>
      </c>
      <c r="AD742" s="1" t="s">
        <v>74</v>
      </c>
      <c r="AE742" s="1" t="s">
        <v>74</v>
      </c>
      <c r="AF742" s="1" t="s">
        <v>74</v>
      </c>
      <c r="AG742" s="1">
        <v>22.0</v>
      </c>
      <c r="AH742" s="1">
        <v>0.0</v>
      </c>
      <c r="AI742" s="1">
        <v>0.0</v>
      </c>
      <c r="AJ742" s="1">
        <v>2.0</v>
      </c>
      <c r="AK742" s="1">
        <v>8.0</v>
      </c>
      <c r="AL742" s="1" t="s">
        <v>14956</v>
      </c>
      <c r="AM742" s="1" t="s">
        <v>14957</v>
      </c>
      <c r="AN742" s="1" t="s">
        <v>14958</v>
      </c>
      <c r="AO742" s="1" t="s">
        <v>14959</v>
      </c>
      <c r="AP742" s="1" t="s">
        <v>74</v>
      </c>
      <c r="AQ742" s="1" t="s">
        <v>74</v>
      </c>
      <c r="AR742" s="1" t="s">
        <v>14960</v>
      </c>
      <c r="AS742" s="1" t="s">
        <v>14961</v>
      </c>
      <c r="AT742" s="1" t="s">
        <v>74</v>
      </c>
      <c r="AU742" s="1">
        <v>2022.0</v>
      </c>
      <c r="AV742" s="1">
        <v>13.0</v>
      </c>
      <c r="AW742" s="1">
        <v>25.0</v>
      </c>
      <c r="AX742" s="1" t="s">
        <v>74</v>
      </c>
      <c r="AY742" s="1" t="s">
        <v>74</v>
      </c>
      <c r="AZ742" s="1" t="s">
        <v>74</v>
      </c>
      <c r="BA742" s="1" t="s">
        <v>74</v>
      </c>
      <c r="BB742" s="1">
        <v>73.0</v>
      </c>
      <c r="BC742" s="1">
        <v>82.0</v>
      </c>
      <c r="BD742" s="1" t="s">
        <v>74</v>
      </c>
      <c r="BE742" s="1" t="s">
        <v>14962</v>
      </c>
      <c r="BF742" s="2" t="str">
        <f>HYPERLINK("http://dx.doi.org/10.36253/smp-13804","http://dx.doi.org/10.36253/smp-13804")</f>
        <v>http://dx.doi.org/10.36253/smp-13804</v>
      </c>
      <c r="BG742" s="1" t="s">
        <v>74</v>
      </c>
      <c r="BH742" s="1" t="s">
        <v>74</v>
      </c>
      <c r="BI742" s="1">
        <v>10.0</v>
      </c>
      <c r="BJ742" s="1" t="s">
        <v>3130</v>
      </c>
      <c r="BK742" s="1" t="s">
        <v>172</v>
      </c>
      <c r="BL742" s="1" t="s">
        <v>3130</v>
      </c>
      <c r="BM742" s="1" t="s">
        <v>14963</v>
      </c>
      <c r="BN742" s="1" t="s">
        <v>74</v>
      </c>
      <c r="BO742" s="1" t="s">
        <v>1161</v>
      </c>
      <c r="BP742" s="1" t="s">
        <v>74</v>
      </c>
      <c r="BQ742" s="1" t="s">
        <v>74</v>
      </c>
      <c r="BR742" s="1" t="s">
        <v>102</v>
      </c>
      <c r="BS742" s="1" t="s">
        <v>14964</v>
      </c>
      <c r="BT742" s="1" t="str">
        <f>HYPERLINK("https%3A%2F%2Fwww.webofscience.com%2Fwos%2Fwoscc%2Ffull-record%2FWOS:000934723900007","View Full Record in Web of Science")</f>
        <v>View Full Record in Web of Science</v>
      </c>
    </row>
    <row r="743" ht="12.75" customHeight="1">
      <c r="A743" s="1" t="s">
        <v>132</v>
      </c>
      <c r="B743" s="1" t="s">
        <v>14965</v>
      </c>
      <c r="C743" s="1" t="s">
        <v>74</v>
      </c>
      <c r="D743" s="1" t="s">
        <v>74</v>
      </c>
      <c r="E743" s="1" t="s">
        <v>74</v>
      </c>
      <c r="F743" s="1" t="s">
        <v>14966</v>
      </c>
      <c r="G743" s="1" t="s">
        <v>74</v>
      </c>
      <c r="H743" s="1" t="s">
        <v>74</v>
      </c>
      <c r="I743" s="1" t="s">
        <v>14967</v>
      </c>
      <c r="J743" s="1" t="s">
        <v>14968</v>
      </c>
      <c r="K743" s="1" t="s">
        <v>74</v>
      </c>
      <c r="L743" s="1" t="s">
        <v>74</v>
      </c>
      <c r="M743" s="1" t="s">
        <v>80</v>
      </c>
      <c r="N743" s="1" t="s">
        <v>136</v>
      </c>
      <c r="O743" s="1" t="s">
        <v>74</v>
      </c>
      <c r="P743" s="1" t="s">
        <v>74</v>
      </c>
      <c r="Q743" s="1" t="s">
        <v>74</v>
      </c>
      <c r="R743" s="1" t="s">
        <v>74</v>
      </c>
      <c r="S743" s="1" t="s">
        <v>74</v>
      </c>
      <c r="T743" s="1" t="s">
        <v>14969</v>
      </c>
      <c r="U743" s="1" t="s">
        <v>14970</v>
      </c>
      <c r="V743" s="1" t="s">
        <v>14971</v>
      </c>
      <c r="W743" s="1" t="s">
        <v>14972</v>
      </c>
      <c r="X743" s="1" t="s">
        <v>74</v>
      </c>
      <c r="Y743" s="1" t="s">
        <v>14973</v>
      </c>
      <c r="Z743" s="1" t="s">
        <v>14974</v>
      </c>
      <c r="AA743" s="1" t="s">
        <v>14975</v>
      </c>
      <c r="AB743" s="1" t="s">
        <v>14976</v>
      </c>
      <c r="AC743" s="1" t="s">
        <v>74</v>
      </c>
      <c r="AD743" s="1" t="s">
        <v>74</v>
      </c>
      <c r="AE743" s="1" t="s">
        <v>74</v>
      </c>
      <c r="AF743" s="1" t="s">
        <v>74</v>
      </c>
      <c r="AG743" s="1">
        <v>48.0</v>
      </c>
      <c r="AH743" s="1">
        <v>4.0</v>
      </c>
      <c r="AI743" s="1">
        <v>5.0</v>
      </c>
      <c r="AJ743" s="1">
        <v>14.0</v>
      </c>
      <c r="AK743" s="1">
        <v>62.0</v>
      </c>
      <c r="AL743" s="1" t="s">
        <v>14977</v>
      </c>
      <c r="AM743" s="1" t="s">
        <v>14978</v>
      </c>
      <c r="AN743" s="1" t="s">
        <v>14979</v>
      </c>
      <c r="AO743" s="1" t="s">
        <v>14980</v>
      </c>
      <c r="AP743" s="1" t="s">
        <v>14981</v>
      </c>
      <c r="AQ743" s="1" t="s">
        <v>74</v>
      </c>
      <c r="AR743" s="1" t="s">
        <v>14982</v>
      </c>
      <c r="AS743" s="1" t="s">
        <v>14983</v>
      </c>
      <c r="AT743" s="1" t="s">
        <v>328</v>
      </c>
      <c r="AU743" s="1">
        <v>2022.0</v>
      </c>
      <c r="AV743" s="1">
        <v>29.0</v>
      </c>
      <c r="AW743" s="1">
        <v>4.0</v>
      </c>
      <c r="AX743" s="1" t="s">
        <v>74</v>
      </c>
      <c r="AY743" s="1" t="s">
        <v>74</v>
      </c>
      <c r="AZ743" s="1" t="s">
        <v>74</v>
      </c>
      <c r="BA743" s="1" t="s">
        <v>74</v>
      </c>
      <c r="BB743" s="1">
        <v>1413.0</v>
      </c>
      <c r="BC743" s="1">
        <v>1418.0</v>
      </c>
      <c r="BD743" s="1" t="s">
        <v>74</v>
      </c>
      <c r="BE743" s="1" t="s">
        <v>14984</v>
      </c>
      <c r="BF743" s="2" t="str">
        <f>HYPERLINK("http://dx.doi.org/10.17559/TV-20211222120653","http://dx.doi.org/10.17559/TV-20211222120653")</f>
        <v>http://dx.doi.org/10.17559/TV-20211222120653</v>
      </c>
      <c r="BG743" s="1" t="s">
        <v>74</v>
      </c>
      <c r="BH743" s="1" t="s">
        <v>74</v>
      </c>
      <c r="BI743" s="1">
        <v>6.0</v>
      </c>
      <c r="BJ743" s="1" t="s">
        <v>4171</v>
      </c>
      <c r="BK743" s="1" t="s">
        <v>149</v>
      </c>
      <c r="BL743" s="1" t="s">
        <v>3052</v>
      </c>
      <c r="BM743" s="1" t="s">
        <v>14985</v>
      </c>
      <c r="BN743" s="1" t="s">
        <v>74</v>
      </c>
      <c r="BO743" s="1" t="s">
        <v>174</v>
      </c>
      <c r="BP743" s="1" t="s">
        <v>74</v>
      </c>
      <c r="BQ743" s="1" t="s">
        <v>74</v>
      </c>
      <c r="BR743" s="1" t="s">
        <v>102</v>
      </c>
      <c r="BS743" s="1" t="s">
        <v>14986</v>
      </c>
      <c r="BT743" s="1" t="str">
        <f>HYPERLINK("https%3A%2F%2Fwww.webofscience.com%2Fwos%2Fwoscc%2Ffull-record%2FWOS:000818875800022","View Full Record in Web of Science")</f>
        <v>View Full Record in Web of Science</v>
      </c>
    </row>
    <row r="744" ht="12.75" customHeight="1">
      <c r="A744" s="1" t="s">
        <v>132</v>
      </c>
      <c r="B744" s="1" t="s">
        <v>14987</v>
      </c>
      <c r="C744" s="1" t="s">
        <v>74</v>
      </c>
      <c r="D744" s="1" t="s">
        <v>74</v>
      </c>
      <c r="E744" s="1" t="s">
        <v>74</v>
      </c>
      <c r="F744" s="1" t="s">
        <v>14988</v>
      </c>
      <c r="G744" s="1" t="s">
        <v>74</v>
      </c>
      <c r="H744" s="1" t="s">
        <v>74</v>
      </c>
      <c r="I744" s="1" t="s">
        <v>14989</v>
      </c>
      <c r="J744" s="1" t="s">
        <v>11925</v>
      </c>
      <c r="K744" s="1" t="s">
        <v>74</v>
      </c>
      <c r="L744" s="1" t="s">
        <v>74</v>
      </c>
      <c r="M744" s="1" t="s">
        <v>80</v>
      </c>
      <c r="N744" s="1" t="s">
        <v>136</v>
      </c>
      <c r="O744" s="1" t="s">
        <v>74</v>
      </c>
      <c r="P744" s="1" t="s">
        <v>74</v>
      </c>
      <c r="Q744" s="1" t="s">
        <v>74</v>
      </c>
      <c r="R744" s="1" t="s">
        <v>74</v>
      </c>
      <c r="S744" s="1" t="s">
        <v>74</v>
      </c>
      <c r="T744" s="1" t="s">
        <v>14990</v>
      </c>
      <c r="U744" s="1" t="s">
        <v>14991</v>
      </c>
      <c r="V744" s="1" t="s">
        <v>14992</v>
      </c>
      <c r="W744" s="1" t="s">
        <v>14993</v>
      </c>
      <c r="X744" s="1" t="s">
        <v>14994</v>
      </c>
      <c r="Y744" s="1" t="s">
        <v>14995</v>
      </c>
      <c r="Z744" s="1" t="s">
        <v>14996</v>
      </c>
      <c r="AA744" s="1" t="s">
        <v>14997</v>
      </c>
      <c r="AB744" s="1" t="s">
        <v>74</v>
      </c>
      <c r="AC744" s="1" t="s">
        <v>14998</v>
      </c>
      <c r="AD744" s="1" t="s">
        <v>14999</v>
      </c>
      <c r="AE744" s="1" t="s">
        <v>15000</v>
      </c>
      <c r="AF744" s="1" t="s">
        <v>74</v>
      </c>
      <c r="AG744" s="1">
        <v>74.0</v>
      </c>
      <c r="AH744" s="1">
        <v>1.0</v>
      </c>
      <c r="AI744" s="1">
        <v>1.0</v>
      </c>
      <c r="AJ744" s="1">
        <v>24.0</v>
      </c>
      <c r="AK744" s="1">
        <v>24.0</v>
      </c>
      <c r="AL744" s="1" t="s">
        <v>321</v>
      </c>
      <c r="AM744" s="1" t="s">
        <v>322</v>
      </c>
      <c r="AN744" s="1" t="s">
        <v>323</v>
      </c>
      <c r="AO744" s="1" t="s">
        <v>11936</v>
      </c>
      <c r="AP744" s="1" t="s">
        <v>11937</v>
      </c>
      <c r="AQ744" s="1" t="s">
        <v>74</v>
      </c>
      <c r="AR744" s="1" t="s">
        <v>11938</v>
      </c>
      <c r="AS744" s="1" t="s">
        <v>11939</v>
      </c>
      <c r="AT744" s="1" t="s">
        <v>1051</v>
      </c>
      <c r="AU744" s="1">
        <v>2024.0</v>
      </c>
      <c r="AV744" s="1">
        <v>95.0</v>
      </c>
      <c r="AW744" s="1" t="s">
        <v>74</v>
      </c>
      <c r="AX744" s="1" t="s">
        <v>74</v>
      </c>
      <c r="AY744" s="1" t="s">
        <v>74</v>
      </c>
      <c r="AZ744" s="1" t="s">
        <v>74</v>
      </c>
      <c r="BA744" s="1" t="s">
        <v>74</v>
      </c>
      <c r="BB744" s="1" t="s">
        <v>74</v>
      </c>
      <c r="BC744" s="1" t="s">
        <v>74</v>
      </c>
      <c r="BD744" s="1">
        <v>101815.0</v>
      </c>
      <c r="BE744" s="1" t="s">
        <v>15001</v>
      </c>
      <c r="BF744" s="2" t="str">
        <f>HYPERLINK("http://dx.doi.org/10.1016/j.asieco.2024.101815","http://dx.doi.org/10.1016/j.asieco.2024.101815")</f>
        <v>http://dx.doi.org/10.1016/j.asieco.2024.101815</v>
      </c>
      <c r="BG744" s="1" t="s">
        <v>74</v>
      </c>
      <c r="BH744" s="1" t="s">
        <v>2753</v>
      </c>
      <c r="BI744" s="1">
        <v>13.0</v>
      </c>
      <c r="BJ744" s="1" t="s">
        <v>202</v>
      </c>
      <c r="BK744" s="1" t="s">
        <v>203</v>
      </c>
      <c r="BL744" s="1" t="s">
        <v>204</v>
      </c>
      <c r="BM744" s="1" t="s">
        <v>15002</v>
      </c>
      <c r="BN744" s="1" t="s">
        <v>74</v>
      </c>
      <c r="BO744" s="1" t="s">
        <v>74</v>
      </c>
      <c r="BP744" s="1" t="s">
        <v>74</v>
      </c>
      <c r="BQ744" s="1" t="s">
        <v>74</v>
      </c>
      <c r="BR744" s="1" t="s">
        <v>102</v>
      </c>
      <c r="BS744" s="1" t="s">
        <v>15003</v>
      </c>
      <c r="BT744" s="1" t="str">
        <f>HYPERLINK("https%3A%2F%2Fwww.webofscience.com%2Fwos%2Fwoscc%2Ffull-record%2FWOS:001368562400001","View Full Record in Web of Science")</f>
        <v>View Full Record in Web of Science</v>
      </c>
    </row>
    <row r="745" ht="12.75" customHeight="1">
      <c r="A745" s="1" t="s">
        <v>132</v>
      </c>
      <c r="B745" s="1" t="s">
        <v>15004</v>
      </c>
      <c r="C745" s="1" t="s">
        <v>74</v>
      </c>
      <c r="D745" s="1" t="s">
        <v>74</v>
      </c>
      <c r="E745" s="1" t="s">
        <v>74</v>
      </c>
      <c r="F745" s="1" t="s">
        <v>15005</v>
      </c>
      <c r="G745" s="1" t="s">
        <v>74</v>
      </c>
      <c r="H745" s="1" t="s">
        <v>74</v>
      </c>
      <c r="I745" s="1" t="s">
        <v>15006</v>
      </c>
      <c r="J745" s="1" t="s">
        <v>9368</v>
      </c>
      <c r="K745" s="1" t="s">
        <v>74</v>
      </c>
      <c r="L745" s="1" t="s">
        <v>74</v>
      </c>
      <c r="M745" s="1" t="s">
        <v>80</v>
      </c>
      <c r="N745" s="1" t="s">
        <v>338</v>
      </c>
      <c r="O745" s="1" t="s">
        <v>74</v>
      </c>
      <c r="P745" s="1" t="s">
        <v>74</v>
      </c>
      <c r="Q745" s="1" t="s">
        <v>74</v>
      </c>
      <c r="R745" s="1" t="s">
        <v>74</v>
      </c>
      <c r="S745" s="1" t="s">
        <v>74</v>
      </c>
      <c r="T745" s="1" t="s">
        <v>15007</v>
      </c>
      <c r="U745" s="1" t="s">
        <v>15008</v>
      </c>
      <c r="V745" s="1" t="s">
        <v>15009</v>
      </c>
      <c r="W745" s="1" t="s">
        <v>15010</v>
      </c>
      <c r="X745" s="1" t="s">
        <v>15011</v>
      </c>
      <c r="Y745" s="1" t="s">
        <v>15012</v>
      </c>
      <c r="Z745" s="1" t="s">
        <v>6074</v>
      </c>
      <c r="AA745" s="1" t="s">
        <v>15013</v>
      </c>
      <c r="AB745" s="1" t="s">
        <v>15014</v>
      </c>
      <c r="AC745" s="1" t="s">
        <v>5752</v>
      </c>
      <c r="AD745" s="1" t="s">
        <v>5753</v>
      </c>
      <c r="AE745" s="1" t="s">
        <v>15015</v>
      </c>
      <c r="AF745" s="1" t="s">
        <v>74</v>
      </c>
      <c r="AG745" s="1">
        <v>46.0</v>
      </c>
      <c r="AH745" s="1">
        <v>0.0</v>
      </c>
      <c r="AI745" s="1">
        <v>0.0</v>
      </c>
      <c r="AJ745" s="1">
        <v>2.0</v>
      </c>
      <c r="AK745" s="1">
        <v>2.0</v>
      </c>
      <c r="AL745" s="1" t="s">
        <v>595</v>
      </c>
      <c r="AM745" s="1" t="s">
        <v>467</v>
      </c>
      <c r="AN745" s="1" t="s">
        <v>596</v>
      </c>
      <c r="AO745" s="1" t="s">
        <v>9380</v>
      </c>
      <c r="AP745" s="1" t="s">
        <v>9381</v>
      </c>
      <c r="AQ745" s="1" t="s">
        <v>74</v>
      </c>
      <c r="AR745" s="1" t="s">
        <v>9382</v>
      </c>
      <c r="AS745" s="1" t="s">
        <v>9383</v>
      </c>
      <c r="AT745" s="1" t="s">
        <v>15016</v>
      </c>
      <c r="AU745" s="1">
        <v>2025.0</v>
      </c>
      <c r="AV745" s="1" t="s">
        <v>74</v>
      </c>
      <c r="AW745" s="1" t="s">
        <v>74</v>
      </c>
      <c r="AX745" s="1" t="s">
        <v>74</v>
      </c>
      <c r="AY745" s="1" t="s">
        <v>74</v>
      </c>
      <c r="AZ745" s="1" t="s">
        <v>74</v>
      </c>
      <c r="BA745" s="1" t="s">
        <v>74</v>
      </c>
      <c r="BB745" s="1" t="s">
        <v>74</v>
      </c>
      <c r="BC745" s="1" t="s">
        <v>74</v>
      </c>
      <c r="BD745" s="1" t="s">
        <v>74</v>
      </c>
      <c r="BE745" s="1" t="s">
        <v>15017</v>
      </c>
      <c r="BF745" s="2" t="str">
        <f>HYPERLINK("http://dx.doi.org/10.1080/00036846.2025.2449621","http://dx.doi.org/10.1080/00036846.2025.2449621")</f>
        <v>http://dx.doi.org/10.1080/00036846.2025.2449621</v>
      </c>
      <c r="BG745" s="1" t="s">
        <v>74</v>
      </c>
      <c r="BH745" s="1" t="s">
        <v>3808</v>
      </c>
      <c r="BI745" s="1">
        <v>16.0</v>
      </c>
      <c r="BJ745" s="1" t="s">
        <v>202</v>
      </c>
      <c r="BK745" s="1" t="s">
        <v>203</v>
      </c>
      <c r="BL745" s="1" t="s">
        <v>204</v>
      </c>
      <c r="BM745" s="1" t="s">
        <v>15018</v>
      </c>
      <c r="BN745" s="1" t="s">
        <v>74</v>
      </c>
      <c r="BO745" s="1" t="s">
        <v>74</v>
      </c>
      <c r="BP745" s="1" t="s">
        <v>74</v>
      </c>
      <c r="BQ745" s="1" t="s">
        <v>74</v>
      </c>
      <c r="BR745" s="1" t="s">
        <v>102</v>
      </c>
      <c r="BS745" s="1" t="s">
        <v>15019</v>
      </c>
      <c r="BT745" s="1" t="str">
        <f>HYPERLINK("https%3A%2F%2Fwww.webofscience.com%2Fwos%2Fwoscc%2Ffull-record%2FWOS:001394177500001","View Full Record in Web of Science")</f>
        <v>View Full Record in Web of Science</v>
      </c>
    </row>
    <row r="746" ht="12.75" customHeight="1">
      <c r="A746" s="1" t="s">
        <v>72</v>
      </c>
      <c r="B746" s="1" t="s">
        <v>15020</v>
      </c>
      <c r="C746" s="1" t="s">
        <v>74</v>
      </c>
      <c r="D746" s="1" t="s">
        <v>15021</v>
      </c>
      <c r="E746" s="1" t="s">
        <v>74</v>
      </c>
      <c r="F746" s="1" t="s">
        <v>15022</v>
      </c>
      <c r="G746" s="1" t="s">
        <v>74</v>
      </c>
      <c r="H746" s="1" t="s">
        <v>74</v>
      </c>
      <c r="I746" s="1" t="s">
        <v>15023</v>
      </c>
      <c r="J746" s="1" t="s">
        <v>15024</v>
      </c>
      <c r="K746" s="1" t="s">
        <v>74</v>
      </c>
      <c r="L746" s="1" t="s">
        <v>74</v>
      </c>
      <c r="M746" s="1" t="s">
        <v>80</v>
      </c>
      <c r="N746" s="1" t="s">
        <v>81</v>
      </c>
      <c r="O746" s="1" t="s">
        <v>15025</v>
      </c>
      <c r="P746" s="1" t="s">
        <v>15026</v>
      </c>
      <c r="Q746" s="1" t="s">
        <v>15027</v>
      </c>
      <c r="R746" s="1" t="s">
        <v>74</v>
      </c>
      <c r="S746" s="1" t="s">
        <v>74</v>
      </c>
      <c r="T746" s="1" t="s">
        <v>15028</v>
      </c>
      <c r="U746" s="1" t="s">
        <v>74</v>
      </c>
      <c r="V746" s="1" t="s">
        <v>15029</v>
      </c>
      <c r="W746" s="1" t="s">
        <v>15030</v>
      </c>
      <c r="X746" s="1" t="s">
        <v>15031</v>
      </c>
      <c r="Y746" s="1" t="s">
        <v>15032</v>
      </c>
      <c r="Z746" s="1" t="s">
        <v>15033</v>
      </c>
      <c r="AA746" s="1" t="s">
        <v>15034</v>
      </c>
      <c r="AB746" s="1" t="s">
        <v>74</v>
      </c>
      <c r="AC746" s="1" t="s">
        <v>15035</v>
      </c>
      <c r="AD746" s="1" t="s">
        <v>14614</v>
      </c>
      <c r="AE746" s="1" t="s">
        <v>15036</v>
      </c>
      <c r="AF746" s="1" t="s">
        <v>74</v>
      </c>
      <c r="AG746" s="1">
        <v>28.0</v>
      </c>
      <c r="AH746" s="1">
        <v>0.0</v>
      </c>
      <c r="AI746" s="1">
        <v>0.0</v>
      </c>
      <c r="AJ746" s="1">
        <v>5.0</v>
      </c>
      <c r="AK746" s="1">
        <v>5.0</v>
      </c>
      <c r="AL746" s="1" t="s">
        <v>15037</v>
      </c>
      <c r="AM746" s="1" t="s">
        <v>15038</v>
      </c>
      <c r="AN746" s="1" t="s">
        <v>15039</v>
      </c>
      <c r="AO746" s="1" t="s">
        <v>74</v>
      </c>
      <c r="AP746" s="1" t="s">
        <v>74</v>
      </c>
      <c r="AQ746" s="1" t="s">
        <v>15040</v>
      </c>
      <c r="AR746" s="1" t="s">
        <v>74</v>
      </c>
      <c r="AS746" s="1" t="s">
        <v>74</v>
      </c>
      <c r="AT746" s="1" t="s">
        <v>74</v>
      </c>
      <c r="AU746" s="1">
        <v>2023.0</v>
      </c>
      <c r="AV746" s="1" t="s">
        <v>74</v>
      </c>
      <c r="AW746" s="1" t="s">
        <v>74</v>
      </c>
      <c r="AX746" s="1" t="s">
        <v>74</v>
      </c>
      <c r="AY746" s="1" t="s">
        <v>74</v>
      </c>
      <c r="AZ746" s="1" t="s">
        <v>74</v>
      </c>
      <c r="BA746" s="1" t="s">
        <v>74</v>
      </c>
      <c r="BB746" s="1">
        <v>519.0</v>
      </c>
      <c r="BC746" s="1">
        <v>524.0</v>
      </c>
      <c r="BD746" s="1" t="s">
        <v>74</v>
      </c>
      <c r="BE746" s="1" t="s">
        <v>74</v>
      </c>
      <c r="BF746" s="1" t="s">
        <v>74</v>
      </c>
      <c r="BG746" s="1" t="s">
        <v>74</v>
      </c>
      <c r="BH746" s="1" t="s">
        <v>74</v>
      </c>
      <c r="BI746" s="1">
        <v>6.0</v>
      </c>
      <c r="BJ746" s="1" t="s">
        <v>15041</v>
      </c>
      <c r="BK746" s="1" t="s">
        <v>99</v>
      </c>
      <c r="BL746" s="1" t="s">
        <v>204</v>
      </c>
      <c r="BM746" s="1" t="s">
        <v>15042</v>
      </c>
      <c r="BN746" s="1" t="s">
        <v>74</v>
      </c>
      <c r="BO746" s="1" t="s">
        <v>74</v>
      </c>
      <c r="BP746" s="1" t="s">
        <v>74</v>
      </c>
      <c r="BQ746" s="1" t="s">
        <v>74</v>
      </c>
      <c r="BR746" s="1" t="s">
        <v>102</v>
      </c>
      <c r="BS746" s="1" t="s">
        <v>15043</v>
      </c>
      <c r="BT746" s="1" t="str">
        <f>HYPERLINK("https%3A%2F%2Fwww.webofscience.com%2Fwos%2Fwoscc%2Ffull-record%2FWOS:001250452400057","View Full Record in Web of Science")</f>
        <v>View Full Record in Web of Science</v>
      </c>
    </row>
    <row r="747" ht="12.75" customHeight="1">
      <c r="A747" s="1" t="s">
        <v>132</v>
      </c>
      <c r="B747" s="1" t="s">
        <v>15044</v>
      </c>
      <c r="C747" s="1" t="s">
        <v>74</v>
      </c>
      <c r="D747" s="1" t="s">
        <v>74</v>
      </c>
      <c r="E747" s="1" t="s">
        <v>74</v>
      </c>
      <c r="F747" s="1" t="s">
        <v>15045</v>
      </c>
      <c r="G747" s="1" t="s">
        <v>74</v>
      </c>
      <c r="H747" s="1" t="s">
        <v>74</v>
      </c>
      <c r="I747" s="1" t="s">
        <v>15046</v>
      </c>
      <c r="J747" s="1" t="s">
        <v>15047</v>
      </c>
      <c r="K747" s="1" t="s">
        <v>74</v>
      </c>
      <c r="L747" s="1" t="s">
        <v>74</v>
      </c>
      <c r="M747" s="1" t="s">
        <v>80</v>
      </c>
      <c r="N747" s="1" t="s">
        <v>136</v>
      </c>
      <c r="O747" s="1" t="s">
        <v>74</v>
      </c>
      <c r="P747" s="1" t="s">
        <v>74</v>
      </c>
      <c r="Q747" s="1" t="s">
        <v>74</v>
      </c>
      <c r="R747" s="1" t="s">
        <v>74</v>
      </c>
      <c r="S747" s="1" t="s">
        <v>74</v>
      </c>
      <c r="T747" s="1" t="s">
        <v>15048</v>
      </c>
      <c r="U747" s="1" t="s">
        <v>15049</v>
      </c>
      <c r="V747" s="1" t="s">
        <v>15050</v>
      </c>
      <c r="W747" s="1" t="s">
        <v>15051</v>
      </c>
      <c r="X747" s="1" t="s">
        <v>15052</v>
      </c>
      <c r="Y747" s="1" t="s">
        <v>15053</v>
      </c>
      <c r="Z747" s="1" t="s">
        <v>15054</v>
      </c>
      <c r="AA747" s="1" t="s">
        <v>15055</v>
      </c>
      <c r="AB747" s="1" t="s">
        <v>15056</v>
      </c>
      <c r="AC747" s="1" t="s">
        <v>15057</v>
      </c>
      <c r="AD747" s="1" t="s">
        <v>15058</v>
      </c>
      <c r="AE747" s="1" t="s">
        <v>15059</v>
      </c>
      <c r="AF747" s="1" t="s">
        <v>74</v>
      </c>
      <c r="AG747" s="1">
        <v>67.0</v>
      </c>
      <c r="AH747" s="1">
        <v>9.0</v>
      </c>
      <c r="AI747" s="1">
        <v>9.0</v>
      </c>
      <c r="AJ747" s="1">
        <v>10.0</v>
      </c>
      <c r="AK747" s="1">
        <v>68.0</v>
      </c>
      <c r="AL747" s="1" t="s">
        <v>275</v>
      </c>
      <c r="AM747" s="1" t="s">
        <v>276</v>
      </c>
      <c r="AN747" s="1" t="s">
        <v>277</v>
      </c>
      <c r="AO747" s="1" t="s">
        <v>74</v>
      </c>
      <c r="AP747" s="1" t="s">
        <v>15060</v>
      </c>
      <c r="AQ747" s="1" t="s">
        <v>74</v>
      </c>
      <c r="AR747" s="1" t="s">
        <v>15061</v>
      </c>
      <c r="AS747" s="1" t="s">
        <v>15062</v>
      </c>
      <c r="AT747" s="1" t="s">
        <v>15063</v>
      </c>
      <c r="AU747" s="1">
        <v>2022.0</v>
      </c>
      <c r="AV747" s="1">
        <v>13.0</v>
      </c>
      <c r="AW747" s="1" t="s">
        <v>74</v>
      </c>
      <c r="AX747" s="1" t="s">
        <v>74</v>
      </c>
      <c r="AY747" s="1" t="s">
        <v>74</v>
      </c>
      <c r="AZ747" s="1" t="s">
        <v>74</v>
      </c>
      <c r="BA747" s="1" t="s">
        <v>74</v>
      </c>
      <c r="BB747" s="1" t="s">
        <v>74</v>
      </c>
      <c r="BC747" s="1" t="s">
        <v>74</v>
      </c>
      <c r="BD747" s="1">
        <v>930520.0</v>
      </c>
      <c r="BE747" s="1" t="s">
        <v>15064</v>
      </c>
      <c r="BF747" s="2" t="str">
        <f>HYPERLINK("http://dx.doi.org/10.3389/fphar.2022.930520","http://dx.doi.org/10.3389/fphar.2022.930520")</f>
        <v>http://dx.doi.org/10.3389/fphar.2022.930520</v>
      </c>
      <c r="BG747" s="1" t="s">
        <v>74</v>
      </c>
      <c r="BH747" s="1" t="s">
        <v>74</v>
      </c>
      <c r="BI747" s="1">
        <v>12.0</v>
      </c>
      <c r="BJ747" s="1" t="s">
        <v>7236</v>
      </c>
      <c r="BK747" s="1" t="s">
        <v>149</v>
      </c>
      <c r="BL747" s="1" t="s">
        <v>7236</v>
      </c>
      <c r="BM747" s="1" t="s">
        <v>15065</v>
      </c>
      <c r="BN747" s="1">
        <v>3.575449E7</v>
      </c>
      <c r="BO747" s="1" t="s">
        <v>1161</v>
      </c>
      <c r="BP747" s="1" t="s">
        <v>74</v>
      </c>
      <c r="BQ747" s="1" t="s">
        <v>74</v>
      </c>
      <c r="BR747" s="1" t="s">
        <v>102</v>
      </c>
      <c r="BS747" s="1" t="s">
        <v>15066</v>
      </c>
      <c r="BT747" s="1" t="str">
        <f>HYPERLINK("https%3A%2F%2Fwww.webofscience.com%2Fwos%2Fwoscc%2Ffull-record%2FWOS:000814498800001","View Full Record in Web of Science")</f>
        <v>View Full Record in Web of Science</v>
      </c>
    </row>
    <row r="748" ht="12.75" customHeight="1">
      <c r="A748" s="1" t="s">
        <v>132</v>
      </c>
      <c r="B748" s="1" t="s">
        <v>15067</v>
      </c>
      <c r="C748" s="1" t="s">
        <v>74</v>
      </c>
      <c r="D748" s="1" t="s">
        <v>74</v>
      </c>
      <c r="E748" s="1" t="s">
        <v>74</v>
      </c>
      <c r="F748" s="1" t="s">
        <v>15068</v>
      </c>
      <c r="G748" s="1" t="s">
        <v>74</v>
      </c>
      <c r="H748" s="1" t="s">
        <v>74</v>
      </c>
      <c r="I748" s="1" t="s">
        <v>15069</v>
      </c>
      <c r="J748" s="1" t="s">
        <v>15070</v>
      </c>
      <c r="K748" s="1" t="s">
        <v>74</v>
      </c>
      <c r="L748" s="1" t="s">
        <v>74</v>
      </c>
      <c r="M748" s="1" t="s">
        <v>80</v>
      </c>
      <c r="N748" s="1" t="s">
        <v>136</v>
      </c>
      <c r="O748" s="1" t="s">
        <v>74</v>
      </c>
      <c r="P748" s="1" t="s">
        <v>74</v>
      </c>
      <c r="Q748" s="1" t="s">
        <v>74</v>
      </c>
      <c r="R748" s="1" t="s">
        <v>74</v>
      </c>
      <c r="S748" s="1" t="s">
        <v>74</v>
      </c>
      <c r="T748" s="1" t="s">
        <v>15071</v>
      </c>
      <c r="U748" s="1" t="s">
        <v>15072</v>
      </c>
      <c r="V748" s="1" t="s">
        <v>15073</v>
      </c>
      <c r="W748" s="1" t="s">
        <v>15074</v>
      </c>
      <c r="X748" s="1" t="s">
        <v>74</v>
      </c>
      <c r="Y748" s="1" t="s">
        <v>15075</v>
      </c>
      <c r="Z748" s="1" t="s">
        <v>15076</v>
      </c>
      <c r="AA748" s="1" t="s">
        <v>15077</v>
      </c>
      <c r="AB748" s="1" t="s">
        <v>15078</v>
      </c>
      <c r="AC748" s="1" t="s">
        <v>74</v>
      </c>
      <c r="AD748" s="1" t="s">
        <v>74</v>
      </c>
      <c r="AE748" s="1" t="s">
        <v>74</v>
      </c>
      <c r="AF748" s="1" t="s">
        <v>74</v>
      </c>
      <c r="AG748" s="1">
        <v>116.0</v>
      </c>
      <c r="AH748" s="1">
        <v>16.0</v>
      </c>
      <c r="AI748" s="1">
        <v>16.0</v>
      </c>
      <c r="AJ748" s="1">
        <v>40.0</v>
      </c>
      <c r="AK748" s="1">
        <v>163.0</v>
      </c>
      <c r="AL748" s="1" t="s">
        <v>1571</v>
      </c>
      <c r="AM748" s="1" t="s">
        <v>1572</v>
      </c>
      <c r="AN748" s="1" t="s">
        <v>1573</v>
      </c>
      <c r="AO748" s="1" t="s">
        <v>15079</v>
      </c>
      <c r="AP748" s="1" t="s">
        <v>15080</v>
      </c>
      <c r="AQ748" s="1" t="s">
        <v>74</v>
      </c>
      <c r="AR748" s="1" t="s">
        <v>15081</v>
      </c>
      <c r="AS748" s="1" t="s">
        <v>15082</v>
      </c>
      <c r="AT748" s="1" t="s">
        <v>2469</v>
      </c>
      <c r="AU748" s="1">
        <v>2022.0</v>
      </c>
      <c r="AV748" s="1">
        <v>53.0</v>
      </c>
      <c r="AW748" s="1">
        <v>5.0</v>
      </c>
      <c r="AX748" s="1" t="s">
        <v>74</v>
      </c>
      <c r="AY748" s="1" t="s">
        <v>74</v>
      </c>
      <c r="AZ748" s="1" t="s">
        <v>74</v>
      </c>
      <c r="BA748" s="1" t="s">
        <v>74</v>
      </c>
      <c r="BB748" s="1">
        <v>438.0</v>
      </c>
      <c r="BC748" s="1">
        <v>455.0</v>
      </c>
      <c r="BD748" s="1">
        <v>8.756972821106178E16</v>
      </c>
      <c r="BE748" s="1" t="s">
        <v>15083</v>
      </c>
      <c r="BF748" s="2" t="str">
        <f>HYPERLINK("http://dx.doi.org/10.1177/87569728211061779","http://dx.doi.org/10.1177/87569728211061779")</f>
        <v>http://dx.doi.org/10.1177/87569728211061779</v>
      </c>
      <c r="BG748" s="1" t="s">
        <v>74</v>
      </c>
      <c r="BH748" s="1" t="s">
        <v>8249</v>
      </c>
      <c r="BI748" s="1">
        <v>18.0</v>
      </c>
      <c r="BJ748" s="1" t="s">
        <v>1776</v>
      </c>
      <c r="BK748" s="1" t="s">
        <v>203</v>
      </c>
      <c r="BL748" s="1" t="s">
        <v>204</v>
      </c>
      <c r="BM748" s="1" t="s">
        <v>15084</v>
      </c>
      <c r="BN748" s="1" t="s">
        <v>74</v>
      </c>
      <c r="BO748" s="1" t="s">
        <v>74</v>
      </c>
      <c r="BP748" s="1" t="s">
        <v>74</v>
      </c>
      <c r="BQ748" s="1" t="s">
        <v>74</v>
      </c>
      <c r="BR748" s="1" t="s">
        <v>102</v>
      </c>
      <c r="BS748" s="1" t="s">
        <v>15085</v>
      </c>
      <c r="BT748" s="1" t="str">
        <f>HYPERLINK("https%3A%2F%2Fwww.webofscience.com%2Fwos%2Fwoscc%2Ffull-record%2FWOS:000747688200001","View Full Record in Web of Science")</f>
        <v>View Full Record in Web of Science</v>
      </c>
    </row>
    <row r="749" ht="12.75" customHeight="1">
      <c r="A749" s="1" t="s">
        <v>132</v>
      </c>
      <c r="B749" s="1" t="s">
        <v>15086</v>
      </c>
      <c r="C749" s="1" t="s">
        <v>74</v>
      </c>
      <c r="D749" s="1" t="s">
        <v>74</v>
      </c>
      <c r="E749" s="1" t="s">
        <v>74</v>
      </c>
      <c r="F749" s="1" t="s">
        <v>15087</v>
      </c>
      <c r="G749" s="1" t="s">
        <v>74</v>
      </c>
      <c r="H749" s="1" t="s">
        <v>74</v>
      </c>
      <c r="I749" s="1" t="s">
        <v>15088</v>
      </c>
      <c r="J749" s="1" t="s">
        <v>15089</v>
      </c>
      <c r="K749" s="1" t="s">
        <v>74</v>
      </c>
      <c r="L749" s="1" t="s">
        <v>74</v>
      </c>
      <c r="M749" s="1" t="s">
        <v>80</v>
      </c>
      <c r="N749" s="1" t="s">
        <v>136</v>
      </c>
      <c r="O749" s="1" t="s">
        <v>74</v>
      </c>
      <c r="P749" s="1" t="s">
        <v>74</v>
      </c>
      <c r="Q749" s="1" t="s">
        <v>74</v>
      </c>
      <c r="R749" s="1" t="s">
        <v>74</v>
      </c>
      <c r="S749" s="1" t="s">
        <v>74</v>
      </c>
      <c r="T749" s="1" t="s">
        <v>15090</v>
      </c>
      <c r="U749" s="1" t="s">
        <v>15091</v>
      </c>
      <c r="V749" s="1" t="s">
        <v>15092</v>
      </c>
      <c r="W749" s="1" t="s">
        <v>15093</v>
      </c>
      <c r="X749" s="1" t="s">
        <v>74</v>
      </c>
      <c r="Y749" s="1" t="s">
        <v>15094</v>
      </c>
      <c r="Z749" s="1" t="s">
        <v>15095</v>
      </c>
      <c r="AA749" s="1" t="s">
        <v>15096</v>
      </c>
      <c r="AB749" s="1" t="s">
        <v>15097</v>
      </c>
      <c r="AC749" s="1" t="s">
        <v>74</v>
      </c>
      <c r="AD749" s="1" t="s">
        <v>74</v>
      </c>
      <c r="AE749" s="1" t="s">
        <v>74</v>
      </c>
      <c r="AF749" s="1" t="s">
        <v>74</v>
      </c>
      <c r="AG749" s="1">
        <v>31.0</v>
      </c>
      <c r="AH749" s="1">
        <v>24.0</v>
      </c>
      <c r="AI749" s="1">
        <v>25.0</v>
      </c>
      <c r="AJ749" s="1">
        <v>17.0</v>
      </c>
      <c r="AK749" s="1">
        <v>82.0</v>
      </c>
      <c r="AL749" s="1" t="s">
        <v>571</v>
      </c>
      <c r="AM749" s="1" t="s">
        <v>1768</v>
      </c>
      <c r="AN749" s="1" t="s">
        <v>1769</v>
      </c>
      <c r="AO749" s="1" t="s">
        <v>15098</v>
      </c>
      <c r="AP749" s="1" t="s">
        <v>15099</v>
      </c>
      <c r="AQ749" s="1" t="s">
        <v>74</v>
      </c>
      <c r="AR749" s="1" t="s">
        <v>15100</v>
      </c>
      <c r="AS749" s="1" t="s">
        <v>15101</v>
      </c>
      <c r="AT749" s="1" t="s">
        <v>15102</v>
      </c>
      <c r="AU749" s="1">
        <v>2022.0</v>
      </c>
      <c r="AV749" s="1">
        <v>16.0</v>
      </c>
      <c r="AW749" s="1">
        <v>2.0</v>
      </c>
      <c r="AX749" s="1" t="s">
        <v>74</v>
      </c>
      <c r="AY749" s="1" t="s">
        <v>74</v>
      </c>
      <c r="AZ749" s="1" t="s">
        <v>474</v>
      </c>
      <c r="BA749" s="1" t="s">
        <v>74</v>
      </c>
      <c r="BB749" s="1">
        <v>267.0</v>
      </c>
      <c r="BC749" s="1">
        <v>278.0</v>
      </c>
      <c r="BD749" s="1" t="s">
        <v>74</v>
      </c>
      <c r="BE749" s="1" t="s">
        <v>15103</v>
      </c>
      <c r="BF749" s="2" t="str">
        <f>HYPERLINK("http://dx.doi.org/10.1108/JABS-09-2020-0376","http://dx.doi.org/10.1108/JABS-09-2020-0376")</f>
        <v>http://dx.doi.org/10.1108/JABS-09-2020-0376</v>
      </c>
      <c r="BG749" s="1" t="s">
        <v>74</v>
      </c>
      <c r="BH749" s="1" t="s">
        <v>3899</v>
      </c>
      <c r="BI749" s="1">
        <v>12.0</v>
      </c>
      <c r="BJ749" s="1" t="s">
        <v>2040</v>
      </c>
      <c r="BK749" s="1" t="s">
        <v>172</v>
      </c>
      <c r="BL749" s="1" t="s">
        <v>204</v>
      </c>
      <c r="BM749" s="1" t="s">
        <v>15104</v>
      </c>
      <c r="BN749" s="1" t="s">
        <v>74</v>
      </c>
      <c r="BO749" s="1" t="s">
        <v>74</v>
      </c>
      <c r="BP749" s="1" t="s">
        <v>74</v>
      </c>
      <c r="BQ749" s="1" t="s">
        <v>74</v>
      </c>
      <c r="BR749" s="1" t="s">
        <v>102</v>
      </c>
      <c r="BS749" s="1" t="s">
        <v>15105</v>
      </c>
      <c r="BT749" s="1" t="str">
        <f>HYPERLINK("https%3A%2F%2Fwww.webofscience.com%2Fwos%2Fwoscc%2Ffull-record%2FWOS:000664309500001","View Full Record in Web of Science")</f>
        <v>View Full Record in Web of Science</v>
      </c>
    </row>
    <row r="750" ht="12.75" customHeight="1">
      <c r="A750" s="1" t="s">
        <v>132</v>
      </c>
      <c r="B750" s="1" t="s">
        <v>15106</v>
      </c>
      <c r="C750" s="1" t="s">
        <v>74</v>
      </c>
      <c r="D750" s="1" t="s">
        <v>74</v>
      </c>
      <c r="E750" s="1" t="s">
        <v>74</v>
      </c>
      <c r="F750" s="1" t="s">
        <v>15107</v>
      </c>
      <c r="G750" s="1" t="s">
        <v>74</v>
      </c>
      <c r="H750" s="1" t="s">
        <v>74</v>
      </c>
      <c r="I750" s="1" t="s">
        <v>15108</v>
      </c>
      <c r="J750" s="1" t="s">
        <v>12010</v>
      </c>
      <c r="K750" s="1" t="s">
        <v>74</v>
      </c>
      <c r="L750" s="1" t="s">
        <v>74</v>
      </c>
      <c r="M750" s="1" t="s">
        <v>638</v>
      </c>
      <c r="N750" s="1" t="s">
        <v>136</v>
      </c>
      <c r="O750" s="1" t="s">
        <v>74</v>
      </c>
      <c r="P750" s="1" t="s">
        <v>74</v>
      </c>
      <c r="Q750" s="1" t="s">
        <v>74</v>
      </c>
      <c r="R750" s="1" t="s">
        <v>74</v>
      </c>
      <c r="S750" s="1" t="s">
        <v>74</v>
      </c>
      <c r="T750" s="1" t="s">
        <v>15109</v>
      </c>
      <c r="U750" s="1" t="s">
        <v>74</v>
      </c>
      <c r="V750" s="1" t="s">
        <v>15110</v>
      </c>
      <c r="W750" s="1" t="s">
        <v>15111</v>
      </c>
      <c r="X750" s="1" t="s">
        <v>15112</v>
      </c>
      <c r="Y750" s="1" t="s">
        <v>15113</v>
      </c>
      <c r="Z750" s="1" t="s">
        <v>15114</v>
      </c>
      <c r="AA750" s="1" t="s">
        <v>74</v>
      </c>
      <c r="AB750" s="1" t="s">
        <v>74</v>
      </c>
      <c r="AC750" s="1" t="s">
        <v>74</v>
      </c>
      <c r="AD750" s="1" t="s">
        <v>74</v>
      </c>
      <c r="AE750" s="1" t="s">
        <v>74</v>
      </c>
      <c r="AF750" s="1" t="s">
        <v>74</v>
      </c>
      <c r="AG750" s="1">
        <v>17.0</v>
      </c>
      <c r="AH750" s="1">
        <v>5.0</v>
      </c>
      <c r="AI750" s="1">
        <v>5.0</v>
      </c>
      <c r="AJ750" s="1">
        <v>7.0</v>
      </c>
      <c r="AK750" s="1">
        <v>42.0</v>
      </c>
      <c r="AL750" s="1" t="s">
        <v>12017</v>
      </c>
      <c r="AM750" s="1" t="s">
        <v>12018</v>
      </c>
      <c r="AN750" s="1" t="s">
        <v>12019</v>
      </c>
      <c r="AO750" s="1" t="s">
        <v>12020</v>
      </c>
      <c r="AP750" s="1" t="s">
        <v>12021</v>
      </c>
      <c r="AQ750" s="1" t="s">
        <v>74</v>
      </c>
      <c r="AR750" s="1" t="s">
        <v>12022</v>
      </c>
      <c r="AS750" s="1" t="s">
        <v>12023</v>
      </c>
      <c r="AT750" s="1" t="s">
        <v>15115</v>
      </c>
      <c r="AU750" s="1">
        <v>2021.0</v>
      </c>
      <c r="AV750" s="1" t="s">
        <v>74</v>
      </c>
      <c r="AW750" s="1">
        <v>34.0</v>
      </c>
      <c r="AX750" s="1" t="s">
        <v>74</v>
      </c>
      <c r="AY750" s="1" t="s">
        <v>74</v>
      </c>
      <c r="AZ750" s="1" t="s">
        <v>74</v>
      </c>
      <c r="BA750" s="1" t="s">
        <v>74</v>
      </c>
      <c r="BB750" s="1">
        <v>177.0</v>
      </c>
      <c r="BC750" s="1">
        <v>194.0</v>
      </c>
      <c r="BD750" s="1" t="s">
        <v>74</v>
      </c>
      <c r="BE750" s="1" t="s">
        <v>15116</v>
      </c>
      <c r="BF750" s="2" t="str">
        <f>HYPERLINK("http://dx.doi.org/10.17163/uni.n34.2021.08","http://dx.doi.org/10.17163/uni.n34.2021.08")</f>
        <v>http://dx.doi.org/10.17163/uni.n34.2021.08</v>
      </c>
      <c r="BG750" s="1" t="s">
        <v>74</v>
      </c>
      <c r="BH750" s="1" t="s">
        <v>74</v>
      </c>
      <c r="BI750" s="1">
        <v>18.0</v>
      </c>
      <c r="BJ750" s="1" t="s">
        <v>98</v>
      </c>
      <c r="BK750" s="1" t="s">
        <v>172</v>
      </c>
      <c r="BL750" s="1" t="s">
        <v>100</v>
      </c>
      <c r="BM750" s="1" t="s">
        <v>15117</v>
      </c>
      <c r="BN750" s="1" t="s">
        <v>74</v>
      </c>
      <c r="BO750" s="1" t="s">
        <v>1667</v>
      </c>
      <c r="BP750" s="1" t="s">
        <v>74</v>
      </c>
      <c r="BQ750" s="1" t="s">
        <v>74</v>
      </c>
      <c r="BR750" s="1" t="s">
        <v>102</v>
      </c>
      <c r="BS750" s="1" t="s">
        <v>15118</v>
      </c>
      <c r="BT750" s="1" t="str">
        <f>HYPERLINK("https%3A%2F%2Fwww.webofscience.com%2Fwos%2Fwoscc%2Ffull-record%2FWOS:000624708300008","View Full Record in Web of Science")</f>
        <v>View Full Record in Web of Science</v>
      </c>
    </row>
    <row r="751" ht="12.75" customHeight="1">
      <c r="A751" s="1" t="s">
        <v>132</v>
      </c>
      <c r="B751" s="1" t="s">
        <v>15119</v>
      </c>
      <c r="C751" s="1" t="s">
        <v>74</v>
      </c>
      <c r="D751" s="1" t="s">
        <v>74</v>
      </c>
      <c r="E751" s="1" t="s">
        <v>74</v>
      </c>
      <c r="F751" s="1" t="s">
        <v>15120</v>
      </c>
      <c r="G751" s="1" t="s">
        <v>74</v>
      </c>
      <c r="H751" s="1" t="s">
        <v>74</v>
      </c>
      <c r="I751" s="1" t="s">
        <v>15121</v>
      </c>
      <c r="J751" s="1" t="s">
        <v>15122</v>
      </c>
      <c r="K751" s="1" t="s">
        <v>74</v>
      </c>
      <c r="L751" s="1" t="s">
        <v>74</v>
      </c>
      <c r="M751" s="1" t="s">
        <v>80</v>
      </c>
      <c r="N751" s="1" t="s">
        <v>136</v>
      </c>
      <c r="O751" s="1" t="s">
        <v>74</v>
      </c>
      <c r="P751" s="1" t="s">
        <v>74</v>
      </c>
      <c r="Q751" s="1" t="s">
        <v>74</v>
      </c>
      <c r="R751" s="1" t="s">
        <v>74</v>
      </c>
      <c r="S751" s="1" t="s">
        <v>74</v>
      </c>
      <c r="T751" s="1" t="s">
        <v>15123</v>
      </c>
      <c r="U751" s="1" t="s">
        <v>15124</v>
      </c>
      <c r="V751" s="1" t="s">
        <v>15125</v>
      </c>
      <c r="W751" s="1" t="s">
        <v>15126</v>
      </c>
      <c r="X751" s="1" t="s">
        <v>15127</v>
      </c>
      <c r="Y751" s="1" t="s">
        <v>15128</v>
      </c>
      <c r="Z751" s="1" t="s">
        <v>8605</v>
      </c>
      <c r="AA751" s="1" t="s">
        <v>15129</v>
      </c>
      <c r="AB751" s="1" t="s">
        <v>15130</v>
      </c>
      <c r="AC751" s="1" t="s">
        <v>74</v>
      </c>
      <c r="AD751" s="1" t="s">
        <v>74</v>
      </c>
      <c r="AE751" s="1" t="s">
        <v>74</v>
      </c>
      <c r="AF751" s="1" t="s">
        <v>74</v>
      </c>
      <c r="AG751" s="1">
        <v>67.0</v>
      </c>
      <c r="AH751" s="1">
        <v>32.0</v>
      </c>
      <c r="AI751" s="1">
        <v>32.0</v>
      </c>
      <c r="AJ751" s="1">
        <v>77.0</v>
      </c>
      <c r="AK751" s="1">
        <v>260.0</v>
      </c>
      <c r="AL751" s="1" t="s">
        <v>348</v>
      </c>
      <c r="AM751" s="1" t="s">
        <v>349</v>
      </c>
      <c r="AN751" s="1" t="s">
        <v>350</v>
      </c>
      <c r="AO751" s="1" t="s">
        <v>15131</v>
      </c>
      <c r="AP751" s="1" t="s">
        <v>15132</v>
      </c>
      <c r="AQ751" s="1" t="s">
        <v>74</v>
      </c>
      <c r="AR751" s="1" t="s">
        <v>15133</v>
      </c>
      <c r="AS751" s="1" t="s">
        <v>15134</v>
      </c>
      <c r="AT751" s="1" t="s">
        <v>328</v>
      </c>
      <c r="AU751" s="1">
        <v>2024.0</v>
      </c>
      <c r="AV751" s="1">
        <v>56.0</v>
      </c>
      <c r="AW751" s="1">
        <v>2.0</v>
      </c>
      <c r="AX751" s="1" t="s">
        <v>74</v>
      </c>
      <c r="AY751" s="1" t="s">
        <v>74</v>
      </c>
      <c r="AZ751" s="1" t="s">
        <v>74</v>
      </c>
      <c r="BA751" s="1" t="s">
        <v>74</v>
      </c>
      <c r="BB751" s="1">
        <v>330.0</v>
      </c>
      <c r="BC751" s="1">
        <v>340.0</v>
      </c>
      <c r="BD751" s="1" t="s">
        <v>74</v>
      </c>
      <c r="BE751" s="1" t="s">
        <v>15135</v>
      </c>
      <c r="BF751" s="2" t="str">
        <f>HYPERLINK("http://dx.doi.org/10.1177/09610006221142029","http://dx.doi.org/10.1177/09610006221142029")</f>
        <v>http://dx.doi.org/10.1177/09610006221142029</v>
      </c>
      <c r="BG751" s="1" t="s">
        <v>74</v>
      </c>
      <c r="BH751" s="1" t="s">
        <v>5428</v>
      </c>
      <c r="BI751" s="1">
        <v>11.0</v>
      </c>
      <c r="BJ751" s="1" t="s">
        <v>358</v>
      </c>
      <c r="BK751" s="1" t="s">
        <v>203</v>
      </c>
      <c r="BL751" s="1" t="s">
        <v>358</v>
      </c>
      <c r="BM751" s="1" t="s">
        <v>15136</v>
      </c>
      <c r="BN751" s="1" t="s">
        <v>74</v>
      </c>
      <c r="BO751" s="1" t="s">
        <v>15137</v>
      </c>
      <c r="BP751" s="1" t="s">
        <v>74</v>
      </c>
      <c r="BQ751" s="1" t="s">
        <v>74</v>
      </c>
      <c r="BR751" s="1" t="s">
        <v>102</v>
      </c>
      <c r="BS751" s="1" t="s">
        <v>15138</v>
      </c>
      <c r="BT751" s="1" t="str">
        <f>HYPERLINK("https%3A%2F%2Fwww.webofscience.com%2Fwos%2Fwoscc%2Ffull-record%2FWOS:000903072000001","View Full Record in Web of Science")</f>
        <v>View Full Record in Web of Science</v>
      </c>
    </row>
    <row r="752" ht="12.75" customHeight="1">
      <c r="A752" s="1" t="s">
        <v>132</v>
      </c>
      <c r="B752" s="1" t="s">
        <v>15139</v>
      </c>
      <c r="C752" s="1" t="s">
        <v>74</v>
      </c>
      <c r="D752" s="1" t="s">
        <v>74</v>
      </c>
      <c r="E752" s="1" t="s">
        <v>74</v>
      </c>
      <c r="F752" s="1" t="s">
        <v>15140</v>
      </c>
      <c r="G752" s="1" t="s">
        <v>74</v>
      </c>
      <c r="H752" s="1" t="s">
        <v>74</v>
      </c>
      <c r="I752" s="1" t="s">
        <v>15141</v>
      </c>
      <c r="J752" s="1" t="s">
        <v>15142</v>
      </c>
      <c r="K752" s="1" t="s">
        <v>74</v>
      </c>
      <c r="L752" s="1" t="s">
        <v>74</v>
      </c>
      <c r="M752" s="1" t="s">
        <v>80</v>
      </c>
      <c r="N752" s="1" t="s">
        <v>136</v>
      </c>
      <c r="O752" s="1" t="s">
        <v>74</v>
      </c>
      <c r="P752" s="1" t="s">
        <v>74</v>
      </c>
      <c r="Q752" s="1" t="s">
        <v>74</v>
      </c>
      <c r="R752" s="1" t="s">
        <v>74</v>
      </c>
      <c r="S752" s="1" t="s">
        <v>74</v>
      </c>
      <c r="T752" s="1" t="s">
        <v>15143</v>
      </c>
      <c r="U752" s="1" t="s">
        <v>74</v>
      </c>
      <c r="V752" s="1" t="s">
        <v>15144</v>
      </c>
      <c r="W752" s="1" t="s">
        <v>15145</v>
      </c>
      <c r="X752" s="1" t="s">
        <v>15146</v>
      </c>
      <c r="Y752" s="1" t="s">
        <v>15147</v>
      </c>
      <c r="Z752" s="1" t="s">
        <v>15148</v>
      </c>
      <c r="AA752" s="1" t="s">
        <v>74</v>
      </c>
      <c r="AB752" s="1" t="s">
        <v>15149</v>
      </c>
      <c r="AC752" s="1" t="s">
        <v>74</v>
      </c>
      <c r="AD752" s="1" t="s">
        <v>74</v>
      </c>
      <c r="AE752" s="1" t="s">
        <v>74</v>
      </c>
      <c r="AF752" s="1" t="s">
        <v>74</v>
      </c>
      <c r="AG752" s="1">
        <v>70.0</v>
      </c>
      <c r="AH752" s="1">
        <v>2.0</v>
      </c>
      <c r="AI752" s="1">
        <v>2.0</v>
      </c>
      <c r="AJ752" s="1">
        <v>1.0</v>
      </c>
      <c r="AK752" s="1">
        <v>28.0</v>
      </c>
      <c r="AL752" s="1" t="s">
        <v>12297</v>
      </c>
      <c r="AM752" s="1" t="s">
        <v>1021</v>
      </c>
      <c r="AN752" s="1" t="s">
        <v>12298</v>
      </c>
      <c r="AO752" s="1" t="s">
        <v>15150</v>
      </c>
      <c r="AP752" s="1" t="s">
        <v>15151</v>
      </c>
      <c r="AQ752" s="1" t="s">
        <v>74</v>
      </c>
      <c r="AR752" s="1" t="s">
        <v>15152</v>
      </c>
      <c r="AS752" s="1" t="s">
        <v>15153</v>
      </c>
      <c r="AT752" s="1" t="s">
        <v>6411</v>
      </c>
      <c r="AU752" s="1">
        <v>2023.0</v>
      </c>
      <c r="AV752" s="1">
        <v>18.0</v>
      </c>
      <c r="AW752" s="1">
        <v>1.0</v>
      </c>
      <c r="AX752" s="1" t="s">
        <v>74</v>
      </c>
      <c r="AY752" s="1" t="s">
        <v>74</v>
      </c>
      <c r="AZ752" s="1" t="s">
        <v>74</v>
      </c>
      <c r="BA752" s="1" t="s">
        <v>74</v>
      </c>
      <c r="BB752" s="1">
        <v>1.0</v>
      </c>
      <c r="BC752" s="1">
        <v>15.0</v>
      </c>
      <c r="BD752" s="1" t="s">
        <v>74</v>
      </c>
      <c r="BE752" s="1" t="s">
        <v>15154</v>
      </c>
      <c r="BF752" s="2" t="str">
        <f>HYPERLINK("http://dx.doi.org/10.1080/19361610.2021.1947113","http://dx.doi.org/10.1080/19361610.2021.1947113")</f>
        <v>http://dx.doi.org/10.1080/19361610.2021.1947113</v>
      </c>
      <c r="BG752" s="1" t="s">
        <v>74</v>
      </c>
      <c r="BH752" s="1" t="s">
        <v>5635</v>
      </c>
      <c r="BI752" s="1">
        <v>15.0</v>
      </c>
      <c r="BJ752" s="1" t="s">
        <v>15155</v>
      </c>
      <c r="BK752" s="1" t="s">
        <v>172</v>
      </c>
      <c r="BL752" s="1" t="s">
        <v>15155</v>
      </c>
      <c r="BM752" s="1" t="s">
        <v>15156</v>
      </c>
      <c r="BN752" s="1" t="s">
        <v>74</v>
      </c>
      <c r="BO752" s="1" t="s">
        <v>74</v>
      </c>
      <c r="BP752" s="1" t="s">
        <v>74</v>
      </c>
      <c r="BQ752" s="1" t="s">
        <v>74</v>
      </c>
      <c r="BR752" s="1" t="s">
        <v>102</v>
      </c>
      <c r="BS752" s="1" t="s">
        <v>15157</v>
      </c>
      <c r="BT752" s="1" t="str">
        <f>HYPERLINK("https%3A%2F%2Fwww.webofscience.com%2Fwos%2Fwoscc%2Ffull-record%2FWOS:000675428900001","View Full Record in Web of Science")</f>
        <v>View Full Record in Web of Science</v>
      </c>
    </row>
    <row r="753" ht="12.75" customHeight="1">
      <c r="A753" s="1" t="s">
        <v>72</v>
      </c>
      <c r="B753" s="1" t="s">
        <v>15158</v>
      </c>
      <c r="C753" s="1" t="s">
        <v>74</v>
      </c>
      <c r="D753" s="1" t="s">
        <v>74</v>
      </c>
      <c r="E753" s="1" t="s">
        <v>236</v>
      </c>
      <c r="F753" s="1" t="s">
        <v>15159</v>
      </c>
      <c r="G753" s="1" t="s">
        <v>74</v>
      </c>
      <c r="H753" s="1" t="s">
        <v>74</v>
      </c>
      <c r="I753" s="1" t="s">
        <v>15160</v>
      </c>
      <c r="J753" s="1" t="s">
        <v>15161</v>
      </c>
      <c r="K753" s="1" t="s">
        <v>15162</v>
      </c>
      <c r="L753" s="1" t="s">
        <v>74</v>
      </c>
      <c r="M753" s="1" t="s">
        <v>80</v>
      </c>
      <c r="N753" s="1" t="s">
        <v>81</v>
      </c>
      <c r="O753" s="1" t="s">
        <v>15163</v>
      </c>
      <c r="P753" s="1" t="s">
        <v>15164</v>
      </c>
      <c r="Q753" s="1" t="s">
        <v>15165</v>
      </c>
      <c r="R753" s="1" t="s">
        <v>74</v>
      </c>
      <c r="S753" s="1" t="s">
        <v>15166</v>
      </c>
      <c r="T753" s="1" t="s">
        <v>15167</v>
      </c>
      <c r="U753" s="1" t="s">
        <v>15168</v>
      </c>
      <c r="V753" s="1" t="s">
        <v>15169</v>
      </c>
      <c r="W753" s="1" t="s">
        <v>15170</v>
      </c>
      <c r="X753" s="1" t="s">
        <v>15171</v>
      </c>
      <c r="Y753" s="1" t="s">
        <v>15172</v>
      </c>
      <c r="Z753" s="1" t="s">
        <v>15173</v>
      </c>
      <c r="AA753" s="1" t="s">
        <v>74</v>
      </c>
      <c r="AB753" s="1" t="s">
        <v>74</v>
      </c>
      <c r="AC753" s="1" t="s">
        <v>74</v>
      </c>
      <c r="AD753" s="1" t="s">
        <v>74</v>
      </c>
      <c r="AE753" s="1" t="s">
        <v>74</v>
      </c>
      <c r="AF753" s="1" t="s">
        <v>74</v>
      </c>
      <c r="AG753" s="1">
        <v>33.0</v>
      </c>
      <c r="AH753" s="1">
        <v>2.0</v>
      </c>
      <c r="AI753" s="1">
        <v>2.0</v>
      </c>
      <c r="AJ753" s="1">
        <v>3.0</v>
      </c>
      <c r="AK753" s="1">
        <v>5.0</v>
      </c>
      <c r="AL753" s="1" t="s">
        <v>236</v>
      </c>
      <c r="AM753" s="1" t="s">
        <v>193</v>
      </c>
      <c r="AN753" s="1" t="s">
        <v>252</v>
      </c>
      <c r="AO753" s="1" t="s">
        <v>15174</v>
      </c>
      <c r="AP753" s="1" t="s">
        <v>74</v>
      </c>
      <c r="AQ753" s="1" t="s">
        <v>15175</v>
      </c>
      <c r="AR753" s="1" t="s">
        <v>15176</v>
      </c>
      <c r="AS753" s="1" t="s">
        <v>74</v>
      </c>
      <c r="AT753" s="1" t="s">
        <v>74</v>
      </c>
      <c r="AU753" s="1">
        <v>2019.0</v>
      </c>
      <c r="AV753" s="1" t="s">
        <v>74</v>
      </c>
      <c r="AW753" s="1" t="s">
        <v>74</v>
      </c>
      <c r="AX753" s="1" t="s">
        <v>74</v>
      </c>
      <c r="AY753" s="1" t="s">
        <v>74</v>
      </c>
      <c r="AZ753" s="1" t="s">
        <v>74</v>
      </c>
      <c r="BA753" s="1" t="s">
        <v>74</v>
      </c>
      <c r="BB753" s="1">
        <v>88.0</v>
      </c>
      <c r="BC753" s="1">
        <v>92.0</v>
      </c>
      <c r="BD753" s="1" t="s">
        <v>74</v>
      </c>
      <c r="BE753" s="1" t="s">
        <v>15177</v>
      </c>
      <c r="BF753" s="2" t="str">
        <f>HYPERLINK("http://dx.doi.org/10.1109/sieds.2019.8735644","http://dx.doi.org/10.1109/sieds.2019.8735644")</f>
        <v>http://dx.doi.org/10.1109/sieds.2019.8735644</v>
      </c>
      <c r="BG753" s="1" t="s">
        <v>74</v>
      </c>
      <c r="BH753" s="1" t="s">
        <v>74</v>
      </c>
      <c r="BI753" s="1">
        <v>5.0</v>
      </c>
      <c r="BJ753" s="1" t="s">
        <v>15178</v>
      </c>
      <c r="BK753" s="1" t="s">
        <v>128</v>
      </c>
      <c r="BL753" s="1" t="s">
        <v>1325</v>
      </c>
      <c r="BM753" s="1" t="s">
        <v>15179</v>
      </c>
      <c r="BN753" s="1" t="s">
        <v>74</v>
      </c>
      <c r="BO753" s="1" t="s">
        <v>74</v>
      </c>
      <c r="BP753" s="1" t="s">
        <v>74</v>
      </c>
      <c r="BQ753" s="1" t="s">
        <v>74</v>
      </c>
      <c r="BR753" s="1" t="s">
        <v>102</v>
      </c>
      <c r="BS753" s="1" t="s">
        <v>15180</v>
      </c>
      <c r="BT753" s="1" t="str">
        <f>HYPERLINK("https%3A%2F%2Fwww.webofscience.com%2Fwos%2Fwoscc%2Ffull-record%2FWOS:000482408700017","View Full Record in Web of Science")</f>
        <v>View Full Record in Web of Science</v>
      </c>
    </row>
    <row r="754" ht="12.75" customHeight="1">
      <c r="A754" s="1" t="s">
        <v>132</v>
      </c>
      <c r="B754" s="1" t="s">
        <v>15181</v>
      </c>
      <c r="C754" s="1" t="s">
        <v>74</v>
      </c>
      <c r="D754" s="1" t="s">
        <v>74</v>
      </c>
      <c r="E754" s="1" t="s">
        <v>74</v>
      </c>
      <c r="F754" s="1" t="s">
        <v>15182</v>
      </c>
      <c r="G754" s="1" t="s">
        <v>74</v>
      </c>
      <c r="H754" s="1" t="s">
        <v>74</v>
      </c>
      <c r="I754" s="1" t="s">
        <v>15183</v>
      </c>
      <c r="J754" s="1" t="s">
        <v>15184</v>
      </c>
      <c r="K754" s="1" t="s">
        <v>74</v>
      </c>
      <c r="L754" s="1" t="s">
        <v>74</v>
      </c>
      <c r="M754" s="1" t="s">
        <v>80</v>
      </c>
      <c r="N754" s="1" t="s">
        <v>136</v>
      </c>
      <c r="O754" s="1" t="s">
        <v>74</v>
      </c>
      <c r="P754" s="1" t="s">
        <v>74</v>
      </c>
      <c r="Q754" s="1" t="s">
        <v>74</v>
      </c>
      <c r="R754" s="1" t="s">
        <v>74</v>
      </c>
      <c r="S754" s="1" t="s">
        <v>74</v>
      </c>
      <c r="T754" s="1" t="s">
        <v>15185</v>
      </c>
      <c r="U754" s="1" t="s">
        <v>15186</v>
      </c>
      <c r="V754" s="1" t="s">
        <v>15187</v>
      </c>
      <c r="W754" s="1" t="s">
        <v>15188</v>
      </c>
      <c r="X754" s="1" t="s">
        <v>15189</v>
      </c>
      <c r="Y754" s="1" t="s">
        <v>15190</v>
      </c>
      <c r="Z754" s="1" t="s">
        <v>15191</v>
      </c>
      <c r="AA754" s="1" t="s">
        <v>74</v>
      </c>
      <c r="AB754" s="1" t="s">
        <v>74</v>
      </c>
      <c r="AC754" s="1" t="s">
        <v>15192</v>
      </c>
      <c r="AD754" s="1" t="s">
        <v>15193</v>
      </c>
      <c r="AE754" s="1" t="s">
        <v>15194</v>
      </c>
      <c r="AF754" s="1" t="s">
        <v>74</v>
      </c>
      <c r="AG754" s="1">
        <v>244.0</v>
      </c>
      <c r="AH754" s="1">
        <v>0.0</v>
      </c>
      <c r="AI754" s="1">
        <v>0.0</v>
      </c>
      <c r="AJ754" s="1">
        <v>14.0</v>
      </c>
      <c r="AK754" s="1">
        <v>14.0</v>
      </c>
      <c r="AL754" s="1" t="s">
        <v>15195</v>
      </c>
      <c r="AM754" s="1" t="s">
        <v>15196</v>
      </c>
      <c r="AN754" s="1" t="s">
        <v>15197</v>
      </c>
      <c r="AO754" s="1" t="s">
        <v>15198</v>
      </c>
      <c r="AP754" s="1" t="s">
        <v>15199</v>
      </c>
      <c r="AQ754" s="1" t="s">
        <v>74</v>
      </c>
      <c r="AR754" s="1" t="s">
        <v>15200</v>
      </c>
      <c r="AS754" s="1" t="s">
        <v>15201</v>
      </c>
      <c r="AT754" s="1" t="s">
        <v>74</v>
      </c>
      <c r="AU754" s="1">
        <v>2024.0</v>
      </c>
      <c r="AV754" s="1">
        <v>20.0</v>
      </c>
      <c r="AW754" s="1">
        <v>8.0</v>
      </c>
      <c r="AX754" s="1" t="s">
        <v>74</v>
      </c>
      <c r="AY754" s="1" t="s">
        <v>74</v>
      </c>
      <c r="AZ754" s="1" t="s">
        <v>74</v>
      </c>
      <c r="BA754" s="1" t="s">
        <v>74</v>
      </c>
      <c r="BB754" s="1" t="s">
        <v>74</v>
      </c>
      <c r="BC754" s="1" t="s">
        <v>74</v>
      </c>
      <c r="BD754" s="1" t="s">
        <v>74</v>
      </c>
      <c r="BE754" s="1" t="s">
        <v>15202</v>
      </c>
      <c r="BF754" s="2" t="str">
        <f>HYPERLINK("http://dx.doi.org/10.1561/0300000130","http://dx.doi.org/10.1561/0300000130")</f>
        <v>http://dx.doi.org/10.1561/0300000130</v>
      </c>
      <c r="BG754" s="1" t="s">
        <v>74</v>
      </c>
      <c r="BH754" s="1" t="s">
        <v>74</v>
      </c>
      <c r="BI754" s="1">
        <v>127.0</v>
      </c>
      <c r="BJ754" s="1" t="s">
        <v>2040</v>
      </c>
      <c r="BK754" s="1" t="s">
        <v>172</v>
      </c>
      <c r="BL754" s="1" t="s">
        <v>204</v>
      </c>
      <c r="BM754" s="1" t="s">
        <v>15203</v>
      </c>
      <c r="BN754" s="1" t="s">
        <v>74</v>
      </c>
      <c r="BO754" s="1" t="s">
        <v>556</v>
      </c>
      <c r="BP754" s="1" t="s">
        <v>74</v>
      </c>
      <c r="BQ754" s="1" t="s">
        <v>74</v>
      </c>
      <c r="BR754" s="1" t="s">
        <v>102</v>
      </c>
      <c r="BS754" s="1" t="s">
        <v>15204</v>
      </c>
      <c r="BT754" s="1" t="str">
        <f>HYPERLINK("https%3A%2F%2Fwww.webofscience.com%2Fwos%2Fwoscc%2Ffull-record%2FWOS:001378914200001","View Full Record in Web of Science")</f>
        <v>View Full Record in Web of Science</v>
      </c>
    </row>
    <row r="755" ht="12.75" customHeight="1">
      <c r="A755" s="1" t="s">
        <v>72</v>
      </c>
      <c r="B755" s="1" t="s">
        <v>15205</v>
      </c>
      <c r="C755" s="1" t="s">
        <v>74</v>
      </c>
      <c r="D755" s="1" t="s">
        <v>15206</v>
      </c>
      <c r="E755" s="1" t="s">
        <v>74</v>
      </c>
      <c r="F755" s="1" t="s">
        <v>15207</v>
      </c>
      <c r="G755" s="1" t="s">
        <v>74</v>
      </c>
      <c r="H755" s="1" t="s">
        <v>74</v>
      </c>
      <c r="I755" s="1" t="s">
        <v>15208</v>
      </c>
      <c r="J755" s="1" t="s">
        <v>15209</v>
      </c>
      <c r="K755" s="1" t="s">
        <v>74</v>
      </c>
      <c r="L755" s="1" t="s">
        <v>74</v>
      </c>
      <c r="M755" s="1" t="s">
        <v>80</v>
      </c>
      <c r="N755" s="1" t="s">
        <v>81</v>
      </c>
      <c r="O755" s="1" t="s">
        <v>15210</v>
      </c>
      <c r="P755" s="1" t="s">
        <v>15211</v>
      </c>
      <c r="Q755" s="1" t="s">
        <v>667</v>
      </c>
      <c r="R755" s="1" t="s">
        <v>15212</v>
      </c>
      <c r="S755" s="1" t="s">
        <v>74</v>
      </c>
      <c r="T755" s="1" t="s">
        <v>15213</v>
      </c>
      <c r="U755" s="1" t="s">
        <v>15214</v>
      </c>
      <c r="V755" s="1" t="s">
        <v>15215</v>
      </c>
      <c r="W755" s="1" t="s">
        <v>15216</v>
      </c>
      <c r="X755" s="1" t="s">
        <v>15217</v>
      </c>
      <c r="Y755" s="1" t="s">
        <v>15218</v>
      </c>
      <c r="Z755" s="1" t="s">
        <v>74</v>
      </c>
      <c r="AA755" s="1" t="s">
        <v>74</v>
      </c>
      <c r="AB755" s="1" t="s">
        <v>74</v>
      </c>
      <c r="AC755" s="1" t="s">
        <v>15219</v>
      </c>
      <c r="AD755" s="1" t="s">
        <v>15220</v>
      </c>
      <c r="AE755" s="1" t="s">
        <v>15221</v>
      </c>
      <c r="AF755" s="1" t="s">
        <v>74</v>
      </c>
      <c r="AG755" s="1">
        <v>17.0</v>
      </c>
      <c r="AH755" s="1">
        <v>0.0</v>
      </c>
      <c r="AI755" s="1">
        <v>0.0</v>
      </c>
      <c r="AJ755" s="1">
        <v>0.0</v>
      </c>
      <c r="AK755" s="1">
        <v>7.0</v>
      </c>
      <c r="AL755" s="1" t="s">
        <v>236</v>
      </c>
      <c r="AM755" s="1" t="s">
        <v>193</v>
      </c>
      <c r="AN755" s="1" t="s">
        <v>252</v>
      </c>
      <c r="AO755" s="1" t="s">
        <v>74</v>
      </c>
      <c r="AP755" s="1" t="s">
        <v>74</v>
      </c>
      <c r="AQ755" s="1" t="s">
        <v>15222</v>
      </c>
      <c r="AR755" s="1" t="s">
        <v>74</v>
      </c>
      <c r="AS755" s="1" t="s">
        <v>74</v>
      </c>
      <c r="AT755" s="1" t="s">
        <v>74</v>
      </c>
      <c r="AU755" s="1">
        <v>2020.0</v>
      </c>
      <c r="AV755" s="1" t="s">
        <v>74</v>
      </c>
      <c r="AW755" s="1" t="s">
        <v>74</v>
      </c>
      <c r="AX755" s="1" t="s">
        <v>74</v>
      </c>
      <c r="AY755" s="1" t="s">
        <v>74</v>
      </c>
      <c r="AZ755" s="1" t="s">
        <v>74</v>
      </c>
      <c r="BA755" s="1" t="s">
        <v>74</v>
      </c>
      <c r="BB755" s="1">
        <v>994.0</v>
      </c>
      <c r="BC755" s="1">
        <v>998.0</v>
      </c>
      <c r="BD755" s="1" t="s">
        <v>74</v>
      </c>
      <c r="BE755" s="1" t="s">
        <v>74</v>
      </c>
      <c r="BF755" s="1" t="s">
        <v>74</v>
      </c>
      <c r="BG755" s="1" t="s">
        <v>74</v>
      </c>
      <c r="BH755" s="1" t="s">
        <v>74</v>
      </c>
      <c r="BI755" s="1">
        <v>5.0</v>
      </c>
      <c r="BJ755" s="1" t="s">
        <v>15223</v>
      </c>
      <c r="BK755" s="1" t="s">
        <v>128</v>
      </c>
      <c r="BL755" s="1" t="s">
        <v>12047</v>
      </c>
      <c r="BM755" s="1" t="s">
        <v>15224</v>
      </c>
      <c r="BN755" s="1" t="s">
        <v>74</v>
      </c>
      <c r="BO755" s="1" t="s">
        <v>74</v>
      </c>
      <c r="BP755" s="1" t="s">
        <v>74</v>
      </c>
      <c r="BQ755" s="1" t="s">
        <v>74</v>
      </c>
      <c r="BR755" s="1" t="s">
        <v>102</v>
      </c>
      <c r="BS755" s="1" t="s">
        <v>15225</v>
      </c>
      <c r="BT755" s="1" t="str">
        <f>HYPERLINK("https%3A%2F%2Fwww.webofscience.com%2Fwos%2Fwoscc%2Ffull-record%2FWOS:000651203900180","View Full Record in Web of Science")</f>
        <v>View Full Record in Web of Science</v>
      </c>
    </row>
    <row r="756" ht="12.75" customHeight="1">
      <c r="A756" s="1" t="s">
        <v>132</v>
      </c>
      <c r="B756" s="1" t="s">
        <v>15226</v>
      </c>
      <c r="C756" s="1" t="s">
        <v>74</v>
      </c>
      <c r="D756" s="1" t="s">
        <v>74</v>
      </c>
      <c r="E756" s="1" t="s">
        <v>74</v>
      </c>
      <c r="F756" s="1" t="s">
        <v>15227</v>
      </c>
      <c r="G756" s="1" t="s">
        <v>74</v>
      </c>
      <c r="H756" s="1" t="s">
        <v>74</v>
      </c>
      <c r="I756" s="1" t="s">
        <v>15228</v>
      </c>
      <c r="J756" s="1" t="s">
        <v>8454</v>
      </c>
      <c r="K756" s="1" t="s">
        <v>74</v>
      </c>
      <c r="L756" s="1" t="s">
        <v>74</v>
      </c>
      <c r="M756" s="1" t="s">
        <v>80</v>
      </c>
      <c r="N756" s="1" t="s">
        <v>1010</v>
      </c>
      <c r="O756" s="1" t="s">
        <v>74</v>
      </c>
      <c r="P756" s="1" t="s">
        <v>74</v>
      </c>
      <c r="Q756" s="1" t="s">
        <v>74</v>
      </c>
      <c r="R756" s="1" t="s">
        <v>74</v>
      </c>
      <c r="S756" s="1" t="s">
        <v>74</v>
      </c>
      <c r="T756" s="1" t="s">
        <v>15229</v>
      </c>
      <c r="U756" s="1" t="s">
        <v>74</v>
      </c>
      <c r="V756" s="1" t="s">
        <v>15230</v>
      </c>
      <c r="W756" s="1" t="s">
        <v>15231</v>
      </c>
      <c r="X756" s="1" t="s">
        <v>15232</v>
      </c>
      <c r="Y756" s="1" t="s">
        <v>15233</v>
      </c>
      <c r="Z756" s="1" t="s">
        <v>15234</v>
      </c>
      <c r="AA756" s="1" t="s">
        <v>74</v>
      </c>
      <c r="AB756" s="1" t="s">
        <v>74</v>
      </c>
      <c r="AC756" s="1" t="s">
        <v>74</v>
      </c>
      <c r="AD756" s="1" t="s">
        <v>74</v>
      </c>
      <c r="AE756" s="1" t="s">
        <v>74</v>
      </c>
      <c r="AF756" s="1" t="s">
        <v>74</v>
      </c>
      <c r="AG756" s="1">
        <v>48.0</v>
      </c>
      <c r="AH756" s="1">
        <v>11.0</v>
      </c>
      <c r="AI756" s="1">
        <v>11.0</v>
      </c>
      <c r="AJ756" s="1">
        <v>16.0</v>
      </c>
      <c r="AK756" s="1">
        <v>21.0</v>
      </c>
      <c r="AL756" s="1" t="s">
        <v>3800</v>
      </c>
      <c r="AM756" s="1" t="s">
        <v>349</v>
      </c>
      <c r="AN756" s="1" t="s">
        <v>3801</v>
      </c>
      <c r="AO756" s="1" t="s">
        <v>74</v>
      </c>
      <c r="AP756" s="1" t="s">
        <v>8463</v>
      </c>
      <c r="AQ756" s="1" t="s">
        <v>74</v>
      </c>
      <c r="AR756" s="1" t="s">
        <v>8464</v>
      </c>
      <c r="AS756" s="1" t="s">
        <v>8465</v>
      </c>
      <c r="AT756" s="1" t="s">
        <v>6477</v>
      </c>
      <c r="AU756" s="1">
        <v>2024.0</v>
      </c>
      <c r="AV756" s="1">
        <v>16.0</v>
      </c>
      <c r="AW756" s="1">
        <v>2.0</v>
      </c>
      <c r="AX756" s="1" t="s">
        <v>74</v>
      </c>
      <c r="AY756" s="1" t="s">
        <v>74</v>
      </c>
      <c r="AZ756" s="1" t="s">
        <v>74</v>
      </c>
      <c r="BA756" s="1" t="s">
        <v>74</v>
      </c>
      <c r="BB756" s="1" t="s">
        <v>74</v>
      </c>
      <c r="BC756" s="1" t="s">
        <v>74</v>
      </c>
      <c r="BD756" s="1" t="s">
        <v>15235</v>
      </c>
      <c r="BE756" s="1" t="s">
        <v>15236</v>
      </c>
      <c r="BF756" s="2" t="str">
        <f>HYPERLINK("http://dx.doi.org/10.7759/cureus.54518","http://dx.doi.org/10.7759/cureus.54518")</f>
        <v>http://dx.doi.org/10.7759/cureus.54518</v>
      </c>
      <c r="BG756" s="1" t="s">
        <v>74</v>
      </c>
      <c r="BH756" s="1" t="s">
        <v>74</v>
      </c>
      <c r="BI756" s="1">
        <v>10.0</v>
      </c>
      <c r="BJ756" s="1" t="s">
        <v>1158</v>
      </c>
      <c r="BK756" s="1" t="s">
        <v>172</v>
      </c>
      <c r="BL756" s="1" t="s">
        <v>1159</v>
      </c>
      <c r="BM756" s="1" t="s">
        <v>15237</v>
      </c>
      <c r="BN756" s="1">
        <v>3.8516434E7</v>
      </c>
      <c r="BO756" s="1" t="s">
        <v>174</v>
      </c>
      <c r="BP756" s="1" t="s">
        <v>74</v>
      </c>
      <c r="BQ756" s="1" t="s">
        <v>74</v>
      </c>
      <c r="BR756" s="1" t="s">
        <v>102</v>
      </c>
      <c r="BS756" s="1" t="s">
        <v>15238</v>
      </c>
      <c r="BT756" s="1" t="str">
        <f>HYPERLINK("https%3A%2F%2Fwww.webofscience.com%2Fwos%2Fwoscc%2Ffull-record%2FWOS:001199806700014","View Full Record in Web of Science")</f>
        <v>View Full Record in Web of Science</v>
      </c>
    </row>
    <row r="757" ht="12.75" customHeight="1">
      <c r="A757" s="1" t="s">
        <v>132</v>
      </c>
      <c r="B757" s="1" t="s">
        <v>15239</v>
      </c>
      <c r="C757" s="1" t="s">
        <v>74</v>
      </c>
      <c r="D757" s="1" t="s">
        <v>74</v>
      </c>
      <c r="E757" s="1" t="s">
        <v>74</v>
      </c>
      <c r="F757" s="1" t="s">
        <v>15240</v>
      </c>
      <c r="G757" s="1" t="s">
        <v>74</v>
      </c>
      <c r="H757" s="1" t="s">
        <v>74</v>
      </c>
      <c r="I757" s="1" t="s">
        <v>15241</v>
      </c>
      <c r="J757" s="1" t="s">
        <v>9613</v>
      </c>
      <c r="K757" s="1" t="s">
        <v>74</v>
      </c>
      <c r="L757" s="1" t="s">
        <v>74</v>
      </c>
      <c r="M757" s="1" t="s">
        <v>80</v>
      </c>
      <c r="N757" s="1" t="s">
        <v>136</v>
      </c>
      <c r="O757" s="1" t="s">
        <v>74</v>
      </c>
      <c r="P757" s="1" t="s">
        <v>74</v>
      </c>
      <c r="Q757" s="1" t="s">
        <v>74</v>
      </c>
      <c r="R757" s="1" t="s">
        <v>74</v>
      </c>
      <c r="S757" s="1" t="s">
        <v>74</v>
      </c>
      <c r="T757" s="1" t="s">
        <v>15242</v>
      </c>
      <c r="U757" s="1" t="s">
        <v>15243</v>
      </c>
      <c r="V757" s="1" t="s">
        <v>15244</v>
      </c>
      <c r="W757" s="1" t="s">
        <v>15245</v>
      </c>
      <c r="X757" s="1" t="s">
        <v>15246</v>
      </c>
      <c r="Y757" s="1" t="s">
        <v>15247</v>
      </c>
      <c r="Z757" s="1" t="s">
        <v>15248</v>
      </c>
      <c r="AA757" s="1" t="s">
        <v>15249</v>
      </c>
      <c r="AB757" s="1" t="s">
        <v>15250</v>
      </c>
      <c r="AC757" s="1" t="s">
        <v>74</v>
      </c>
      <c r="AD757" s="1" t="s">
        <v>74</v>
      </c>
      <c r="AE757" s="1" t="s">
        <v>74</v>
      </c>
      <c r="AF757" s="1" t="s">
        <v>74</v>
      </c>
      <c r="AG757" s="1">
        <v>48.0</v>
      </c>
      <c r="AH757" s="1">
        <v>7.0</v>
      </c>
      <c r="AI757" s="1">
        <v>7.0</v>
      </c>
      <c r="AJ757" s="1">
        <v>33.0</v>
      </c>
      <c r="AK757" s="1">
        <v>90.0</v>
      </c>
      <c r="AL757" s="1" t="s">
        <v>9622</v>
      </c>
      <c r="AM757" s="1" t="s">
        <v>4584</v>
      </c>
      <c r="AN757" s="1" t="s">
        <v>9623</v>
      </c>
      <c r="AO757" s="1" t="s">
        <v>74</v>
      </c>
      <c r="AP757" s="1" t="s">
        <v>9624</v>
      </c>
      <c r="AQ757" s="1" t="s">
        <v>74</v>
      </c>
      <c r="AR757" s="1" t="s">
        <v>9613</v>
      </c>
      <c r="AS757" s="1" t="s">
        <v>9625</v>
      </c>
      <c r="AT757" s="1" t="s">
        <v>302</v>
      </c>
      <c r="AU757" s="1">
        <v>2023.0</v>
      </c>
      <c r="AV757" s="1">
        <v>9.0</v>
      </c>
      <c r="AW757" s="1">
        <v>8.0</v>
      </c>
      <c r="AX757" s="1" t="s">
        <v>74</v>
      </c>
      <c r="AY757" s="1" t="s">
        <v>74</v>
      </c>
      <c r="AZ757" s="1" t="s">
        <v>74</v>
      </c>
      <c r="BA757" s="1" t="s">
        <v>74</v>
      </c>
      <c r="BB757" s="1" t="s">
        <v>74</v>
      </c>
      <c r="BC757" s="1" t="s">
        <v>74</v>
      </c>
      <c r="BD757" s="1" t="s">
        <v>15251</v>
      </c>
      <c r="BE757" s="1" t="s">
        <v>15252</v>
      </c>
      <c r="BF757" s="2" t="str">
        <f>HYPERLINK("http://dx.doi.org/10.1016/j.heliyon.2023.e18520","http://dx.doi.org/10.1016/j.heliyon.2023.e18520")</f>
        <v>http://dx.doi.org/10.1016/j.heliyon.2023.e18520</v>
      </c>
      <c r="BG757" s="1" t="s">
        <v>74</v>
      </c>
      <c r="BH757" s="1" t="s">
        <v>3074</v>
      </c>
      <c r="BI757" s="1">
        <v>12.0</v>
      </c>
      <c r="BJ757" s="1" t="s">
        <v>4714</v>
      </c>
      <c r="BK757" s="1" t="s">
        <v>149</v>
      </c>
      <c r="BL757" s="1" t="s">
        <v>4715</v>
      </c>
      <c r="BM757" s="1" t="s">
        <v>15253</v>
      </c>
      <c r="BN757" s="1">
        <v>3.7529336E7</v>
      </c>
      <c r="BO757" s="1" t="s">
        <v>284</v>
      </c>
      <c r="BP757" s="1" t="s">
        <v>74</v>
      </c>
      <c r="BQ757" s="1" t="s">
        <v>74</v>
      </c>
      <c r="BR757" s="1" t="s">
        <v>102</v>
      </c>
      <c r="BS757" s="1" t="s">
        <v>15254</v>
      </c>
      <c r="BT757" s="1" t="str">
        <f>HYPERLINK("https%3A%2F%2Fwww.webofscience.com%2Fwos%2Fwoscc%2Ffull-record%2FWOS:001049445500001","View Full Record in Web of Science")</f>
        <v>View Full Record in Web of Science</v>
      </c>
    </row>
    <row r="758" ht="12.75" customHeight="1">
      <c r="A758" s="1" t="s">
        <v>132</v>
      </c>
      <c r="B758" s="1" t="s">
        <v>15255</v>
      </c>
      <c r="C758" s="1" t="s">
        <v>74</v>
      </c>
      <c r="D758" s="1" t="s">
        <v>74</v>
      </c>
      <c r="E758" s="1" t="s">
        <v>74</v>
      </c>
      <c r="F758" s="1" t="s">
        <v>15256</v>
      </c>
      <c r="G758" s="1" t="s">
        <v>74</v>
      </c>
      <c r="H758" s="1" t="s">
        <v>74</v>
      </c>
      <c r="I758" s="1" t="s">
        <v>15257</v>
      </c>
      <c r="J758" s="1" t="s">
        <v>15258</v>
      </c>
      <c r="K758" s="1" t="s">
        <v>74</v>
      </c>
      <c r="L758" s="1" t="s">
        <v>74</v>
      </c>
      <c r="M758" s="1" t="s">
        <v>80</v>
      </c>
      <c r="N758" s="1" t="s">
        <v>136</v>
      </c>
      <c r="O758" s="1" t="s">
        <v>74</v>
      </c>
      <c r="P758" s="1" t="s">
        <v>74</v>
      </c>
      <c r="Q758" s="1" t="s">
        <v>74</v>
      </c>
      <c r="R758" s="1" t="s">
        <v>74</v>
      </c>
      <c r="S758" s="1" t="s">
        <v>74</v>
      </c>
      <c r="T758" s="1" t="s">
        <v>15259</v>
      </c>
      <c r="U758" s="1" t="s">
        <v>15260</v>
      </c>
      <c r="V758" s="1" t="s">
        <v>15261</v>
      </c>
      <c r="W758" s="1" t="s">
        <v>15262</v>
      </c>
      <c r="X758" s="1" t="s">
        <v>15263</v>
      </c>
      <c r="Y758" s="1" t="s">
        <v>15264</v>
      </c>
      <c r="Z758" s="1" t="s">
        <v>15265</v>
      </c>
      <c r="AA758" s="1" t="s">
        <v>15266</v>
      </c>
      <c r="AB758" s="1" t="s">
        <v>15267</v>
      </c>
      <c r="AC758" s="1" t="s">
        <v>15268</v>
      </c>
      <c r="AD758" s="1" t="s">
        <v>15268</v>
      </c>
      <c r="AE758" s="1" t="s">
        <v>15269</v>
      </c>
      <c r="AF758" s="1" t="s">
        <v>74</v>
      </c>
      <c r="AG758" s="1">
        <v>119.0</v>
      </c>
      <c r="AH758" s="1">
        <v>17.0</v>
      </c>
      <c r="AI758" s="1">
        <v>18.0</v>
      </c>
      <c r="AJ758" s="1">
        <v>13.0</v>
      </c>
      <c r="AK758" s="1">
        <v>82.0</v>
      </c>
      <c r="AL758" s="1" t="s">
        <v>192</v>
      </c>
      <c r="AM758" s="1" t="s">
        <v>864</v>
      </c>
      <c r="AN758" s="1" t="s">
        <v>865</v>
      </c>
      <c r="AO758" s="1" t="s">
        <v>15270</v>
      </c>
      <c r="AP758" s="1" t="s">
        <v>15271</v>
      </c>
      <c r="AQ758" s="1" t="s">
        <v>74</v>
      </c>
      <c r="AR758" s="1" t="s">
        <v>15272</v>
      </c>
      <c r="AS758" s="1" t="s">
        <v>15273</v>
      </c>
      <c r="AT758" s="1" t="s">
        <v>1027</v>
      </c>
      <c r="AU758" s="1">
        <v>2022.0</v>
      </c>
      <c r="AV758" s="1">
        <v>30.0</v>
      </c>
      <c r="AW758" s="1">
        <v>1.0</v>
      </c>
      <c r="AX758" s="1" t="s">
        <v>74</v>
      </c>
      <c r="AY758" s="1" t="s">
        <v>74</v>
      </c>
      <c r="AZ758" s="1" t="s">
        <v>74</v>
      </c>
      <c r="BA758" s="1" t="s">
        <v>74</v>
      </c>
      <c r="BB758" s="1">
        <v>93.0</v>
      </c>
      <c r="BC758" s="1">
        <v>115.0</v>
      </c>
      <c r="BD758" s="1" t="s">
        <v>74</v>
      </c>
      <c r="BE758" s="1" t="s">
        <v>15274</v>
      </c>
      <c r="BF758" s="2" t="str">
        <f>HYPERLINK("http://dx.doi.org/10.1007/s10506-021-09289-1","http://dx.doi.org/10.1007/s10506-021-09289-1")</f>
        <v>http://dx.doi.org/10.1007/s10506-021-09289-1</v>
      </c>
      <c r="BG758" s="1" t="s">
        <v>74</v>
      </c>
      <c r="BH758" s="1" t="s">
        <v>4307</v>
      </c>
      <c r="BI758" s="1">
        <v>23.0</v>
      </c>
      <c r="BJ758" s="1" t="s">
        <v>15275</v>
      </c>
      <c r="BK758" s="1" t="s">
        <v>783</v>
      </c>
      <c r="BL758" s="1" t="s">
        <v>15276</v>
      </c>
      <c r="BM758" s="1" t="s">
        <v>15277</v>
      </c>
      <c r="BN758" s="1" t="s">
        <v>74</v>
      </c>
      <c r="BO758" s="1" t="s">
        <v>7447</v>
      </c>
      <c r="BP758" s="1" t="s">
        <v>74</v>
      </c>
      <c r="BQ758" s="1" t="s">
        <v>74</v>
      </c>
      <c r="BR758" s="1" t="s">
        <v>102</v>
      </c>
      <c r="BS758" s="1" t="s">
        <v>15278</v>
      </c>
      <c r="BT758" s="1" t="str">
        <f>HYPERLINK("https%3A%2F%2Fwww.webofscience.com%2Fwos%2Fwoscc%2Ffull-record%2FWOS:000650111400001","View Full Record in Web of Science")</f>
        <v>View Full Record in Web of Science</v>
      </c>
    </row>
    <row r="759" ht="12.75" customHeight="1">
      <c r="A759" s="1" t="s">
        <v>132</v>
      </c>
      <c r="B759" s="1" t="s">
        <v>15279</v>
      </c>
      <c r="C759" s="1" t="s">
        <v>74</v>
      </c>
      <c r="D759" s="1" t="s">
        <v>74</v>
      </c>
      <c r="E759" s="1" t="s">
        <v>74</v>
      </c>
      <c r="F759" s="1" t="s">
        <v>15280</v>
      </c>
      <c r="G759" s="1" t="s">
        <v>74</v>
      </c>
      <c r="H759" s="1" t="s">
        <v>74</v>
      </c>
      <c r="I759" s="1" t="s">
        <v>15281</v>
      </c>
      <c r="J759" s="1" t="s">
        <v>454</v>
      </c>
      <c r="K759" s="1" t="s">
        <v>74</v>
      </c>
      <c r="L759" s="1" t="s">
        <v>74</v>
      </c>
      <c r="M759" s="1" t="s">
        <v>80</v>
      </c>
      <c r="N759" s="1" t="s">
        <v>136</v>
      </c>
      <c r="O759" s="1" t="s">
        <v>74</v>
      </c>
      <c r="P759" s="1" t="s">
        <v>74</v>
      </c>
      <c r="Q759" s="1" t="s">
        <v>74</v>
      </c>
      <c r="R759" s="1" t="s">
        <v>74</v>
      </c>
      <c r="S759" s="1" t="s">
        <v>74</v>
      </c>
      <c r="T759" s="1" t="s">
        <v>15282</v>
      </c>
      <c r="U759" s="1" t="s">
        <v>15283</v>
      </c>
      <c r="V759" s="1" t="s">
        <v>15284</v>
      </c>
      <c r="W759" s="1" t="s">
        <v>15285</v>
      </c>
      <c r="X759" s="1" t="s">
        <v>15286</v>
      </c>
      <c r="Y759" s="1" t="s">
        <v>15287</v>
      </c>
      <c r="Z759" s="1" t="s">
        <v>15288</v>
      </c>
      <c r="AA759" s="1" t="s">
        <v>74</v>
      </c>
      <c r="AB759" s="1" t="s">
        <v>15289</v>
      </c>
      <c r="AC759" s="1" t="s">
        <v>74</v>
      </c>
      <c r="AD759" s="1" t="s">
        <v>74</v>
      </c>
      <c r="AE759" s="1" t="s">
        <v>74</v>
      </c>
      <c r="AF759" s="1" t="s">
        <v>74</v>
      </c>
      <c r="AG759" s="1">
        <v>53.0</v>
      </c>
      <c r="AH759" s="1">
        <v>130.0</v>
      </c>
      <c r="AI759" s="1">
        <v>133.0</v>
      </c>
      <c r="AJ759" s="1">
        <v>16.0</v>
      </c>
      <c r="AK759" s="1">
        <v>134.0</v>
      </c>
      <c r="AL759" s="1" t="s">
        <v>466</v>
      </c>
      <c r="AM759" s="1" t="s">
        <v>467</v>
      </c>
      <c r="AN759" s="1" t="s">
        <v>468</v>
      </c>
      <c r="AO759" s="1" t="s">
        <v>469</v>
      </c>
      <c r="AP759" s="1" t="s">
        <v>470</v>
      </c>
      <c r="AQ759" s="1" t="s">
        <v>74</v>
      </c>
      <c r="AR759" s="1" t="s">
        <v>471</v>
      </c>
      <c r="AS759" s="1" t="s">
        <v>472</v>
      </c>
      <c r="AT759" s="1" t="s">
        <v>6830</v>
      </c>
      <c r="AU759" s="1">
        <v>2020.0</v>
      </c>
      <c r="AV759" s="1">
        <v>29.0</v>
      </c>
      <c r="AW759" s="1">
        <v>4.0</v>
      </c>
      <c r="AX759" s="1" t="s">
        <v>74</v>
      </c>
      <c r="AY759" s="1" t="s">
        <v>74</v>
      </c>
      <c r="AZ759" s="1" t="s">
        <v>74</v>
      </c>
      <c r="BA759" s="1" t="s">
        <v>74</v>
      </c>
      <c r="BB759" s="1">
        <v>260.0</v>
      </c>
      <c r="BC759" s="1">
        <v>278.0</v>
      </c>
      <c r="BD759" s="1" t="s">
        <v>74</v>
      </c>
      <c r="BE759" s="1" t="s">
        <v>15290</v>
      </c>
      <c r="BF759" s="2" t="str">
        <f>HYPERLINK("http://dx.doi.org/10.1080/12460125.2020.1819094","http://dx.doi.org/10.1080/12460125.2020.1819094")</f>
        <v>http://dx.doi.org/10.1080/12460125.2020.1819094</v>
      </c>
      <c r="BG759" s="1" t="s">
        <v>74</v>
      </c>
      <c r="BH759" s="1" t="s">
        <v>6454</v>
      </c>
      <c r="BI759" s="1">
        <v>19.0</v>
      </c>
      <c r="BJ759" s="1" t="s">
        <v>477</v>
      </c>
      <c r="BK759" s="1" t="s">
        <v>172</v>
      </c>
      <c r="BL759" s="1" t="s">
        <v>477</v>
      </c>
      <c r="BM759" s="1" t="s">
        <v>15291</v>
      </c>
      <c r="BN759" s="1" t="s">
        <v>74</v>
      </c>
      <c r="BO759" s="1" t="s">
        <v>74</v>
      </c>
      <c r="BP759" s="1" t="s">
        <v>74</v>
      </c>
      <c r="BQ759" s="1" t="s">
        <v>74</v>
      </c>
      <c r="BR759" s="1" t="s">
        <v>102</v>
      </c>
      <c r="BS759" s="1" t="s">
        <v>15292</v>
      </c>
      <c r="BT759" s="1" t="str">
        <f>HYPERLINK("https%3A%2F%2Fwww.webofscience.com%2Fwos%2Fwoscc%2Ffull-record%2FWOS:000570512400001","View Full Record in Web of Science")</f>
        <v>View Full Record in Web of Science</v>
      </c>
    </row>
    <row r="760" ht="12.75" customHeight="1">
      <c r="A760" s="1" t="s">
        <v>132</v>
      </c>
      <c r="B760" s="1" t="s">
        <v>15293</v>
      </c>
      <c r="C760" s="1" t="s">
        <v>74</v>
      </c>
      <c r="D760" s="1" t="s">
        <v>74</v>
      </c>
      <c r="E760" s="1" t="s">
        <v>74</v>
      </c>
      <c r="F760" s="1" t="s">
        <v>15294</v>
      </c>
      <c r="G760" s="1" t="s">
        <v>74</v>
      </c>
      <c r="H760" s="1" t="s">
        <v>74</v>
      </c>
      <c r="I760" s="1" t="s">
        <v>15295</v>
      </c>
      <c r="J760" s="1" t="s">
        <v>15296</v>
      </c>
      <c r="K760" s="1" t="s">
        <v>74</v>
      </c>
      <c r="L760" s="1" t="s">
        <v>74</v>
      </c>
      <c r="M760" s="1" t="s">
        <v>80</v>
      </c>
      <c r="N760" s="1" t="s">
        <v>1010</v>
      </c>
      <c r="O760" s="1" t="s">
        <v>74</v>
      </c>
      <c r="P760" s="1" t="s">
        <v>74</v>
      </c>
      <c r="Q760" s="1" t="s">
        <v>74</v>
      </c>
      <c r="R760" s="1" t="s">
        <v>74</v>
      </c>
      <c r="S760" s="1" t="s">
        <v>74</v>
      </c>
      <c r="T760" s="1" t="s">
        <v>15297</v>
      </c>
      <c r="U760" s="1" t="s">
        <v>74</v>
      </c>
      <c r="V760" s="1" t="s">
        <v>15298</v>
      </c>
      <c r="W760" s="1" t="s">
        <v>15299</v>
      </c>
      <c r="X760" s="1" t="s">
        <v>15300</v>
      </c>
      <c r="Y760" s="1" t="s">
        <v>15301</v>
      </c>
      <c r="Z760" s="1" t="s">
        <v>15302</v>
      </c>
      <c r="AA760" s="1" t="s">
        <v>74</v>
      </c>
      <c r="AB760" s="1" t="s">
        <v>15303</v>
      </c>
      <c r="AC760" s="1" t="s">
        <v>74</v>
      </c>
      <c r="AD760" s="1" t="s">
        <v>74</v>
      </c>
      <c r="AE760" s="1" t="s">
        <v>74</v>
      </c>
      <c r="AF760" s="1" t="s">
        <v>74</v>
      </c>
      <c r="AG760" s="1">
        <v>17.0</v>
      </c>
      <c r="AH760" s="1">
        <v>78.0</v>
      </c>
      <c r="AI760" s="1">
        <v>81.0</v>
      </c>
      <c r="AJ760" s="1">
        <v>47.0</v>
      </c>
      <c r="AK760" s="1">
        <v>183.0</v>
      </c>
      <c r="AL760" s="1" t="s">
        <v>192</v>
      </c>
      <c r="AM760" s="1" t="s">
        <v>193</v>
      </c>
      <c r="AN760" s="1" t="s">
        <v>194</v>
      </c>
      <c r="AO760" s="1" t="s">
        <v>15304</v>
      </c>
      <c r="AP760" s="1" t="s">
        <v>15305</v>
      </c>
      <c r="AQ760" s="1" t="s">
        <v>74</v>
      </c>
      <c r="AR760" s="1" t="s">
        <v>15306</v>
      </c>
      <c r="AS760" s="1" t="s">
        <v>15307</v>
      </c>
      <c r="AT760" s="1" t="s">
        <v>1027</v>
      </c>
      <c r="AU760" s="1">
        <v>2022.0</v>
      </c>
      <c r="AV760" s="1">
        <v>93.0</v>
      </c>
      <c r="AW760" s="1">
        <v>1.0</v>
      </c>
      <c r="AX760" s="1" t="s">
        <v>74</v>
      </c>
      <c r="AY760" s="1" t="s">
        <v>74</v>
      </c>
      <c r="AZ760" s="1" t="s">
        <v>74</v>
      </c>
      <c r="BA760" s="1" t="s">
        <v>74</v>
      </c>
      <c r="BB760" s="1">
        <v>249.0</v>
      </c>
      <c r="BC760" s="1">
        <v>253.0</v>
      </c>
      <c r="BD760" s="1" t="s">
        <v>74</v>
      </c>
      <c r="BE760" s="1" t="s">
        <v>15308</v>
      </c>
      <c r="BF760" s="2" t="str">
        <f>HYPERLINK("http://dx.doi.org/10.1007/s11126-022-09973-8","http://dx.doi.org/10.1007/s11126-022-09973-8")</f>
        <v>http://dx.doi.org/10.1007/s11126-022-09973-8</v>
      </c>
      <c r="BG760" s="1" t="s">
        <v>74</v>
      </c>
      <c r="BH760" s="1" t="s">
        <v>13674</v>
      </c>
      <c r="BI760" s="1">
        <v>5.0</v>
      </c>
      <c r="BJ760" s="1" t="s">
        <v>15309</v>
      </c>
      <c r="BK760" s="1" t="s">
        <v>203</v>
      </c>
      <c r="BL760" s="1" t="s">
        <v>15309</v>
      </c>
      <c r="BM760" s="1" t="s">
        <v>15310</v>
      </c>
      <c r="BN760" s="1">
        <v>3.521294E7</v>
      </c>
      <c r="BO760" s="1" t="s">
        <v>8251</v>
      </c>
      <c r="BP760" s="1" t="s">
        <v>74</v>
      </c>
      <c r="BQ760" s="1" t="s">
        <v>74</v>
      </c>
      <c r="BR760" s="1" t="s">
        <v>102</v>
      </c>
      <c r="BS760" s="1" t="s">
        <v>15311</v>
      </c>
      <c r="BT760" s="1" t="str">
        <f>HYPERLINK("https%3A%2F%2Fwww.webofscience.com%2Fwos%2Fwoscc%2Ffull-record%2FWOS:000761834300001","View Full Record in Web of Science")</f>
        <v>View Full Record in Web of Science</v>
      </c>
    </row>
    <row r="761" ht="12.75" customHeight="1">
      <c r="A761" s="1" t="s">
        <v>132</v>
      </c>
      <c r="B761" s="1" t="s">
        <v>15312</v>
      </c>
      <c r="C761" s="1" t="s">
        <v>74</v>
      </c>
      <c r="D761" s="1" t="s">
        <v>74</v>
      </c>
      <c r="E761" s="1" t="s">
        <v>74</v>
      </c>
      <c r="F761" s="1" t="s">
        <v>15313</v>
      </c>
      <c r="G761" s="1" t="s">
        <v>74</v>
      </c>
      <c r="H761" s="1" t="s">
        <v>74</v>
      </c>
      <c r="I761" s="1" t="s">
        <v>15314</v>
      </c>
      <c r="J761" s="1" t="s">
        <v>3356</v>
      </c>
      <c r="K761" s="1" t="s">
        <v>74</v>
      </c>
      <c r="L761" s="1" t="s">
        <v>74</v>
      </c>
      <c r="M761" s="1" t="s">
        <v>80</v>
      </c>
      <c r="N761" s="1" t="s">
        <v>136</v>
      </c>
      <c r="O761" s="1" t="s">
        <v>74</v>
      </c>
      <c r="P761" s="1" t="s">
        <v>74</v>
      </c>
      <c r="Q761" s="1" t="s">
        <v>74</v>
      </c>
      <c r="R761" s="1" t="s">
        <v>74</v>
      </c>
      <c r="S761" s="1" t="s">
        <v>74</v>
      </c>
      <c r="T761" s="1" t="s">
        <v>15315</v>
      </c>
      <c r="U761" s="1" t="s">
        <v>74</v>
      </c>
      <c r="V761" s="1" t="s">
        <v>15316</v>
      </c>
      <c r="W761" s="1" t="s">
        <v>15317</v>
      </c>
      <c r="X761" s="1" t="s">
        <v>15318</v>
      </c>
      <c r="Y761" s="1" t="s">
        <v>15319</v>
      </c>
      <c r="Z761" s="1" t="s">
        <v>15320</v>
      </c>
      <c r="AA761" s="1" t="s">
        <v>15321</v>
      </c>
      <c r="AB761" s="1" t="s">
        <v>15322</v>
      </c>
      <c r="AC761" s="1" t="s">
        <v>15323</v>
      </c>
      <c r="AD761" s="1" t="s">
        <v>7444</v>
      </c>
      <c r="AE761" s="1" t="s">
        <v>74</v>
      </c>
      <c r="AF761" s="1" t="s">
        <v>74</v>
      </c>
      <c r="AG761" s="1">
        <v>36.0</v>
      </c>
      <c r="AH761" s="1">
        <v>13.0</v>
      </c>
      <c r="AI761" s="1">
        <v>13.0</v>
      </c>
      <c r="AJ761" s="1">
        <v>37.0</v>
      </c>
      <c r="AK761" s="1">
        <v>90.0</v>
      </c>
      <c r="AL761" s="1" t="s">
        <v>2745</v>
      </c>
      <c r="AM761" s="1" t="s">
        <v>2746</v>
      </c>
      <c r="AN761" s="1" t="s">
        <v>2747</v>
      </c>
      <c r="AO761" s="1" t="s">
        <v>3368</v>
      </c>
      <c r="AP761" s="1" t="s">
        <v>3369</v>
      </c>
      <c r="AQ761" s="1" t="s">
        <v>74</v>
      </c>
      <c r="AR761" s="1" t="s">
        <v>3370</v>
      </c>
      <c r="AS761" s="1" t="s">
        <v>3371</v>
      </c>
      <c r="AT761" s="1" t="s">
        <v>870</v>
      </c>
      <c r="AU761" s="1">
        <v>2024.0</v>
      </c>
      <c r="AV761" s="1">
        <v>88.0</v>
      </c>
      <c r="AW761" s="1" t="s">
        <v>74</v>
      </c>
      <c r="AX761" s="1" t="s">
        <v>74</v>
      </c>
      <c r="AY761" s="1" t="s">
        <v>74</v>
      </c>
      <c r="AZ761" s="1" t="s">
        <v>74</v>
      </c>
      <c r="BA761" s="1" t="s">
        <v>74</v>
      </c>
      <c r="BB761" s="1" t="s">
        <v>74</v>
      </c>
      <c r="BC761" s="1" t="s">
        <v>74</v>
      </c>
      <c r="BD761" s="1">
        <v>104510.0</v>
      </c>
      <c r="BE761" s="1" t="s">
        <v>15324</v>
      </c>
      <c r="BF761" s="2" t="str">
        <f>HYPERLINK("http://dx.doi.org/10.1016/j.resourpol.2023.104510","http://dx.doi.org/10.1016/j.resourpol.2023.104510")</f>
        <v>http://dx.doi.org/10.1016/j.resourpol.2023.104510</v>
      </c>
      <c r="BG761" s="1" t="s">
        <v>74</v>
      </c>
      <c r="BH761" s="1" t="s">
        <v>5056</v>
      </c>
      <c r="BI761" s="1">
        <v>7.0</v>
      </c>
      <c r="BJ761" s="1" t="s">
        <v>1002</v>
      </c>
      <c r="BK761" s="1" t="s">
        <v>203</v>
      </c>
      <c r="BL761" s="1" t="s">
        <v>894</v>
      </c>
      <c r="BM761" s="1" t="s">
        <v>15325</v>
      </c>
      <c r="BN761" s="1" t="s">
        <v>74</v>
      </c>
      <c r="BO761" s="1" t="s">
        <v>74</v>
      </c>
      <c r="BP761" s="1" t="s">
        <v>74</v>
      </c>
      <c r="BQ761" s="1" t="s">
        <v>74</v>
      </c>
      <c r="BR761" s="1" t="s">
        <v>102</v>
      </c>
      <c r="BS761" s="1" t="s">
        <v>15326</v>
      </c>
      <c r="BT761" s="1" t="str">
        <f>HYPERLINK("https%3A%2F%2Fwww.webofscience.com%2Fwos%2Fwoscc%2Ffull-record%2FWOS:001134478200001","View Full Record in Web of Science")</f>
        <v>View Full Record in Web of Science</v>
      </c>
    </row>
    <row r="762" ht="12.75" customHeight="1">
      <c r="A762" s="1" t="s">
        <v>132</v>
      </c>
      <c r="B762" s="1" t="s">
        <v>15327</v>
      </c>
      <c r="C762" s="1" t="s">
        <v>74</v>
      </c>
      <c r="D762" s="1" t="s">
        <v>74</v>
      </c>
      <c r="E762" s="1" t="s">
        <v>74</v>
      </c>
      <c r="F762" s="1" t="s">
        <v>15328</v>
      </c>
      <c r="G762" s="1" t="s">
        <v>74</v>
      </c>
      <c r="H762" s="1" t="s">
        <v>74</v>
      </c>
      <c r="I762" s="1" t="s">
        <v>15329</v>
      </c>
      <c r="J762" s="1" t="s">
        <v>15330</v>
      </c>
      <c r="K762" s="1" t="s">
        <v>74</v>
      </c>
      <c r="L762" s="1" t="s">
        <v>74</v>
      </c>
      <c r="M762" s="1" t="s">
        <v>80</v>
      </c>
      <c r="N762" s="1" t="s">
        <v>136</v>
      </c>
      <c r="O762" s="1" t="s">
        <v>74</v>
      </c>
      <c r="P762" s="1" t="s">
        <v>74</v>
      </c>
      <c r="Q762" s="1" t="s">
        <v>74</v>
      </c>
      <c r="R762" s="1" t="s">
        <v>74</v>
      </c>
      <c r="S762" s="1" t="s">
        <v>74</v>
      </c>
      <c r="T762" s="1" t="s">
        <v>15331</v>
      </c>
      <c r="U762" s="1" t="s">
        <v>74</v>
      </c>
      <c r="V762" s="1" t="s">
        <v>15332</v>
      </c>
      <c r="W762" s="1" t="s">
        <v>15333</v>
      </c>
      <c r="X762" s="1" t="s">
        <v>15334</v>
      </c>
      <c r="Y762" s="1" t="s">
        <v>15335</v>
      </c>
      <c r="Z762" s="1" t="s">
        <v>15336</v>
      </c>
      <c r="AA762" s="1" t="s">
        <v>15337</v>
      </c>
      <c r="AB762" s="1" t="s">
        <v>74</v>
      </c>
      <c r="AC762" s="1" t="s">
        <v>74</v>
      </c>
      <c r="AD762" s="1" t="s">
        <v>74</v>
      </c>
      <c r="AE762" s="1" t="s">
        <v>74</v>
      </c>
      <c r="AF762" s="1" t="s">
        <v>74</v>
      </c>
      <c r="AG762" s="1">
        <v>86.0</v>
      </c>
      <c r="AH762" s="1">
        <v>1.0</v>
      </c>
      <c r="AI762" s="1">
        <v>1.0</v>
      </c>
      <c r="AJ762" s="1">
        <v>7.0</v>
      </c>
      <c r="AK762" s="1">
        <v>7.0</v>
      </c>
      <c r="AL762" s="1" t="s">
        <v>275</v>
      </c>
      <c r="AM762" s="1" t="s">
        <v>276</v>
      </c>
      <c r="AN762" s="1" t="s">
        <v>277</v>
      </c>
      <c r="AO762" s="1" t="s">
        <v>74</v>
      </c>
      <c r="AP762" s="1" t="s">
        <v>15338</v>
      </c>
      <c r="AQ762" s="1" t="s">
        <v>74</v>
      </c>
      <c r="AR762" s="1" t="s">
        <v>15339</v>
      </c>
      <c r="AS762" s="1" t="s">
        <v>15340</v>
      </c>
      <c r="AT762" s="1" t="s">
        <v>6830</v>
      </c>
      <c r="AU762" s="1">
        <v>2024.0</v>
      </c>
      <c r="AV762" s="1">
        <v>9.0</v>
      </c>
      <c r="AW762" s="1" t="s">
        <v>74</v>
      </c>
      <c r="AX762" s="1" t="s">
        <v>74</v>
      </c>
      <c r="AY762" s="1" t="s">
        <v>74</v>
      </c>
      <c r="AZ762" s="1" t="s">
        <v>74</v>
      </c>
      <c r="BA762" s="1" t="s">
        <v>74</v>
      </c>
      <c r="BB762" s="1" t="s">
        <v>74</v>
      </c>
      <c r="BC762" s="1" t="s">
        <v>74</v>
      </c>
      <c r="BD762" s="1">
        <v>1470979.0</v>
      </c>
      <c r="BE762" s="1" t="s">
        <v>15341</v>
      </c>
      <c r="BF762" s="2" t="str">
        <f>HYPERLINK("http://dx.doi.org/10.3389/feduc.2024.1470979","http://dx.doi.org/10.3389/feduc.2024.1470979")</f>
        <v>http://dx.doi.org/10.3389/feduc.2024.1470979</v>
      </c>
      <c r="BG762" s="1" t="s">
        <v>74</v>
      </c>
      <c r="BH762" s="1" t="s">
        <v>74</v>
      </c>
      <c r="BI762" s="1">
        <v>11.0</v>
      </c>
      <c r="BJ762" s="1" t="s">
        <v>171</v>
      </c>
      <c r="BK762" s="1" t="s">
        <v>172</v>
      </c>
      <c r="BL762" s="1" t="s">
        <v>171</v>
      </c>
      <c r="BM762" s="1" t="s">
        <v>15342</v>
      </c>
      <c r="BN762" s="1" t="s">
        <v>74</v>
      </c>
      <c r="BO762" s="1" t="s">
        <v>174</v>
      </c>
      <c r="BP762" s="1" t="s">
        <v>74</v>
      </c>
      <c r="BQ762" s="1" t="s">
        <v>74</v>
      </c>
      <c r="BR762" s="1" t="s">
        <v>102</v>
      </c>
      <c r="BS762" s="1" t="s">
        <v>15343</v>
      </c>
      <c r="BT762" s="1" t="str">
        <f>HYPERLINK("https%3A%2F%2Fwww.webofscience.com%2Fwos%2Fwoscc%2Ffull-record%2FWOS:001336690100001","View Full Record in Web of Science")</f>
        <v>View Full Record in Web of Science</v>
      </c>
    </row>
    <row r="763" ht="12.75" customHeight="1">
      <c r="A763" s="1" t="s">
        <v>72</v>
      </c>
      <c r="B763" s="1" t="s">
        <v>15344</v>
      </c>
      <c r="C763" s="1" t="s">
        <v>74</v>
      </c>
      <c r="D763" s="1" t="s">
        <v>15345</v>
      </c>
      <c r="E763" s="1" t="s">
        <v>74</v>
      </c>
      <c r="F763" s="1" t="s">
        <v>15346</v>
      </c>
      <c r="G763" s="1" t="s">
        <v>74</v>
      </c>
      <c r="H763" s="1" t="s">
        <v>74</v>
      </c>
      <c r="I763" s="1" t="s">
        <v>15347</v>
      </c>
      <c r="J763" s="1" t="s">
        <v>15348</v>
      </c>
      <c r="K763" s="1" t="s">
        <v>74</v>
      </c>
      <c r="L763" s="1" t="s">
        <v>74</v>
      </c>
      <c r="M763" s="1" t="s">
        <v>80</v>
      </c>
      <c r="N763" s="1" t="s">
        <v>81</v>
      </c>
      <c r="O763" s="1" t="s">
        <v>15349</v>
      </c>
      <c r="P763" s="1" t="s">
        <v>15350</v>
      </c>
      <c r="Q763" s="1" t="s">
        <v>15351</v>
      </c>
      <c r="R763" s="1" t="s">
        <v>15352</v>
      </c>
      <c r="S763" s="1" t="s">
        <v>15353</v>
      </c>
      <c r="T763" s="1" t="s">
        <v>15354</v>
      </c>
      <c r="U763" s="1" t="s">
        <v>74</v>
      </c>
      <c r="V763" s="1" t="s">
        <v>15355</v>
      </c>
      <c r="W763" s="1" t="s">
        <v>15356</v>
      </c>
      <c r="X763" s="1" t="s">
        <v>13255</v>
      </c>
      <c r="Y763" s="1" t="s">
        <v>15357</v>
      </c>
      <c r="Z763" s="1" t="s">
        <v>15358</v>
      </c>
      <c r="AA763" s="1" t="s">
        <v>15359</v>
      </c>
      <c r="AB763" s="1" t="s">
        <v>15360</v>
      </c>
      <c r="AC763" s="1" t="s">
        <v>15361</v>
      </c>
      <c r="AD763" s="1" t="s">
        <v>15362</v>
      </c>
      <c r="AE763" s="1" t="s">
        <v>15363</v>
      </c>
      <c r="AF763" s="1" t="s">
        <v>74</v>
      </c>
      <c r="AG763" s="1">
        <v>45.0</v>
      </c>
      <c r="AH763" s="1">
        <v>1.0</v>
      </c>
      <c r="AI763" s="1">
        <v>1.0</v>
      </c>
      <c r="AJ763" s="1">
        <v>1.0</v>
      </c>
      <c r="AK763" s="1">
        <v>5.0</v>
      </c>
      <c r="AL763" s="1" t="s">
        <v>1426</v>
      </c>
      <c r="AM763" s="1" t="s">
        <v>193</v>
      </c>
      <c r="AN763" s="1" t="s">
        <v>1427</v>
      </c>
      <c r="AO763" s="1" t="s">
        <v>74</v>
      </c>
      <c r="AP763" s="1" t="s">
        <v>74</v>
      </c>
      <c r="AQ763" s="1" t="s">
        <v>15364</v>
      </c>
      <c r="AR763" s="1" t="s">
        <v>74</v>
      </c>
      <c r="AS763" s="1" t="s">
        <v>74</v>
      </c>
      <c r="AT763" s="1" t="s">
        <v>74</v>
      </c>
      <c r="AU763" s="1">
        <v>2023.0</v>
      </c>
      <c r="AV763" s="1" t="s">
        <v>74</v>
      </c>
      <c r="AW763" s="1" t="s">
        <v>74</v>
      </c>
      <c r="AX763" s="1" t="s">
        <v>74</v>
      </c>
      <c r="AY763" s="1" t="s">
        <v>74</v>
      </c>
      <c r="AZ763" s="1" t="s">
        <v>74</v>
      </c>
      <c r="BA763" s="1" t="s">
        <v>74</v>
      </c>
      <c r="BB763" s="1" t="s">
        <v>74</v>
      </c>
      <c r="BC763" s="1" t="s">
        <v>74</v>
      </c>
      <c r="BD763" s="1">
        <v>14.0</v>
      </c>
      <c r="BE763" s="1" t="s">
        <v>15365</v>
      </c>
      <c r="BF763" s="2" t="str">
        <f>HYPERLINK("http://dx.doi.org/10.1145/3612783.3612798","http://dx.doi.org/10.1145/3612783.3612798")</f>
        <v>http://dx.doi.org/10.1145/3612783.3612798</v>
      </c>
      <c r="BG763" s="1" t="s">
        <v>74</v>
      </c>
      <c r="BH763" s="1" t="s">
        <v>74</v>
      </c>
      <c r="BI763" s="1">
        <v>8.0</v>
      </c>
      <c r="BJ763" s="1" t="s">
        <v>1342</v>
      </c>
      <c r="BK763" s="1" t="s">
        <v>128</v>
      </c>
      <c r="BL763" s="1" t="s">
        <v>232</v>
      </c>
      <c r="BM763" s="1" t="s">
        <v>15366</v>
      </c>
      <c r="BN763" s="1" t="s">
        <v>74</v>
      </c>
      <c r="BO763" s="1" t="s">
        <v>74</v>
      </c>
      <c r="BP763" s="1" t="s">
        <v>74</v>
      </c>
      <c r="BQ763" s="1" t="s">
        <v>74</v>
      </c>
      <c r="BR763" s="1" t="s">
        <v>102</v>
      </c>
      <c r="BS763" s="1" t="s">
        <v>15367</v>
      </c>
      <c r="BT763" s="1" t="str">
        <f>HYPERLINK("https%3A%2F%2Fwww.webofscience.com%2Fwos%2Fwoscc%2Ffull-record%2FWOS:001156726000014","View Full Record in Web of Science")</f>
        <v>View Full Record in Web of Science</v>
      </c>
    </row>
    <row r="764" ht="12.75" customHeight="1">
      <c r="A764" s="1" t="s">
        <v>132</v>
      </c>
      <c r="B764" s="1" t="s">
        <v>15368</v>
      </c>
      <c r="C764" s="1" t="s">
        <v>74</v>
      </c>
      <c r="D764" s="1" t="s">
        <v>74</v>
      </c>
      <c r="E764" s="1" t="s">
        <v>74</v>
      </c>
      <c r="F764" s="1" t="s">
        <v>15369</v>
      </c>
      <c r="G764" s="1" t="s">
        <v>74</v>
      </c>
      <c r="H764" s="1" t="s">
        <v>74</v>
      </c>
      <c r="I764" s="1" t="s">
        <v>15370</v>
      </c>
      <c r="J764" s="1" t="s">
        <v>15371</v>
      </c>
      <c r="K764" s="1" t="s">
        <v>74</v>
      </c>
      <c r="L764" s="1" t="s">
        <v>74</v>
      </c>
      <c r="M764" s="1" t="s">
        <v>80</v>
      </c>
      <c r="N764" s="1" t="s">
        <v>136</v>
      </c>
      <c r="O764" s="1" t="s">
        <v>74</v>
      </c>
      <c r="P764" s="1" t="s">
        <v>74</v>
      </c>
      <c r="Q764" s="1" t="s">
        <v>74</v>
      </c>
      <c r="R764" s="1" t="s">
        <v>74</v>
      </c>
      <c r="S764" s="1" t="s">
        <v>74</v>
      </c>
      <c r="T764" s="1" t="s">
        <v>15372</v>
      </c>
      <c r="U764" s="1" t="s">
        <v>15373</v>
      </c>
      <c r="V764" s="1" t="s">
        <v>15374</v>
      </c>
      <c r="W764" s="1" t="s">
        <v>15375</v>
      </c>
      <c r="X764" s="1" t="s">
        <v>15376</v>
      </c>
      <c r="Y764" s="1" t="s">
        <v>15377</v>
      </c>
      <c r="Z764" s="1" t="s">
        <v>15378</v>
      </c>
      <c r="AA764" s="1" t="s">
        <v>15379</v>
      </c>
      <c r="AB764" s="1" t="s">
        <v>15380</v>
      </c>
      <c r="AC764" s="1" t="s">
        <v>15381</v>
      </c>
      <c r="AD764" s="1" t="s">
        <v>15382</v>
      </c>
      <c r="AE764" s="1" t="s">
        <v>15383</v>
      </c>
      <c r="AF764" s="1" t="s">
        <v>74</v>
      </c>
      <c r="AG764" s="1">
        <v>41.0</v>
      </c>
      <c r="AH764" s="1">
        <v>23.0</v>
      </c>
      <c r="AI764" s="1">
        <v>24.0</v>
      </c>
      <c r="AJ764" s="1">
        <v>2.0</v>
      </c>
      <c r="AK764" s="1">
        <v>7.0</v>
      </c>
      <c r="AL764" s="1" t="s">
        <v>15384</v>
      </c>
      <c r="AM764" s="1" t="s">
        <v>15385</v>
      </c>
      <c r="AN764" s="1" t="s">
        <v>15386</v>
      </c>
      <c r="AO764" s="1" t="s">
        <v>15387</v>
      </c>
      <c r="AP764" s="1" t="s">
        <v>15388</v>
      </c>
      <c r="AQ764" s="1" t="s">
        <v>74</v>
      </c>
      <c r="AR764" s="1" t="s">
        <v>15389</v>
      </c>
      <c r="AS764" s="1" t="s">
        <v>15390</v>
      </c>
      <c r="AT764" s="1" t="s">
        <v>199</v>
      </c>
      <c r="AU764" s="1">
        <v>2022.0</v>
      </c>
      <c r="AV764" s="1">
        <v>219.0</v>
      </c>
      <c r="AW764" s="1">
        <v>5.0</v>
      </c>
      <c r="AX764" s="1" t="s">
        <v>74</v>
      </c>
      <c r="AY764" s="1" t="s">
        <v>74</v>
      </c>
      <c r="AZ764" s="1" t="s">
        <v>74</v>
      </c>
      <c r="BA764" s="1" t="s">
        <v>74</v>
      </c>
      <c r="BB764" s="1">
        <v>743.0</v>
      </c>
      <c r="BC764" s="1">
        <v>751.0</v>
      </c>
      <c r="BD764" s="1" t="s">
        <v>74</v>
      </c>
      <c r="BE764" s="1" t="s">
        <v>15391</v>
      </c>
      <c r="BF764" s="2" t="str">
        <f>HYPERLINK("http://dx.doi.org/10.2214/AJR.22.27598","http://dx.doi.org/10.2214/AJR.22.27598")</f>
        <v>http://dx.doi.org/10.2214/AJR.22.27598</v>
      </c>
      <c r="BG764" s="1" t="s">
        <v>74</v>
      </c>
      <c r="BH764" s="1" t="s">
        <v>74</v>
      </c>
      <c r="BI764" s="1">
        <v>9.0</v>
      </c>
      <c r="BJ764" s="1" t="s">
        <v>656</v>
      </c>
      <c r="BK764" s="1" t="s">
        <v>149</v>
      </c>
      <c r="BL764" s="1" t="s">
        <v>656</v>
      </c>
      <c r="BM764" s="1" t="s">
        <v>15392</v>
      </c>
      <c r="BN764" s="1">
        <v>3.5703413E7</v>
      </c>
      <c r="BO764" s="1" t="s">
        <v>74</v>
      </c>
      <c r="BP764" s="1" t="s">
        <v>74</v>
      </c>
      <c r="BQ764" s="1" t="s">
        <v>74</v>
      </c>
      <c r="BR764" s="1" t="s">
        <v>102</v>
      </c>
      <c r="BS764" s="1" t="s">
        <v>15393</v>
      </c>
      <c r="BT764" s="1" t="str">
        <f>HYPERLINK("https%3A%2F%2Fwww.webofscience.com%2Fwos%2Fwoscc%2Ffull-record%2FWOS:000889042100013","View Full Record in Web of Science")</f>
        <v>View Full Record in Web of Science</v>
      </c>
    </row>
    <row r="765" ht="12.75" customHeight="1">
      <c r="A765" s="1" t="s">
        <v>132</v>
      </c>
      <c r="B765" s="1" t="s">
        <v>15394</v>
      </c>
      <c r="C765" s="1" t="s">
        <v>74</v>
      </c>
      <c r="D765" s="1" t="s">
        <v>74</v>
      </c>
      <c r="E765" s="1" t="s">
        <v>74</v>
      </c>
      <c r="F765" s="1" t="s">
        <v>15395</v>
      </c>
      <c r="G765" s="1" t="s">
        <v>74</v>
      </c>
      <c r="H765" s="1" t="s">
        <v>74</v>
      </c>
      <c r="I765" s="1" t="s">
        <v>15396</v>
      </c>
      <c r="J765" s="1" t="s">
        <v>15397</v>
      </c>
      <c r="K765" s="1" t="s">
        <v>74</v>
      </c>
      <c r="L765" s="1" t="s">
        <v>74</v>
      </c>
      <c r="M765" s="1" t="s">
        <v>80</v>
      </c>
      <c r="N765" s="1" t="s">
        <v>136</v>
      </c>
      <c r="O765" s="1" t="s">
        <v>74</v>
      </c>
      <c r="P765" s="1" t="s">
        <v>74</v>
      </c>
      <c r="Q765" s="1" t="s">
        <v>74</v>
      </c>
      <c r="R765" s="1" t="s">
        <v>74</v>
      </c>
      <c r="S765" s="1" t="s">
        <v>74</v>
      </c>
      <c r="T765" s="1" t="s">
        <v>15398</v>
      </c>
      <c r="U765" s="1" t="s">
        <v>15399</v>
      </c>
      <c r="V765" s="1" t="s">
        <v>15400</v>
      </c>
      <c r="W765" s="1" t="s">
        <v>15401</v>
      </c>
      <c r="X765" s="1" t="s">
        <v>15402</v>
      </c>
      <c r="Y765" s="1" t="s">
        <v>15403</v>
      </c>
      <c r="Z765" s="1" t="s">
        <v>15404</v>
      </c>
      <c r="AA765" s="1" t="s">
        <v>15405</v>
      </c>
      <c r="AB765" s="1" t="s">
        <v>15406</v>
      </c>
      <c r="AC765" s="1" t="s">
        <v>74</v>
      </c>
      <c r="AD765" s="1" t="s">
        <v>74</v>
      </c>
      <c r="AE765" s="1" t="s">
        <v>74</v>
      </c>
      <c r="AF765" s="1" t="s">
        <v>74</v>
      </c>
      <c r="AG765" s="1">
        <v>99.0</v>
      </c>
      <c r="AH765" s="1">
        <v>1.0</v>
      </c>
      <c r="AI765" s="1">
        <v>1.0</v>
      </c>
      <c r="AJ765" s="1">
        <v>57.0</v>
      </c>
      <c r="AK765" s="1">
        <v>57.0</v>
      </c>
      <c r="AL765" s="1" t="s">
        <v>1970</v>
      </c>
      <c r="AM765" s="1" t="s">
        <v>1658</v>
      </c>
      <c r="AN765" s="1" t="s">
        <v>1971</v>
      </c>
      <c r="AO765" s="1" t="s">
        <v>74</v>
      </c>
      <c r="AP765" s="1" t="s">
        <v>15407</v>
      </c>
      <c r="AQ765" s="1" t="s">
        <v>74</v>
      </c>
      <c r="AR765" s="1" t="s">
        <v>15408</v>
      </c>
      <c r="AS765" s="1" t="s">
        <v>15409</v>
      </c>
      <c r="AT765" s="1" t="s">
        <v>1279</v>
      </c>
      <c r="AU765" s="1">
        <v>2024.0</v>
      </c>
      <c r="AV765" s="1">
        <v>14.0</v>
      </c>
      <c r="AW765" s="1">
        <v>7.0</v>
      </c>
      <c r="AX765" s="1" t="s">
        <v>74</v>
      </c>
      <c r="AY765" s="1" t="s">
        <v>74</v>
      </c>
      <c r="AZ765" s="1" t="s">
        <v>74</v>
      </c>
      <c r="BA765" s="1" t="s">
        <v>74</v>
      </c>
      <c r="BB765" s="1" t="s">
        <v>74</v>
      </c>
      <c r="BC765" s="1" t="s">
        <v>74</v>
      </c>
      <c r="BD765" s="1">
        <v>157.0</v>
      </c>
      <c r="BE765" s="1" t="s">
        <v>15410</v>
      </c>
      <c r="BF765" s="2" t="str">
        <f>HYPERLINK("http://dx.doi.org/10.3390/admsci14070157","http://dx.doi.org/10.3390/admsci14070157")</f>
        <v>http://dx.doi.org/10.3390/admsci14070157</v>
      </c>
      <c r="BG765" s="1" t="s">
        <v>74</v>
      </c>
      <c r="BH765" s="1" t="s">
        <v>74</v>
      </c>
      <c r="BI765" s="1">
        <v>20.0</v>
      </c>
      <c r="BJ765" s="1" t="s">
        <v>1776</v>
      </c>
      <c r="BK765" s="1" t="s">
        <v>172</v>
      </c>
      <c r="BL765" s="1" t="s">
        <v>204</v>
      </c>
      <c r="BM765" s="1" t="s">
        <v>15411</v>
      </c>
      <c r="BN765" s="1" t="s">
        <v>74</v>
      </c>
      <c r="BO765" s="1" t="s">
        <v>174</v>
      </c>
      <c r="BP765" s="1" t="s">
        <v>74</v>
      </c>
      <c r="BQ765" s="1" t="s">
        <v>74</v>
      </c>
      <c r="BR765" s="1" t="s">
        <v>102</v>
      </c>
      <c r="BS765" s="1" t="s">
        <v>15412</v>
      </c>
      <c r="BT765" s="1" t="str">
        <f>HYPERLINK("https%3A%2F%2Fwww.webofscience.com%2Fwos%2Fwoscc%2Ffull-record%2FWOS:001276493800001","View Full Record in Web of Science")</f>
        <v>View Full Record in Web of Science</v>
      </c>
    </row>
    <row r="766" ht="12.75" customHeight="1">
      <c r="A766" s="1" t="s">
        <v>132</v>
      </c>
      <c r="B766" s="1" t="s">
        <v>15413</v>
      </c>
      <c r="C766" s="1" t="s">
        <v>74</v>
      </c>
      <c r="D766" s="1" t="s">
        <v>74</v>
      </c>
      <c r="E766" s="1" t="s">
        <v>74</v>
      </c>
      <c r="F766" s="1" t="s">
        <v>15414</v>
      </c>
      <c r="G766" s="1" t="s">
        <v>74</v>
      </c>
      <c r="H766" s="1" t="s">
        <v>74</v>
      </c>
      <c r="I766" s="1" t="s">
        <v>15415</v>
      </c>
      <c r="J766" s="1" t="s">
        <v>5018</v>
      </c>
      <c r="K766" s="1" t="s">
        <v>74</v>
      </c>
      <c r="L766" s="1" t="s">
        <v>74</v>
      </c>
      <c r="M766" s="1" t="s">
        <v>80</v>
      </c>
      <c r="N766" s="1" t="s">
        <v>136</v>
      </c>
      <c r="O766" s="1" t="s">
        <v>74</v>
      </c>
      <c r="P766" s="1" t="s">
        <v>74</v>
      </c>
      <c r="Q766" s="1" t="s">
        <v>74</v>
      </c>
      <c r="R766" s="1" t="s">
        <v>74</v>
      </c>
      <c r="S766" s="1" t="s">
        <v>74</v>
      </c>
      <c r="T766" s="1" t="s">
        <v>15416</v>
      </c>
      <c r="U766" s="1" t="s">
        <v>74</v>
      </c>
      <c r="V766" s="1" t="s">
        <v>15417</v>
      </c>
      <c r="W766" s="1" t="s">
        <v>15418</v>
      </c>
      <c r="X766" s="1" t="s">
        <v>15419</v>
      </c>
      <c r="Y766" s="1" t="s">
        <v>15420</v>
      </c>
      <c r="Z766" s="1" t="s">
        <v>15421</v>
      </c>
      <c r="AA766" s="1" t="s">
        <v>74</v>
      </c>
      <c r="AB766" s="1" t="s">
        <v>15422</v>
      </c>
      <c r="AC766" s="1" t="s">
        <v>15423</v>
      </c>
      <c r="AD766" s="1" t="s">
        <v>15424</v>
      </c>
      <c r="AE766" s="1" t="s">
        <v>15425</v>
      </c>
      <c r="AF766" s="1" t="s">
        <v>74</v>
      </c>
      <c r="AG766" s="1">
        <v>50.0</v>
      </c>
      <c r="AH766" s="1">
        <v>20.0</v>
      </c>
      <c r="AI766" s="1">
        <v>21.0</v>
      </c>
      <c r="AJ766" s="1">
        <v>23.0</v>
      </c>
      <c r="AK766" s="1">
        <v>144.0</v>
      </c>
      <c r="AL766" s="1" t="s">
        <v>1970</v>
      </c>
      <c r="AM766" s="1" t="s">
        <v>1658</v>
      </c>
      <c r="AN766" s="1" t="s">
        <v>1971</v>
      </c>
      <c r="AO766" s="1" t="s">
        <v>74</v>
      </c>
      <c r="AP766" s="1" t="s">
        <v>5029</v>
      </c>
      <c r="AQ766" s="1" t="s">
        <v>74</v>
      </c>
      <c r="AR766" s="1" t="s">
        <v>5030</v>
      </c>
      <c r="AS766" s="1" t="s">
        <v>5031</v>
      </c>
      <c r="AT766" s="1" t="s">
        <v>870</v>
      </c>
      <c r="AU766" s="1">
        <v>2021.0</v>
      </c>
      <c r="AV766" s="1">
        <v>13.0</v>
      </c>
      <c r="AW766" s="1">
        <v>1.0</v>
      </c>
      <c r="AX766" s="1" t="s">
        <v>74</v>
      </c>
      <c r="AY766" s="1" t="s">
        <v>74</v>
      </c>
      <c r="AZ766" s="1" t="s">
        <v>74</v>
      </c>
      <c r="BA766" s="1" t="s">
        <v>74</v>
      </c>
      <c r="BB766" s="1" t="s">
        <v>74</v>
      </c>
      <c r="BC766" s="1" t="s">
        <v>74</v>
      </c>
      <c r="BD766" s="1">
        <v>328.0</v>
      </c>
      <c r="BE766" s="1" t="s">
        <v>15426</v>
      </c>
      <c r="BF766" s="2" t="str">
        <f>HYPERLINK("http://dx.doi.org/10.3390/su13010328","http://dx.doi.org/10.3390/su13010328")</f>
        <v>http://dx.doi.org/10.3390/su13010328</v>
      </c>
      <c r="BG766" s="1" t="s">
        <v>74</v>
      </c>
      <c r="BH766" s="1" t="s">
        <v>74</v>
      </c>
      <c r="BI766" s="1">
        <v>17.0</v>
      </c>
      <c r="BJ766" s="1" t="s">
        <v>5033</v>
      </c>
      <c r="BK766" s="1" t="s">
        <v>783</v>
      </c>
      <c r="BL766" s="1" t="s">
        <v>3612</v>
      </c>
      <c r="BM766" s="1" t="s">
        <v>15427</v>
      </c>
      <c r="BN766" s="1" t="s">
        <v>74</v>
      </c>
      <c r="BO766" s="1" t="s">
        <v>174</v>
      </c>
      <c r="BP766" s="1" t="s">
        <v>74</v>
      </c>
      <c r="BQ766" s="1" t="s">
        <v>74</v>
      </c>
      <c r="BR766" s="1" t="s">
        <v>102</v>
      </c>
      <c r="BS766" s="1" t="s">
        <v>15428</v>
      </c>
      <c r="BT766" s="1" t="str">
        <f>HYPERLINK("https%3A%2F%2Fwww.webofscience.com%2Fwos%2Fwoscc%2Ffull-record%2FWOS:000606387600001","View Full Record in Web of Science")</f>
        <v>View Full Record in Web of Science</v>
      </c>
    </row>
    <row r="767" ht="12.75" customHeight="1">
      <c r="A767" s="1" t="s">
        <v>132</v>
      </c>
      <c r="B767" s="1" t="s">
        <v>15429</v>
      </c>
      <c r="C767" s="1" t="s">
        <v>74</v>
      </c>
      <c r="D767" s="1" t="s">
        <v>74</v>
      </c>
      <c r="E767" s="1" t="s">
        <v>74</v>
      </c>
      <c r="F767" s="1" t="s">
        <v>15430</v>
      </c>
      <c r="G767" s="1" t="s">
        <v>74</v>
      </c>
      <c r="H767" s="1" t="s">
        <v>74</v>
      </c>
      <c r="I767" s="1" t="s">
        <v>15431</v>
      </c>
      <c r="J767" s="1" t="s">
        <v>15432</v>
      </c>
      <c r="K767" s="1" t="s">
        <v>74</v>
      </c>
      <c r="L767" s="1" t="s">
        <v>74</v>
      </c>
      <c r="M767" s="1" t="s">
        <v>80</v>
      </c>
      <c r="N767" s="1" t="s">
        <v>136</v>
      </c>
      <c r="O767" s="1" t="s">
        <v>74</v>
      </c>
      <c r="P767" s="1" t="s">
        <v>74</v>
      </c>
      <c r="Q767" s="1" t="s">
        <v>74</v>
      </c>
      <c r="R767" s="1" t="s">
        <v>74</v>
      </c>
      <c r="S767" s="1" t="s">
        <v>74</v>
      </c>
      <c r="T767" s="1" t="s">
        <v>15433</v>
      </c>
      <c r="U767" s="1" t="s">
        <v>74</v>
      </c>
      <c r="V767" s="1" t="s">
        <v>15434</v>
      </c>
      <c r="W767" s="1" t="s">
        <v>15435</v>
      </c>
      <c r="X767" s="1" t="s">
        <v>15436</v>
      </c>
      <c r="Y767" s="1" t="s">
        <v>15437</v>
      </c>
      <c r="Z767" s="1" t="s">
        <v>15438</v>
      </c>
      <c r="AA767" s="1" t="s">
        <v>15439</v>
      </c>
      <c r="AB767" s="1" t="s">
        <v>74</v>
      </c>
      <c r="AC767" s="1" t="s">
        <v>74</v>
      </c>
      <c r="AD767" s="1" t="s">
        <v>74</v>
      </c>
      <c r="AE767" s="1" t="s">
        <v>74</v>
      </c>
      <c r="AF767" s="1" t="s">
        <v>74</v>
      </c>
      <c r="AG767" s="1">
        <v>47.0</v>
      </c>
      <c r="AH767" s="1">
        <v>1.0</v>
      </c>
      <c r="AI767" s="1">
        <v>1.0</v>
      </c>
      <c r="AJ767" s="1">
        <v>11.0</v>
      </c>
      <c r="AK767" s="1">
        <v>18.0</v>
      </c>
      <c r="AL767" s="1" t="s">
        <v>15440</v>
      </c>
      <c r="AM767" s="1" t="s">
        <v>13948</v>
      </c>
      <c r="AN767" s="1" t="s">
        <v>15441</v>
      </c>
      <c r="AO767" s="1" t="s">
        <v>15442</v>
      </c>
      <c r="AP767" s="1" t="s">
        <v>15443</v>
      </c>
      <c r="AQ767" s="1" t="s">
        <v>74</v>
      </c>
      <c r="AR767" s="1" t="s">
        <v>15444</v>
      </c>
      <c r="AS767" s="1" t="s">
        <v>15445</v>
      </c>
      <c r="AT767" s="1" t="s">
        <v>15446</v>
      </c>
      <c r="AU767" s="1">
        <v>2023.0</v>
      </c>
      <c r="AV767" s="1">
        <v>23.0</v>
      </c>
      <c r="AW767" s="1">
        <v>93.0</v>
      </c>
      <c r="AX767" s="1" t="s">
        <v>74</v>
      </c>
      <c r="AY767" s="1" t="s">
        <v>74</v>
      </c>
      <c r="AZ767" s="1" t="s">
        <v>74</v>
      </c>
      <c r="BA767" s="1" t="s">
        <v>74</v>
      </c>
      <c r="BB767" s="1">
        <v>153.0</v>
      </c>
      <c r="BC767" s="1">
        <v>172.0</v>
      </c>
      <c r="BD767" s="1" t="s">
        <v>74</v>
      </c>
      <c r="BE767" s="1" t="s">
        <v>15447</v>
      </c>
      <c r="BF767" s="2" t="str">
        <f>HYPERLINK("http://dx.doi.org/10.21056/aec.v23i93.1733","http://dx.doi.org/10.21056/aec.v23i93.1733")</f>
        <v>http://dx.doi.org/10.21056/aec.v23i93.1733</v>
      </c>
      <c r="BG767" s="1" t="s">
        <v>74</v>
      </c>
      <c r="BH767" s="1" t="s">
        <v>74</v>
      </c>
      <c r="BI767" s="1">
        <v>22.0</v>
      </c>
      <c r="BJ767" s="1" t="s">
        <v>915</v>
      </c>
      <c r="BK767" s="1" t="s">
        <v>172</v>
      </c>
      <c r="BL767" s="1" t="s">
        <v>916</v>
      </c>
      <c r="BM767" s="1" t="s">
        <v>15448</v>
      </c>
      <c r="BN767" s="1" t="s">
        <v>74</v>
      </c>
      <c r="BO767" s="1" t="s">
        <v>174</v>
      </c>
      <c r="BP767" s="1" t="s">
        <v>74</v>
      </c>
      <c r="BQ767" s="1" t="s">
        <v>74</v>
      </c>
      <c r="BR767" s="1" t="s">
        <v>102</v>
      </c>
      <c r="BS767" s="1" t="s">
        <v>15449</v>
      </c>
      <c r="BT767" s="1" t="str">
        <f>HYPERLINK("https%3A%2F%2Fwww.webofscience.com%2Fwos%2Fwoscc%2Ffull-record%2FWOS:001111061900005","View Full Record in Web of Science")</f>
        <v>View Full Record in Web of Science</v>
      </c>
    </row>
    <row r="768" ht="12.75" customHeight="1">
      <c r="A768" s="1" t="s">
        <v>132</v>
      </c>
      <c r="B768" s="1" t="s">
        <v>15450</v>
      </c>
      <c r="C768" s="1" t="s">
        <v>74</v>
      </c>
      <c r="D768" s="1" t="s">
        <v>74</v>
      </c>
      <c r="E768" s="1" t="s">
        <v>74</v>
      </c>
      <c r="F768" s="1" t="s">
        <v>15451</v>
      </c>
      <c r="G768" s="1" t="s">
        <v>74</v>
      </c>
      <c r="H768" s="1" t="s">
        <v>74</v>
      </c>
      <c r="I768" s="1" t="s">
        <v>15452</v>
      </c>
      <c r="J768" s="1" t="s">
        <v>15453</v>
      </c>
      <c r="K768" s="1" t="s">
        <v>74</v>
      </c>
      <c r="L768" s="1" t="s">
        <v>74</v>
      </c>
      <c r="M768" s="1" t="s">
        <v>80</v>
      </c>
      <c r="N768" s="1" t="s">
        <v>338</v>
      </c>
      <c r="O768" s="1" t="s">
        <v>74</v>
      </c>
      <c r="P768" s="1" t="s">
        <v>74</v>
      </c>
      <c r="Q768" s="1" t="s">
        <v>74</v>
      </c>
      <c r="R768" s="1" t="s">
        <v>74</v>
      </c>
      <c r="S768" s="1" t="s">
        <v>74</v>
      </c>
      <c r="T768" s="1" t="s">
        <v>15454</v>
      </c>
      <c r="U768" s="1" t="s">
        <v>15455</v>
      </c>
      <c r="V768" s="1" t="s">
        <v>15456</v>
      </c>
      <c r="W768" s="1" t="s">
        <v>15457</v>
      </c>
      <c r="X768" s="1" t="s">
        <v>15458</v>
      </c>
      <c r="Y768" s="1" t="s">
        <v>15459</v>
      </c>
      <c r="Z768" s="1" t="s">
        <v>15460</v>
      </c>
      <c r="AA768" s="1" t="s">
        <v>74</v>
      </c>
      <c r="AB768" s="1" t="s">
        <v>15461</v>
      </c>
      <c r="AC768" s="1" t="s">
        <v>15462</v>
      </c>
      <c r="AD768" s="1" t="s">
        <v>15463</v>
      </c>
      <c r="AE768" s="1" t="s">
        <v>15464</v>
      </c>
      <c r="AF768" s="1" t="s">
        <v>74</v>
      </c>
      <c r="AG768" s="1">
        <v>36.0</v>
      </c>
      <c r="AH768" s="1">
        <v>0.0</v>
      </c>
      <c r="AI768" s="1">
        <v>0.0</v>
      </c>
      <c r="AJ768" s="1">
        <v>5.0</v>
      </c>
      <c r="AK768" s="1">
        <v>5.0</v>
      </c>
      <c r="AL768" s="1" t="s">
        <v>15465</v>
      </c>
      <c r="AM768" s="1" t="s">
        <v>15466</v>
      </c>
      <c r="AN768" s="1" t="s">
        <v>15467</v>
      </c>
      <c r="AO768" s="1" t="s">
        <v>15468</v>
      </c>
      <c r="AP768" s="1" t="s">
        <v>15469</v>
      </c>
      <c r="AQ768" s="1" t="s">
        <v>74</v>
      </c>
      <c r="AR768" s="1" t="s">
        <v>15470</v>
      </c>
      <c r="AS768" s="1" t="s">
        <v>15471</v>
      </c>
      <c r="AT768" s="1" t="s">
        <v>15472</v>
      </c>
      <c r="AU768" s="1">
        <v>2025.0</v>
      </c>
      <c r="AV768" s="1" t="s">
        <v>74</v>
      </c>
      <c r="AW768" s="1" t="s">
        <v>74</v>
      </c>
      <c r="AX768" s="1" t="s">
        <v>74</v>
      </c>
      <c r="AY768" s="1" t="s">
        <v>74</v>
      </c>
      <c r="AZ768" s="1" t="s">
        <v>74</v>
      </c>
      <c r="BA768" s="1" t="s">
        <v>74</v>
      </c>
      <c r="BB768" s="1" t="s">
        <v>74</v>
      </c>
      <c r="BC768" s="1" t="s">
        <v>74</v>
      </c>
      <c r="BD768" s="1" t="s">
        <v>74</v>
      </c>
      <c r="BE768" s="1" t="s">
        <v>15473</v>
      </c>
      <c r="BF768" s="2" t="str">
        <f>HYPERLINK("http://dx.doi.org/10.1002/mde.4486","http://dx.doi.org/10.1002/mde.4486")</f>
        <v>http://dx.doi.org/10.1002/mde.4486</v>
      </c>
      <c r="BG768" s="1" t="s">
        <v>74</v>
      </c>
      <c r="BH768" s="1" t="s">
        <v>3808</v>
      </c>
      <c r="BI768" s="1">
        <v>15.0</v>
      </c>
      <c r="BJ768" s="1" t="s">
        <v>15474</v>
      </c>
      <c r="BK768" s="1" t="s">
        <v>203</v>
      </c>
      <c r="BL768" s="1" t="s">
        <v>204</v>
      </c>
      <c r="BM768" s="1" t="s">
        <v>15475</v>
      </c>
      <c r="BN768" s="1" t="s">
        <v>74</v>
      </c>
      <c r="BO768" s="1" t="s">
        <v>74</v>
      </c>
      <c r="BP768" s="1" t="s">
        <v>74</v>
      </c>
      <c r="BQ768" s="1" t="s">
        <v>74</v>
      </c>
      <c r="BR768" s="1" t="s">
        <v>102</v>
      </c>
      <c r="BS768" s="1" t="s">
        <v>15476</v>
      </c>
      <c r="BT768" s="1" t="str">
        <f>HYPERLINK("https%3A%2F%2Fwww.webofscience.com%2Fwos%2Fwoscc%2Ffull-record%2FWOS:001395804300001","View Full Record in Web of Science")</f>
        <v>View Full Record in Web of Science</v>
      </c>
    </row>
    <row r="769" ht="12.75" customHeight="1">
      <c r="A769" s="1" t="s">
        <v>132</v>
      </c>
      <c r="B769" s="1" t="s">
        <v>15477</v>
      </c>
      <c r="C769" s="1" t="s">
        <v>74</v>
      </c>
      <c r="D769" s="1" t="s">
        <v>74</v>
      </c>
      <c r="E769" s="1" t="s">
        <v>74</v>
      </c>
      <c r="F769" s="1" t="s">
        <v>15478</v>
      </c>
      <c r="G769" s="1" t="s">
        <v>74</v>
      </c>
      <c r="H769" s="1" t="s">
        <v>74</v>
      </c>
      <c r="I769" s="1" t="s">
        <v>15479</v>
      </c>
      <c r="J769" s="1" t="s">
        <v>2893</v>
      </c>
      <c r="K769" s="1" t="s">
        <v>74</v>
      </c>
      <c r="L769" s="1" t="s">
        <v>74</v>
      </c>
      <c r="M769" s="1" t="s">
        <v>80</v>
      </c>
      <c r="N769" s="1" t="s">
        <v>136</v>
      </c>
      <c r="O769" s="1" t="s">
        <v>74</v>
      </c>
      <c r="P769" s="1" t="s">
        <v>74</v>
      </c>
      <c r="Q769" s="1" t="s">
        <v>74</v>
      </c>
      <c r="R769" s="1" t="s">
        <v>74</v>
      </c>
      <c r="S769" s="1" t="s">
        <v>74</v>
      </c>
      <c r="T769" s="1" t="s">
        <v>15480</v>
      </c>
      <c r="U769" s="1" t="s">
        <v>15481</v>
      </c>
      <c r="V769" s="1" t="s">
        <v>15482</v>
      </c>
      <c r="W769" s="1" t="s">
        <v>15483</v>
      </c>
      <c r="X769" s="1" t="s">
        <v>15484</v>
      </c>
      <c r="Y769" s="1" t="s">
        <v>15485</v>
      </c>
      <c r="Z769" s="1" t="s">
        <v>15486</v>
      </c>
      <c r="AA769" s="1" t="s">
        <v>15487</v>
      </c>
      <c r="AB769" s="1" t="s">
        <v>15488</v>
      </c>
      <c r="AC769" s="1" t="s">
        <v>74</v>
      </c>
      <c r="AD769" s="1" t="s">
        <v>74</v>
      </c>
      <c r="AE769" s="1" t="s">
        <v>74</v>
      </c>
      <c r="AF769" s="1" t="s">
        <v>74</v>
      </c>
      <c r="AG769" s="1">
        <v>52.0</v>
      </c>
      <c r="AH769" s="1">
        <v>0.0</v>
      </c>
      <c r="AI769" s="1">
        <v>0.0</v>
      </c>
      <c r="AJ769" s="1">
        <v>24.0</v>
      </c>
      <c r="AK769" s="1">
        <v>24.0</v>
      </c>
      <c r="AL769" s="1" t="s">
        <v>2745</v>
      </c>
      <c r="AM769" s="1" t="s">
        <v>2746</v>
      </c>
      <c r="AN769" s="1" t="s">
        <v>2747</v>
      </c>
      <c r="AO769" s="1" t="s">
        <v>2904</v>
      </c>
      <c r="AP769" s="1" t="s">
        <v>2905</v>
      </c>
      <c r="AQ769" s="1" t="s">
        <v>74</v>
      </c>
      <c r="AR769" s="1" t="s">
        <v>2906</v>
      </c>
      <c r="AS769" s="1" t="s">
        <v>2907</v>
      </c>
      <c r="AT769" s="1" t="s">
        <v>1051</v>
      </c>
      <c r="AU769" s="1">
        <v>2024.0</v>
      </c>
      <c r="AV769" s="1">
        <v>79.0</v>
      </c>
      <c r="AW769" s="1" t="s">
        <v>74</v>
      </c>
      <c r="AX769" s="1" t="s">
        <v>74</v>
      </c>
      <c r="AY769" s="1" t="s">
        <v>74</v>
      </c>
      <c r="AZ769" s="1" t="s">
        <v>74</v>
      </c>
      <c r="BA769" s="1" t="s">
        <v>74</v>
      </c>
      <c r="BB769" s="1" t="s">
        <v>74</v>
      </c>
      <c r="BC769" s="1" t="s">
        <v>74</v>
      </c>
      <c r="BD769" s="1">
        <v>102755.0</v>
      </c>
      <c r="BE769" s="1" t="s">
        <v>15489</v>
      </c>
      <c r="BF769" s="2" t="str">
        <f>HYPERLINK("http://dx.doi.org/10.1016/j.techsoc.2024.102755","http://dx.doi.org/10.1016/j.techsoc.2024.102755")</f>
        <v>http://dx.doi.org/10.1016/j.techsoc.2024.102755</v>
      </c>
      <c r="BG769" s="1" t="s">
        <v>74</v>
      </c>
      <c r="BH769" s="1" t="s">
        <v>499</v>
      </c>
      <c r="BI769" s="1">
        <v>11.0</v>
      </c>
      <c r="BJ769" s="1" t="s">
        <v>2909</v>
      </c>
      <c r="BK769" s="1" t="s">
        <v>203</v>
      </c>
      <c r="BL769" s="1" t="s">
        <v>2910</v>
      </c>
      <c r="BM769" s="1" t="s">
        <v>15490</v>
      </c>
      <c r="BN769" s="1" t="s">
        <v>74</v>
      </c>
      <c r="BO769" s="1" t="s">
        <v>74</v>
      </c>
      <c r="BP769" s="1" t="s">
        <v>74</v>
      </c>
      <c r="BQ769" s="1" t="s">
        <v>74</v>
      </c>
      <c r="BR769" s="1" t="s">
        <v>102</v>
      </c>
      <c r="BS769" s="1" t="s">
        <v>15491</v>
      </c>
      <c r="BT769" s="1" t="str">
        <f>HYPERLINK("https%3A%2F%2Fwww.webofscience.com%2Fwos%2Fwoscc%2Ffull-record%2FWOS:001354500100001","View Full Record in Web of Science")</f>
        <v>View Full Record in Web of Science</v>
      </c>
    </row>
    <row r="770" ht="12.75" customHeight="1">
      <c r="A770" s="1" t="s">
        <v>132</v>
      </c>
      <c r="B770" s="1" t="s">
        <v>15492</v>
      </c>
      <c r="C770" s="1" t="s">
        <v>74</v>
      </c>
      <c r="D770" s="1" t="s">
        <v>74</v>
      </c>
      <c r="E770" s="1" t="s">
        <v>74</v>
      </c>
      <c r="F770" s="1" t="s">
        <v>15493</v>
      </c>
      <c r="G770" s="1" t="s">
        <v>74</v>
      </c>
      <c r="H770" s="1" t="s">
        <v>74</v>
      </c>
      <c r="I770" s="1" t="s">
        <v>15494</v>
      </c>
      <c r="J770" s="1" t="s">
        <v>15495</v>
      </c>
      <c r="K770" s="1" t="s">
        <v>74</v>
      </c>
      <c r="L770" s="1" t="s">
        <v>74</v>
      </c>
      <c r="M770" s="1" t="s">
        <v>638</v>
      </c>
      <c r="N770" s="1" t="s">
        <v>136</v>
      </c>
      <c r="O770" s="1" t="s">
        <v>74</v>
      </c>
      <c r="P770" s="1" t="s">
        <v>74</v>
      </c>
      <c r="Q770" s="1" t="s">
        <v>74</v>
      </c>
      <c r="R770" s="1" t="s">
        <v>74</v>
      </c>
      <c r="S770" s="1" t="s">
        <v>74</v>
      </c>
      <c r="T770" s="1" t="s">
        <v>15496</v>
      </c>
      <c r="U770" s="1" t="s">
        <v>74</v>
      </c>
      <c r="V770" s="1" t="s">
        <v>15497</v>
      </c>
      <c r="W770" s="1" t="s">
        <v>15498</v>
      </c>
      <c r="X770" s="1" t="s">
        <v>15499</v>
      </c>
      <c r="Y770" s="1" t="s">
        <v>15500</v>
      </c>
      <c r="Z770" s="1" t="s">
        <v>15501</v>
      </c>
      <c r="AA770" s="1" t="s">
        <v>15502</v>
      </c>
      <c r="AB770" s="1" t="s">
        <v>74</v>
      </c>
      <c r="AC770" s="1" t="s">
        <v>74</v>
      </c>
      <c r="AD770" s="1" t="s">
        <v>74</v>
      </c>
      <c r="AE770" s="1" t="s">
        <v>74</v>
      </c>
      <c r="AF770" s="1" t="s">
        <v>74</v>
      </c>
      <c r="AG770" s="1">
        <v>20.0</v>
      </c>
      <c r="AH770" s="1">
        <v>0.0</v>
      </c>
      <c r="AI770" s="1">
        <v>0.0</v>
      </c>
      <c r="AJ770" s="1">
        <v>3.0</v>
      </c>
      <c r="AK770" s="1">
        <v>10.0</v>
      </c>
      <c r="AL770" s="1" t="s">
        <v>3781</v>
      </c>
      <c r="AM770" s="1" t="s">
        <v>3782</v>
      </c>
      <c r="AN770" s="1" t="s">
        <v>3783</v>
      </c>
      <c r="AO770" s="1" t="s">
        <v>15503</v>
      </c>
      <c r="AP770" s="1" t="s">
        <v>74</v>
      </c>
      <c r="AQ770" s="1" t="s">
        <v>74</v>
      </c>
      <c r="AR770" s="1" t="s">
        <v>15504</v>
      </c>
      <c r="AS770" s="1" t="s">
        <v>15505</v>
      </c>
      <c r="AT770" s="1" t="s">
        <v>3665</v>
      </c>
      <c r="AU770" s="1">
        <v>2023.0</v>
      </c>
      <c r="AV770" s="1">
        <v>19.0</v>
      </c>
      <c r="AW770" s="1">
        <v>94.0</v>
      </c>
      <c r="AX770" s="1" t="s">
        <v>74</v>
      </c>
      <c r="AY770" s="1" t="s">
        <v>74</v>
      </c>
      <c r="AZ770" s="1" t="s">
        <v>74</v>
      </c>
      <c r="BA770" s="1" t="s">
        <v>74</v>
      </c>
      <c r="BB770" s="1">
        <v>137.0</v>
      </c>
      <c r="BC770" s="1">
        <v>144.0</v>
      </c>
      <c r="BD770" s="1" t="s">
        <v>74</v>
      </c>
      <c r="BE770" s="1" t="s">
        <v>74</v>
      </c>
      <c r="BF770" s="1" t="s">
        <v>74</v>
      </c>
      <c r="BG770" s="1" t="s">
        <v>74</v>
      </c>
      <c r="BH770" s="1" t="s">
        <v>74</v>
      </c>
      <c r="BI770" s="1">
        <v>8.0</v>
      </c>
      <c r="BJ770" s="1" t="s">
        <v>171</v>
      </c>
      <c r="BK770" s="1" t="s">
        <v>172</v>
      </c>
      <c r="BL770" s="1" t="s">
        <v>171</v>
      </c>
      <c r="BM770" s="1" t="s">
        <v>15506</v>
      </c>
      <c r="BN770" s="1" t="s">
        <v>74</v>
      </c>
      <c r="BO770" s="1" t="s">
        <v>74</v>
      </c>
      <c r="BP770" s="1" t="s">
        <v>74</v>
      </c>
      <c r="BQ770" s="1" t="s">
        <v>74</v>
      </c>
      <c r="BR770" s="1" t="s">
        <v>102</v>
      </c>
      <c r="BS770" s="1" t="s">
        <v>15507</v>
      </c>
      <c r="BT770" s="1" t="str">
        <f>HYPERLINK("https%3A%2F%2Fwww.webofscience.com%2Fwos%2Fwoscc%2Ffull-record%2FWOS:001142170600017","View Full Record in Web of Science")</f>
        <v>View Full Record in Web of Science</v>
      </c>
    </row>
    <row r="771" ht="12.75" customHeight="1">
      <c r="A771" s="1" t="s">
        <v>132</v>
      </c>
      <c r="B771" s="1" t="s">
        <v>15508</v>
      </c>
      <c r="C771" s="1" t="s">
        <v>74</v>
      </c>
      <c r="D771" s="1" t="s">
        <v>74</v>
      </c>
      <c r="E771" s="1" t="s">
        <v>74</v>
      </c>
      <c r="F771" s="1" t="s">
        <v>15509</v>
      </c>
      <c r="G771" s="1" t="s">
        <v>74</v>
      </c>
      <c r="H771" s="1" t="s">
        <v>74</v>
      </c>
      <c r="I771" s="1" t="s">
        <v>15510</v>
      </c>
      <c r="J771" s="1" t="s">
        <v>15511</v>
      </c>
      <c r="K771" s="1" t="s">
        <v>74</v>
      </c>
      <c r="L771" s="1" t="s">
        <v>74</v>
      </c>
      <c r="M771" s="1" t="s">
        <v>80</v>
      </c>
      <c r="N771" s="1" t="s">
        <v>136</v>
      </c>
      <c r="O771" s="1" t="s">
        <v>74</v>
      </c>
      <c r="P771" s="1" t="s">
        <v>74</v>
      </c>
      <c r="Q771" s="1" t="s">
        <v>74</v>
      </c>
      <c r="R771" s="1" t="s">
        <v>74</v>
      </c>
      <c r="S771" s="1" t="s">
        <v>74</v>
      </c>
      <c r="T771" s="1" t="s">
        <v>15512</v>
      </c>
      <c r="U771" s="1" t="s">
        <v>15513</v>
      </c>
      <c r="V771" s="1" t="s">
        <v>15514</v>
      </c>
      <c r="W771" s="1" t="s">
        <v>15515</v>
      </c>
      <c r="X771" s="1" t="s">
        <v>10221</v>
      </c>
      <c r="Y771" s="1" t="s">
        <v>15516</v>
      </c>
      <c r="Z771" s="1" t="s">
        <v>15517</v>
      </c>
      <c r="AA771" s="1" t="s">
        <v>15518</v>
      </c>
      <c r="AB771" s="1" t="s">
        <v>15519</v>
      </c>
      <c r="AC771" s="1" t="s">
        <v>74</v>
      </c>
      <c r="AD771" s="1" t="s">
        <v>74</v>
      </c>
      <c r="AE771" s="1" t="s">
        <v>74</v>
      </c>
      <c r="AF771" s="1" t="s">
        <v>74</v>
      </c>
      <c r="AG771" s="1">
        <v>49.0</v>
      </c>
      <c r="AH771" s="1">
        <v>35.0</v>
      </c>
      <c r="AI771" s="1">
        <v>38.0</v>
      </c>
      <c r="AJ771" s="1">
        <v>0.0</v>
      </c>
      <c r="AK771" s="1">
        <v>19.0</v>
      </c>
      <c r="AL771" s="1" t="s">
        <v>3551</v>
      </c>
      <c r="AM771" s="1" t="s">
        <v>193</v>
      </c>
      <c r="AN771" s="1" t="s">
        <v>3552</v>
      </c>
      <c r="AO771" s="1" t="s">
        <v>15520</v>
      </c>
      <c r="AP771" s="1" t="s">
        <v>74</v>
      </c>
      <c r="AQ771" s="1" t="s">
        <v>74</v>
      </c>
      <c r="AR771" s="1" t="s">
        <v>15521</v>
      </c>
      <c r="AS771" s="1" t="s">
        <v>15522</v>
      </c>
      <c r="AT771" s="1" t="s">
        <v>328</v>
      </c>
      <c r="AU771" s="1">
        <v>2020.0</v>
      </c>
      <c r="AV771" s="1">
        <v>51.0</v>
      </c>
      <c r="AW771" s="1">
        <v>2.0</v>
      </c>
      <c r="AX771" s="1" t="s">
        <v>74</v>
      </c>
      <c r="AY771" s="1" t="s">
        <v>74</v>
      </c>
      <c r="AZ771" s="1" t="s">
        <v>74</v>
      </c>
      <c r="BA771" s="1" t="s">
        <v>74</v>
      </c>
      <c r="BB771" s="1">
        <v>214.0</v>
      </c>
      <c r="BC771" s="1">
        <v>220.0</v>
      </c>
      <c r="BD771" s="1" t="s">
        <v>74</v>
      </c>
      <c r="BE771" s="1" t="s">
        <v>15523</v>
      </c>
      <c r="BF771" s="2" t="str">
        <f>HYPERLINK("http://dx.doi.org/10.1016/j.jmir.2020.01.008","http://dx.doi.org/10.1016/j.jmir.2020.01.008")</f>
        <v>http://dx.doi.org/10.1016/j.jmir.2020.01.008</v>
      </c>
      <c r="BG771" s="1" t="s">
        <v>74</v>
      </c>
      <c r="BH771" s="1" t="s">
        <v>74</v>
      </c>
      <c r="BI771" s="1">
        <v>7.0</v>
      </c>
      <c r="BJ771" s="1" t="s">
        <v>656</v>
      </c>
      <c r="BK771" s="1" t="s">
        <v>172</v>
      </c>
      <c r="BL771" s="1" t="s">
        <v>656</v>
      </c>
      <c r="BM771" s="1" t="s">
        <v>15524</v>
      </c>
      <c r="BN771" s="1">
        <v>3.2115386E7</v>
      </c>
      <c r="BO771" s="1" t="s">
        <v>74</v>
      </c>
      <c r="BP771" s="1" t="s">
        <v>74</v>
      </c>
      <c r="BQ771" s="1" t="s">
        <v>74</v>
      </c>
      <c r="BR771" s="1" t="s">
        <v>102</v>
      </c>
      <c r="BS771" s="1" t="s">
        <v>15525</v>
      </c>
      <c r="BT771" s="1" t="str">
        <f>HYPERLINK("https%3A%2F%2Fwww.webofscience.com%2Fwos%2Fwoscc%2Ffull-record%2FWOS:000549978900007","View Full Record in Web of Science")</f>
        <v>View Full Record in Web of Science</v>
      </c>
    </row>
    <row r="772" ht="12.75" customHeight="1">
      <c r="A772" s="1" t="s">
        <v>72</v>
      </c>
      <c r="B772" s="1" t="s">
        <v>15526</v>
      </c>
      <c r="C772" s="1" t="s">
        <v>74</v>
      </c>
      <c r="D772" s="1" t="s">
        <v>74</v>
      </c>
      <c r="E772" s="1" t="s">
        <v>296</v>
      </c>
      <c r="F772" s="1" t="s">
        <v>15527</v>
      </c>
      <c r="G772" s="1" t="s">
        <v>74</v>
      </c>
      <c r="H772" s="1" t="s">
        <v>74</v>
      </c>
      <c r="I772" s="1" t="s">
        <v>15528</v>
      </c>
      <c r="J772" s="1" t="s">
        <v>5117</v>
      </c>
      <c r="K772" s="1" t="s">
        <v>74</v>
      </c>
      <c r="L772" s="1" t="s">
        <v>74</v>
      </c>
      <c r="M772" s="1" t="s">
        <v>80</v>
      </c>
      <c r="N772" s="1" t="s">
        <v>81</v>
      </c>
      <c r="O772" s="1" t="s">
        <v>5118</v>
      </c>
      <c r="P772" s="1" t="s">
        <v>5119</v>
      </c>
      <c r="Q772" s="1" t="s">
        <v>5120</v>
      </c>
      <c r="R772" s="1" t="s">
        <v>5121</v>
      </c>
      <c r="S772" s="1" t="s">
        <v>74</v>
      </c>
      <c r="T772" s="1" t="s">
        <v>15529</v>
      </c>
      <c r="U772" s="1" t="s">
        <v>74</v>
      </c>
      <c r="V772" s="1" t="s">
        <v>15530</v>
      </c>
      <c r="W772" s="1" t="s">
        <v>15531</v>
      </c>
      <c r="X772" s="1" t="s">
        <v>15532</v>
      </c>
      <c r="Y772" s="1" t="s">
        <v>15533</v>
      </c>
      <c r="Z772" s="1" t="s">
        <v>15534</v>
      </c>
      <c r="AA772" s="1" t="s">
        <v>15535</v>
      </c>
      <c r="AB772" s="1" t="s">
        <v>74</v>
      </c>
      <c r="AC772" s="1" t="s">
        <v>74</v>
      </c>
      <c r="AD772" s="1" t="s">
        <v>74</v>
      </c>
      <c r="AE772" s="1" t="s">
        <v>74</v>
      </c>
      <c r="AF772" s="1" t="s">
        <v>74</v>
      </c>
      <c r="AG772" s="1">
        <v>11.0</v>
      </c>
      <c r="AH772" s="1">
        <v>0.0</v>
      </c>
      <c r="AI772" s="1">
        <v>0.0</v>
      </c>
      <c r="AJ772" s="1">
        <v>0.0</v>
      </c>
      <c r="AK772" s="1">
        <v>0.0</v>
      </c>
      <c r="AL772" s="1" t="s">
        <v>296</v>
      </c>
      <c r="AM772" s="1" t="s">
        <v>297</v>
      </c>
      <c r="AN772" s="1" t="s">
        <v>800</v>
      </c>
      <c r="AO772" s="1" t="s">
        <v>74</v>
      </c>
      <c r="AP772" s="1" t="s">
        <v>74</v>
      </c>
      <c r="AQ772" s="1" t="s">
        <v>5128</v>
      </c>
      <c r="AR772" s="1" t="s">
        <v>74</v>
      </c>
      <c r="AS772" s="1" t="s">
        <v>74</v>
      </c>
      <c r="AT772" s="1" t="s">
        <v>74</v>
      </c>
      <c r="AU772" s="1">
        <v>2024.0</v>
      </c>
      <c r="AV772" s="1" t="s">
        <v>74</v>
      </c>
      <c r="AW772" s="1" t="s">
        <v>74</v>
      </c>
      <c r="AX772" s="1" t="s">
        <v>74</v>
      </c>
      <c r="AY772" s="1" t="s">
        <v>74</v>
      </c>
      <c r="AZ772" s="1" t="s">
        <v>74</v>
      </c>
      <c r="BA772" s="1" t="s">
        <v>74</v>
      </c>
      <c r="BB772" s="1">
        <v>226.0</v>
      </c>
      <c r="BC772" s="1">
        <v>227.0</v>
      </c>
      <c r="BD772" s="1" t="s">
        <v>74</v>
      </c>
      <c r="BE772" s="1" t="s">
        <v>15536</v>
      </c>
      <c r="BF772" s="2" t="str">
        <f>HYPERLINK("http://dx.doi.org/10.1109/CAI59869.2024.00049","http://dx.doi.org/10.1109/CAI59869.2024.00049")</f>
        <v>http://dx.doi.org/10.1109/CAI59869.2024.00049</v>
      </c>
      <c r="BG772" s="1" t="s">
        <v>74</v>
      </c>
      <c r="BH772" s="1" t="s">
        <v>74</v>
      </c>
      <c r="BI772" s="1">
        <v>2.0</v>
      </c>
      <c r="BJ772" s="1" t="s">
        <v>257</v>
      </c>
      <c r="BK772" s="1" t="s">
        <v>128</v>
      </c>
      <c r="BL772" s="1" t="s">
        <v>232</v>
      </c>
      <c r="BM772" s="1" t="s">
        <v>5130</v>
      </c>
      <c r="BN772" s="1" t="s">
        <v>74</v>
      </c>
      <c r="BO772" s="1" t="s">
        <v>74</v>
      </c>
      <c r="BP772" s="1" t="s">
        <v>74</v>
      </c>
      <c r="BQ772" s="1" t="s">
        <v>74</v>
      </c>
      <c r="BR772" s="1" t="s">
        <v>102</v>
      </c>
      <c r="BS772" s="1" t="s">
        <v>15537</v>
      </c>
      <c r="BT772" s="1" t="str">
        <f>HYPERLINK("https%3A%2F%2Fwww.webofscience.com%2Fwos%2Fwoscc%2Ffull-record%2FWOS:001289387700041","View Full Record in Web of Science")</f>
        <v>View Full Record in Web of Science</v>
      </c>
    </row>
    <row r="773" ht="12.75" customHeight="1">
      <c r="A773" s="1" t="s">
        <v>132</v>
      </c>
      <c r="B773" s="1" t="s">
        <v>15538</v>
      </c>
      <c r="C773" s="1" t="s">
        <v>74</v>
      </c>
      <c r="D773" s="1" t="s">
        <v>74</v>
      </c>
      <c r="E773" s="1" t="s">
        <v>74</v>
      </c>
      <c r="F773" s="1" t="s">
        <v>15539</v>
      </c>
      <c r="G773" s="1" t="s">
        <v>74</v>
      </c>
      <c r="H773" s="1" t="s">
        <v>74</v>
      </c>
      <c r="I773" s="1" t="s">
        <v>15540</v>
      </c>
      <c r="J773" s="1" t="s">
        <v>15541</v>
      </c>
      <c r="K773" s="1" t="s">
        <v>74</v>
      </c>
      <c r="L773" s="1" t="s">
        <v>74</v>
      </c>
      <c r="M773" s="1" t="s">
        <v>3379</v>
      </c>
      <c r="N773" s="1" t="s">
        <v>1010</v>
      </c>
      <c r="O773" s="1" t="s">
        <v>74</v>
      </c>
      <c r="P773" s="1" t="s">
        <v>74</v>
      </c>
      <c r="Q773" s="1" t="s">
        <v>74</v>
      </c>
      <c r="R773" s="1" t="s">
        <v>74</v>
      </c>
      <c r="S773" s="1" t="s">
        <v>74</v>
      </c>
      <c r="T773" s="1" t="s">
        <v>15542</v>
      </c>
      <c r="U773" s="1" t="s">
        <v>15543</v>
      </c>
      <c r="V773" s="1" t="s">
        <v>15544</v>
      </c>
      <c r="W773" s="1" t="s">
        <v>15545</v>
      </c>
      <c r="X773" s="1" t="s">
        <v>15546</v>
      </c>
      <c r="Y773" s="1" t="s">
        <v>15547</v>
      </c>
      <c r="Z773" s="1" t="s">
        <v>15548</v>
      </c>
      <c r="AA773" s="1" t="s">
        <v>15549</v>
      </c>
      <c r="AB773" s="1" t="s">
        <v>15550</v>
      </c>
      <c r="AC773" s="1" t="s">
        <v>74</v>
      </c>
      <c r="AD773" s="1" t="s">
        <v>74</v>
      </c>
      <c r="AE773" s="1" t="s">
        <v>74</v>
      </c>
      <c r="AF773" s="1" t="s">
        <v>74</v>
      </c>
      <c r="AG773" s="1">
        <v>36.0</v>
      </c>
      <c r="AH773" s="1">
        <v>2.0</v>
      </c>
      <c r="AI773" s="1">
        <v>2.0</v>
      </c>
      <c r="AJ773" s="1">
        <v>5.0</v>
      </c>
      <c r="AK773" s="1">
        <v>23.0</v>
      </c>
      <c r="AL773" s="1" t="s">
        <v>15551</v>
      </c>
      <c r="AM773" s="1" t="s">
        <v>15552</v>
      </c>
      <c r="AN773" s="1" t="s">
        <v>15553</v>
      </c>
      <c r="AO773" s="1" t="s">
        <v>15554</v>
      </c>
      <c r="AP773" s="1" t="s">
        <v>15555</v>
      </c>
      <c r="AQ773" s="1" t="s">
        <v>74</v>
      </c>
      <c r="AR773" s="1" t="s">
        <v>15556</v>
      </c>
      <c r="AS773" s="1" t="s">
        <v>15557</v>
      </c>
      <c r="AT773" s="1" t="s">
        <v>6623</v>
      </c>
      <c r="AU773" s="1">
        <v>2020.0</v>
      </c>
      <c r="AV773" s="1">
        <v>61.0</v>
      </c>
      <c r="AW773" s="1" t="s">
        <v>74</v>
      </c>
      <c r="AX773" s="1" t="s">
        <v>74</v>
      </c>
      <c r="AY773" s="1" t="s">
        <v>74</v>
      </c>
      <c r="AZ773" s="1" t="s">
        <v>74</v>
      </c>
      <c r="BA773" s="1" t="s">
        <v>74</v>
      </c>
      <c r="BB773" s="1">
        <v>372.0</v>
      </c>
      <c r="BC773" s="1">
        <v>384.0</v>
      </c>
      <c r="BD773" s="1" t="s">
        <v>74</v>
      </c>
      <c r="BE773" s="1" t="s">
        <v>15558</v>
      </c>
      <c r="BF773" s="2" t="str">
        <f>HYPERLINK("http://dx.doi.org/10.19224/ai2020.372","http://dx.doi.org/10.19224/ai2020.372")</f>
        <v>http://dx.doi.org/10.19224/ai2020.372</v>
      </c>
      <c r="BG773" s="1" t="s">
        <v>74</v>
      </c>
      <c r="BH773" s="1" t="s">
        <v>74</v>
      </c>
      <c r="BI773" s="1">
        <v>13.0</v>
      </c>
      <c r="BJ773" s="1" t="s">
        <v>15559</v>
      </c>
      <c r="BK773" s="1" t="s">
        <v>149</v>
      </c>
      <c r="BL773" s="1" t="s">
        <v>15560</v>
      </c>
      <c r="BM773" s="1" t="s">
        <v>15561</v>
      </c>
      <c r="BN773" s="1" t="s">
        <v>74</v>
      </c>
      <c r="BO773" s="1" t="s">
        <v>74</v>
      </c>
      <c r="BP773" s="1" t="s">
        <v>74</v>
      </c>
      <c r="BQ773" s="1" t="s">
        <v>74</v>
      </c>
      <c r="BR773" s="1" t="s">
        <v>102</v>
      </c>
      <c r="BS773" s="1" t="s">
        <v>15562</v>
      </c>
      <c r="BT773" s="1" t="str">
        <f>HYPERLINK("https%3A%2F%2Fwww.webofscience.com%2Fwos%2Fwoscc%2Ffull-record%2FWOS:000620736700010","View Full Record in Web of Science")</f>
        <v>View Full Record in Web of Science</v>
      </c>
    </row>
    <row r="774" ht="12.75" customHeight="1">
      <c r="A774" s="1" t="s">
        <v>132</v>
      </c>
      <c r="B774" s="1" t="s">
        <v>15563</v>
      </c>
      <c r="C774" s="1" t="s">
        <v>74</v>
      </c>
      <c r="D774" s="1" t="s">
        <v>74</v>
      </c>
      <c r="E774" s="1" t="s">
        <v>74</v>
      </c>
      <c r="F774" s="1" t="s">
        <v>15564</v>
      </c>
      <c r="G774" s="1" t="s">
        <v>74</v>
      </c>
      <c r="H774" s="1" t="s">
        <v>74</v>
      </c>
      <c r="I774" s="1" t="s">
        <v>15565</v>
      </c>
      <c r="J774" s="1" t="s">
        <v>15566</v>
      </c>
      <c r="K774" s="1" t="s">
        <v>74</v>
      </c>
      <c r="L774" s="1" t="s">
        <v>74</v>
      </c>
      <c r="M774" s="1" t="s">
        <v>80</v>
      </c>
      <c r="N774" s="1" t="s">
        <v>136</v>
      </c>
      <c r="O774" s="1" t="s">
        <v>74</v>
      </c>
      <c r="P774" s="1" t="s">
        <v>74</v>
      </c>
      <c r="Q774" s="1" t="s">
        <v>74</v>
      </c>
      <c r="R774" s="1" t="s">
        <v>74</v>
      </c>
      <c r="S774" s="1" t="s">
        <v>74</v>
      </c>
      <c r="T774" s="1" t="s">
        <v>15567</v>
      </c>
      <c r="U774" s="1" t="s">
        <v>74</v>
      </c>
      <c r="V774" s="1" t="s">
        <v>15568</v>
      </c>
      <c r="W774" s="1" t="s">
        <v>15569</v>
      </c>
      <c r="X774" s="1" t="s">
        <v>15570</v>
      </c>
      <c r="Y774" s="1" t="s">
        <v>15571</v>
      </c>
      <c r="Z774" s="1" t="s">
        <v>15572</v>
      </c>
      <c r="AA774" s="1" t="s">
        <v>74</v>
      </c>
      <c r="AB774" s="1" t="s">
        <v>74</v>
      </c>
      <c r="AC774" s="1" t="s">
        <v>15573</v>
      </c>
      <c r="AD774" s="1" t="s">
        <v>15574</v>
      </c>
      <c r="AE774" s="1" t="s">
        <v>15575</v>
      </c>
      <c r="AF774" s="1" t="s">
        <v>74</v>
      </c>
      <c r="AG774" s="1">
        <v>28.0</v>
      </c>
      <c r="AH774" s="1">
        <v>34.0</v>
      </c>
      <c r="AI774" s="1">
        <v>35.0</v>
      </c>
      <c r="AJ774" s="1">
        <v>9.0</v>
      </c>
      <c r="AK774" s="1">
        <v>135.0</v>
      </c>
      <c r="AL774" s="1" t="s">
        <v>15576</v>
      </c>
      <c r="AM774" s="1" t="s">
        <v>349</v>
      </c>
      <c r="AN774" s="1" t="s">
        <v>15577</v>
      </c>
      <c r="AO774" s="1" t="s">
        <v>15578</v>
      </c>
      <c r="AP774" s="1" t="s">
        <v>15579</v>
      </c>
      <c r="AQ774" s="1" t="s">
        <v>74</v>
      </c>
      <c r="AR774" s="1" t="s">
        <v>15580</v>
      </c>
      <c r="AS774" s="1" t="s">
        <v>15581</v>
      </c>
      <c r="AT774" s="1" t="s">
        <v>15582</v>
      </c>
      <c r="AU774" s="1">
        <v>2018.0</v>
      </c>
      <c r="AV774" s="1">
        <v>376.0</v>
      </c>
      <c r="AW774" s="1">
        <v>2128.0</v>
      </c>
      <c r="AX774" s="1" t="s">
        <v>74</v>
      </c>
      <c r="AY774" s="1" t="s">
        <v>74</v>
      </c>
      <c r="AZ774" s="1" t="s">
        <v>74</v>
      </c>
      <c r="BA774" s="1" t="s">
        <v>74</v>
      </c>
      <c r="BB774" s="1" t="s">
        <v>74</v>
      </c>
      <c r="BC774" s="1" t="s">
        <v>74</v>
      </c>
      <c r="BD774" s="1">
        <v>2.017036E7</v>
      </c>
      <c r="BE774" s="1" t="s">
        <v>15583</v>
      </c>
      <c r="BF774" s="2" t="str">
        <f>HYPERLINK("http://dx.doi.org/10.1098/rsta.2017.0360","http://dx.doi.org/10.1098/rsta.2017.0360")</f>
        <v>http://dx.doi.org/10.1098/rsta.2017.0360</v>
      </c>
      <c r="BG774" s="1" t="s">
        <v>74</v>
      </c>
      <c r="BH774" s="1" t="s">
        <v>74</v>
      </c>
      <c r="BI774" s="1">
        <v>12.0</v>
      </c>
      <c r="BJ774" s="1" t="s">
        <v>4714</v>
      </c>
      <c r="BK774" s="1" t="s">
        <v>149</v>
      </c>
      <c r="BL774" s="1" t="s">
        <v>4715</v>
      </c>
      <c r="BM774" s="1" t="s">
        <v>15584</v>
      </c>
      <c r="BN774" s="1">
        <v>3.0082306E7</v>
      </c>
      <c r="BO774" s="1" t="s">
        <v>2021</v>
      </c>
      <c r="BP774" s="1" t="s">
        <v>74</v>
      </c>
      <c r="BQ774" s="1" t="s">
        <v>74</v>
      </c>
      <c r="BR774" s="1" t="s">
        <v>102</v>
      </c>
      <c r="BS774" s="1" t="s">
        <v>15585</v>
      </c>
      <c r="BT774" s="1" t="str">
        <f>HYPERLINK("https%3A%2F%2Fwww.webofscience.com%2Fwos%2Fwoscc%2Ffull-record%2FWOS:000440870000009","View Full Record in Web of Science")</f>
        <v>View Full Record in Web of Science</v>
      </c>
    </row>
    <row r="775" ht="12.75" customHeight="1">
      <c r="A775" s="1" t="s">
        <v>132</v>
      </c>
      <c r="B775" s="1" t="s">
        <v>15586</v>
      </c>
      <c r="C775" s="1" t="s">
        <v>74</v>
      </c>
      <c r="D775" s="1" t="s">
        <v>74</v>
      </c>
      <c r="E775" s="1" t="s">
        <v>74</v>
      </c>
      <c r="F775" s="1" t="s">
        <v>15587</v>
      </c>
      <c r="G775" s="1" t="s">
        <v>74</v>
      </c>
      <c r="H775" s="1" t="s">
        <v>74</v>
      </c>
      <c r="I775" s="1" t="s">
        <v>15588</v>
      </c>
      <c r="J775" s="1" t="s">
        <v>5659</v>
      </c>
      <c r="K775" s="1" t="s">
        <v>74</v>
      </c>
      <c r="L775" s="1" t="s">
        <v>74</v>
      </c>
      <c r="M775" s="1" t="s">
        <v>80</v>
      </c>
      <c r="N775" s="1" t="s">
        <v>1563</v>
      </c>
      <c r="O775" s="1" t="s">
        <v>74</v>
      </c>
      <c r="P775" s="1" t="s">
        <v>74</v>
      </c>
      <c r="Q775" s="1" t="s">
        <v>74</v>
      </c>
      <c r="R775" s="1" t="s">
        <v>74</v>
      </c>
      <c r="S775" s="1" t="s">
        <v>74</v>
      </c>
      <c r="T775" s="1" t="s">
        <v>15589</v>
      </c>
      <c r="U775" s="1" t="s">
        <v>15590</v>
      </c>
      <c r="V775" s="1" t="s">
        <v>15591</v>
      </c>
      <c r="W775" s="1" t="s">
        <v>15592</v>
      </c>
      <c r="X775" s="1" t="s">
        <v>15593</v>
      </c>
      <c r="Y775" s="1" t="s">
        <v>15594</v>
      </c>
      <c r="Z775" s="1" t="s">
        <v>15595</v>
      </c>
      <c r="AA775" s="1" t="s">
        <v>74</v>
      </c>
      <c r="AB775" s="1" t="s">
        <v>74</v>
      </c>
      <c r="AC775" s="1" t="s">
        <v>74</v>
      </c>
      <c r="AD775" s="1" t="s">
        <v>74</v>
      </c>
      <c r="AE775" s="1" t="s">
        <v>74</v>
      </c>
      <c r="AF775" s="1" t="s">
        <v>74</v>
      </c>
      <c r="AG775" s="1">
        <v>33.0</v>
      </c>
      <c r="AH775" s="1">
        <v>17.0</v>
      </c>
      <c r="AI775" s="1">
        <v>18.0</v>
      </c>
      <c r="AJ775" s="1">
        <v>2.0</v>
      </c>
      <c r="AK775" s="1">
        <v>16.0</v>
      </c>
      <c r="AL775" s="1" t="s">
        <v>3551</v>
      </c>
      <c r="AM775" s="1" t="s">
        <v>193</v>
      </c>
      <c r="AN775" s="1" t="s">
        <v>3552</v>
      </c>
      <c r="AO775" s="1" t="s">
        <v>5667</v>
      </c>
      <c r="AP775" s="1" t="s">
        <v>5668</v>
      </c>
      <c r="AQ775" s="1" t="s">
        <v>74</v>
      </c>
      <c r="AR775" s="1" t="s">
        <v>5669</v>
      </c>
      <c r="AS775" s="1" t="s">
        <v>5670</v>
      </c>
      <c r="AT775" s="1" t="s">
        <v>870</v>
      </c>
      <c r="AU775" s="1">
        <v>2020.0</v>
      </c>
      <c r="AV775" s="1">
        <v>59.0</v>
      </c>
      <c r="AW775" s="1">
        <v>1.0</v>
      </c>
      <c r="AX775" s="1" t="s">
        <v>74</v>
      </c>
      <c r="AY775" s="1" t="s">
        <v>74</v>
      </c>
      <c r="AZ775" s="1" t="s">
        <v>74</v>
      </c>
      <c r="BA775" s="1" t="s">
        <v>74</v>
      </c>
      <c r="BB775" s="1" t="s">
        <v>15596</v>
      </c>
      <c r="BC775" s="1" t="s">
        <v>15597</v>
      </c>
      <c r="BD775" s="1" t="s">
        <v>74</v>
      </c>
      <c r="BE775" s="1" t="s">
        <v>15598</v>
      </c>
      <c r="BF775" s="2" t="str">
        <f>HYPERLINK("http://dx.doi.org/10.1016/j.clinimag.2019.08.001","http://dx.doi.org/10.1016/j.clinimag.2019.08.001")</f>
        <v>http://dx.doi.org/10.1016/j.clinimag.2019.08.001</v>
      </c>
      <c r="BG775" s="1" t="s">
        <v>74</v>
      </c>
      <c r="BH775" s="1" t="s">
        <v>74</v>
      </c>
      <c r="BI775" s="1">
        <v>4.0</v>
      </c>
      <c r="BJ775" s="1" t="s">
        <v>656</v>
      </c>
      <c r="BK775" s="1" t="s">
        <v>783</v>
      </c>
      <c r="BL775" s="1" t="s">
        <v>656</v>
      </c>
      <c r="BM775" s="1" t="s">
        <v>15599</v>
      </c>
      <c r="BN775" s="1">
        <v>3.1481284E7</v>
      </c>
      <c r="BO775" s="1" t="s">
        <v>74</v>
      </c>
      <c r="BP775" s="1" t="s">
        <v>74</v>
      </c>
      <c r="BQ775" s="1" t="s">
        <v>74</v>
      </c>
      <c r="BR775" s="1" t="s">
        <v>102</v>
      </c>
      <c r="BS775" s="1" t="s">
        <v>15600</v>
      </c>
      <c r="BT775" s="1" t="str">
        <f>HYPERLINK("https%3A%2F%2Fwww.webofscience.com%2Fwos%2Fwoscc%2Ffull-record%2FWOS:000504800600002","View Full Record in Web of Science")</f>
        <v>View Full Record in Web of Science</v>
      </c>
    </row>
    <row r="776" ht="12.75" customHeight="1">
      <c r="A776" s="1" t="s">
        <v>132</v>
      </c>
      <c r="B776" s="1" t="s">
        <v>15601</v>
      </c>
      <c r="C776" s="1" t="s">
        <v>74</v>
      </c>
      <c r="D776" s="1" t="s">
        <v>74</v>
      </c>
      <c r="E776" s="1" t="s">
        <v>74</v>
      </c>
      <c r="F776" s="1" t="s">
        <v>15602</v>
      </c>
      <c r="G776" s="1" t="s">
        <v>74</v>
      </c>
      <c r="H776" s="1" t="s">
        <v>74</v>
      </c>
      <c r="I776" s="1" t="s">
        <v>15603</v>
      </c>
      <c r="J776" s="1" t="s">
        <v>15604</v>
      </c>
      <c r="K776" s="1" t="s">
        <v>74</v>
      </c>
      <c r="L776" s="1" t="s">
        <v>74</v>
      </c>
      <c r="M776" s="1" t="s">
        <v>80</v>
      </c>
      <c r="N776" s="1" t="s">
        <v>136</v>
      </c>
      <c r="O776" s="1" t="s">
        <v>74</v>
      </c>
      <c r="P776" s="1" t="s">
        <v>74</v>
      </c>
      <c r="Q776" s="1" t="s">
        <v>74</v>
      </c>
      <c r="R776" s="1" t="s">
        <v>74</v>
      </c>
      <c r="S776" s="1" t="s">
        <v>74</v>
      </c>
      <c r="T776" s="1" t="s">
        <v>15605</v>
      </c>
      <c r="U776" s="1" t="s">
        <v>74</v>
      </c>
      <c r="V776" s="1" t="s">
        <v>15606</v>
      </c>
      <c r="W776" s="1" t="s">
        <v>15607</v>
      </c>
      <c r="X776" s="1" t="s">
        <v>15608</v>
      </c>
      <c r="Y776" s="1" t="s">
        <v>15609</v>
      </c>
      <c r="Z776" s="1" t="s">
        <v>15610</v>
      </c>
      <c r="AA776" s="1" t="s">
        <v>15611</v>
      </c>
      <c r="AB776" s="1" t="s">
        <v>15612</v>
      </c>
      <c r="AC776" s="1" t="s">
        <v>15613</v>
      </c>
      <c r="AD776" s="1" t="s">
        <v>15614</v>
      </c>
      <c r="AE776" s="1" t="s">
        <v>15615</v>
      </c>
      <c r="AF776" s="1" t="s">
        <v>74</v>
      </c>
      <c r="AG776" s="1">
        <v>37.0</v>
      </c>
      <c r="AH776" s="1">
        <v>8.0</v>
      </c>
      <c r="AI776" s="1">
        <v>8.0</v>
      </c>
      <c r="AJ776" s="1">
        <v>7.0</v>
      </c>
      <c r="AK776" s="1">
        <v>14.0</v>
      </c>
      <c r="AL776" s="1" t="s">
        <v>1357</v>
      </c>
      <c r="AM776" s="1" t="s">
        <v>1358</v>
      </c>
      <c r="AN776" s="1" t="s">
        <v>1359</v>
      </c>
      <c r="AO776" s="1" t="s">
        <v>15616</v>
      </c>
      <c r="AP776" s="1" t="s">
        <v>15617</v>
      </c>
      <c r="AQ776" s="1" t="s">
        <v>74</v>
      </c>
      <c r="AR776" s="1" t="s">
        <v>15618</v>
      </c>
      <c r="AS776" s="1" t="s">
        <v>15619</v>
      </c>
      <c r="AT776" s="1" t="s">
        <v>1253</v>
      </c>
      <c r="AU776" s="1">
        <v>2024.0</v>
      </c>
      <c r="AV776" s="1">
        <v>36.0</v>
      </c>
      <c r="AW776" s="1">
        <v>2.0</v>
      </c>
      <c r="AX776" s="1" t="s">
        <v>74</v>
      </c>
      <c r="AY776" s="1" t="s">
        <v>74</v>
      </c>
      <c r="AZ776" s="1" t="s">
        <v>74</v>
      </c>
      <c r="BA776" s="1" t="s">
        <v>74</v>
      </c>
      <c r="BB776" s="1">
        <v>252.0</v>
      </c>
      <c r="BC776" s="1">
        <v>265.0</v>
      </c>
      <c r="BD776" s="1" t="s">
        <v>74</v>
      </c>
      <c r="BE776" s="1" t="s">
        <v>15620</v>
      </c>
      <c r="BF776" s="2" t="str">
        <f>HYPERLINK("http://dx.doi.org/10.1111/1742-6723.14345","http://dx.doi.org/10.1111/1742-6723.14345")</f>
        <v>http://dx.doi.org/10.1111/1742-6723.14345</v>
      </c>
      <c r="BG776" s="1" t="s">
        <v>74</v>
      </c>
      <c r="BH776" s="1" t="s">
        <v>5056</v>
      </c>
      <c r="BI776" s="1">
        <v>14.0</v>
      </c>
      <c r="BJ776" s="1" t="s">
        <v>15621</v>
      </c>
      <c r="BK776" s="1" t="s">
        <v>149</v>
      </c>
      <c r="BL776" s="1" t="s">
        <v>15621</v>
      </c>
      <c r="BM776" s="1" t="s">
        <v>15622</v>
      </c>
      <c r="BN776" s="1">
        <v>3.8044755E7</v>
      </c>
      <c r="BO776" s="1" t="s">
        <v>306</v>
      </c>
      <c r="BP776" s="1" t="s">
        <v>74</v>
      </c>
      <c r="BQ776" s="1" t="s">
        <v>74</v>
      </c>
      <c r="BR776" s="1" t="s">
        <v>102</v>
      </c>
      <c r="BS776" s="1" t="s">
        <v>15623</v>
      </c>
      <c r="BT776" s="1" t="str">
        <f>HYPERLINK("https%3A%2F%2Fwww.webofscience.com%2Fwos%2Fwoscc%2Ffull-record%2FWOS:001120922100001","View Full Record in Web of Science")</f>
        <v>View Full Record in Web of Science</v>
      </c>
    </row>
    <row r="777" ht="12.75" customHeight="1">
      <c r="A777" s="1" t="s">
        <v>72</v>
      </c>
      <c r="B777" s="1" t="s">
        <v>15624</v>
      </c>
      <c r="C777" s="1" t="s">
        <v>74</v>
      </c>
      <c r="D777" s="1" t="s">
        <v>15625</v>
      </c>
      <c r="E777" s="1" t="s">
        <v>74</v>
      </c>
      <c r="F777" s="1" t="s">
        <v>15626</v>
      </c>
      <c r="G777" s="1" t="s">
        <v>74</v>
      </c>
      <c r="H777" s="1" t="s">
        <v>74</v>
      </c>
      <c r="I777" s="1" t="s">
        <v>15627</v>
      </c>
      <c r="J777" s="1" t="s">
        <v>15628</v>
      </c>
      <c r="K777" s="1" t="s">
        <v>1464</v>
      </c>
      <c r="L777" s="1" t="s">
        <v>74</v>
      </c>
      <c r="M777" s="1" t="s">
        <v>80</v>
      </c>
      <c r="N777" s="1" t="s">
        <v>81</v>
      </c>
      <c r="O777" s="1" t="s">
        <v>15629</v>
      </c>
      <c r="P777" s="1" t="s">
        <v>15630</v>
      </c>
      <c r="Q777" s="1" t="s">
        <v>15631</v>
      </c>
      <c r="R777" s="1" t="s">
        <v>15632</v>
      </c>
      <c r="S777" s="1" t="s">
        <v>74</v>
      </c>
      <c r="T777" s="1" t="s">
        <v>15633</v>
      </c>
      <c r="U777" s="1" t="s">
        <v>74</v>
      </c>
      <c r="V777" s="1" t="s">
        <v>15634</v>
      </c>
      <c r="W777" s="1" t="s">
        <v>15635</v>
      </c>
      <c r="X777" s="1" t="s">
        <v>15636</v>
      </c>
      <c r="Y777" s="1" t="s">
        <v>15637</v>
      </c>
      <c r="Z777" s="1" t="s">
        <v>15638</v>
      </c>
      <c r="AA777" s="1" t="s">
        <v>15639</v>
      </c>
      <c r="AB777" s="1" t="s">
        <v>15640</v>
      </c>
      <c r="AC777" s="1" t="s">
        <v>74</v>
      </c>
      <c r="AD777" s="1" t="s">
        <v>74</v>
      </c>
      <c r="AE777" s="1" t="s">
        <v>74</v>
      </c>
      <c r="AF777" s="1" t="s">
        <v>74</v>
      </c>
      <c r="AG777" s="1">
        <v>35.0</v>
      </c>
      <c r="AH777" s="1">
        <v>225.0</v>
      </c>
      <c r="AI777" s="1">
        <v>248.0</v>
      </c>
      <c r="AJ777" s="1">
        <v>15.0</v>
      </c>
      <c r="AK777" s="1">
        <v>104.0</v>
      </c>
      <c r="AL777" s="1" t="s">
        <v>1477</v>
      </c>
      <c r="AM777" s="1" t="s">
        <v>322</v>
      </c>
      <c r="AN777" s="1" t="s">
        <v>1478</v>
      </c>
      <c r="AO777" s="1" t="s">
        <v>1479</v>
      </c>
      <c r="AP777" s="1" t="s">
        <v>74</v>
      </c>
      <c r="AQ777" s="1" t="s">
        <v>74</v>
      </c>
      <c r="AR777" s="1" t="s">
        <v>1480</v>
      </c>
      <c r="AS777" s="1" t="s">
        <v>74</v>
      </c>
      <c r="AT777" s="1" t="s">
        <v>74</v>
      </c>
      <c r="AU777" s="1">
        <v>2018.0</v>
      </c>
      <c r="AV777" s="1">
        <v>136.0</v>
      </c>
      <c r="AW777" s="1" t="s">
        <v>74</v>
      </c>
      <c r="AX777" s="1" t="s">
        <v>74</v>
      </c>
      <c r="AY777" s="1" t="s">
        <v>74</v>
      </c>
      <c r="AZ777" s="1" t="s">
        <v>74</v>
      </c>
      <c r="BA777" s="1" t="s">
        <v>74</v>
      </c>
      <c r="BB777" s="1">
        <v>16.0</v>
      </c>
      <c r="BC777" s="1">
        <v>24.0</v>
      </c>
      <c r="BD777" s="1" t="s">
        <v>74</v>
      </c>
      <c r="BE777" s="1" t="s">
        <v>15641</v>
      </c>
      <c r="BF777" s="2" t="str">
        <f>HYPERLINK("http://dx.doi.org/10.1016/j.procs.2018.08.233","http://dx.doi.org/10.1016/j.procs.2018.08.233")</f>
        <v>http://dx.doi.org/10.1016/j.procs.2018.08.233</v>
      </c>
      <c r="BG777" s="1" t="s">
        <v>74</v>
      </c>
      <c r="BH777" s="1" t="s">
        <v>74</v>
      </c>
      <c r="BI777" s="1">
        <v>9.0</v>
      </c>
      <c r="BJ777" s="1" t="s">
        <v>3769</v>
      </c>
      <c r="BK777" s="1" t="s">
        <v>128</v>
      </c>
      <c r="BL777" s="1" t="s">
        <v>232</v>
      </c>
      <c r="BM777" s="1" t="s">
        <v>15642</v>
      </c>
      <c r="BN777" s="1" t="s">
        <v>74</v>
      </c>
      <c r="BO777" s="1" t="s">
        <v>174</v>
      </c>
      <c r="BP777" s="1" t="s">
        <v>74</v>
      </c>
      <c r="BQ777" s="1" t="s">
        <v>74</v>
      </c>
      <c r="BR777" s="1" t="s">
        <v>102</v>
      </c>
      <c r="BS777" s="1" t="s">
        <v>15643</v>
      </c>
      <c r="BT777" s="1" t="str">
        <f>HYPERLINK("https%3A%2F%2Fwww.webofscience.com%2Fwos%2Fwoscc%2Ffull-record%2FWOS:000547808300003","View Full Record in Web of Science")</f>
        <v>View Full Record in Web of Science</v>
      </c>
    </row>
    <row r="778" ht="12.75" customHeight="1">
      <c r="A778" s="1" t="s">
        <v>132</v>
      </c>
      <c r="B778" s="1" t="s">
        <v>15644</v>
      </c>
      <c r="C778" s="1" t="s">
        <v>74</v>
      </c>
      <c r="D778" s="1" t="s">
        <v>74</v>
      </c>
      <c r="E778" s="1" t="s">
        <v>74</v>
      </c>
      <c r="F778" s="1" t="s">
        <v>15645</v>
      </c>
      <c r="G778" s="1" t="s">
        <v>74</v>
      </c>
      <c r="H778" s="1" t="s">
        <v>74</v>
      </c>
      <c r="I778" s="1" t="s">
        <v>15646</v>
      </c>
      <c r="J778" s="1" t="s">
        <v>15647</v>
      </c>
      <c r="K778" s="1" t="s">
        <v>74</v>
      </c>
      <c r="L778" s="1" t="s">
        <v>74</v>
      </c>
      <c r="M778" s="1" t="s">
        <v>80</v>
      </c>
      <c r="N778" s="1" t="s">
        <v>1010</v>
      </c>
      <c r="O778" s="1" t="s">
        <v>74</v>
      </c>
      <c r="P778" s="1" t="s">
        <v>74</v>
      </c>
      <c r="Q778" s="1" t="s">
        <v>74</v>
      </c>
      <c r="R778" s="1" t="s">
        <v>74</v>
      </c>
      <c r="S778" s="1" t="s">
        <v>74</v>
      </c>
      <c r="T778" s="1" t="s">
        <v>15648</v>
      </c>
      <c r="U778" s="1" t="s">
        <v>15649</v>
      </c>
      <c r="V778" s="1" t="s">
        <v>15650</v>
      </c>
      <c r="W778" s="1" t="s">
        <v>15651</v>
      </c>
      <c r="X778" s="1" t="s">
        <v>15652</v>
      </c>
      <c r="Y778" s="1" t="s">
        <v>15653</v>
      </c>
      <c r="Z778" s="1" t="s">
        <v>15654</v>
      </c>
      <c r="AA778" s="1" t="s">
        <v>74</v>
      </c>
      <c r="AB778" s="1" t="s">
        <v>74</v>
      </c>
      <c r="AC778" s="1" t="s">
        <v>74</v>
      </c>
      <c r="AD778" s="1" t="s">
        <v>74</v>
      </c>
      <c r="AE778" s="1" t="s">
        <v>74</v>
      </c>
      <c r="AF778" s="1" t="s">
        <v>74</v>
      </c>
      <c r="AG778" s="1">
        <v>45.0</v>
      </c>
      <c r="AH778" s="1">
        <v>1.0</v>
      </c>
      <c r="AI778" s="1">
        <v>1.0</v>
      </c>
      <c r="AJ778" s="1">
        <v>2.0</v>
      </c>
      <c r="AK778" s="1">
        <v>3.0</v>
      </c>
      <c r="AL778" s="1" t="s">
        <v>1149</v>
      </c>
      <c r="AM778" s="1" t="s">
        <v>1150</v>
      </c>
      <c r="AN778" s="1" t="s">
        <v>1151</v>
      </c>
      <c r="AO778" s="1" t="s">
        <v>15655</v>
      </c>
      <c r="AP778" s="1" t="s">
        <v>15656</v>
      </c>
      <c r="AQ778" s="1" t="s">
        <v>74</v>
      </c>
      <c r="AR778" s="1" t="s">
        <v>15657</v>
      </c>
      <c r="AS778" s="1" t="s">
        <v>15658</v>
      </c>
      <c r="AT778" s="1" t="s">
        <v>4393</v>
      </c>
      <c r="AU778" s="1">
        <v>2024.0</v>
      </c>
      <c r="AV778" s="1">
        <v>14.0</v>
      </c>
      <c r="AW778" s="1">
        <v>1.0</v>
      </c>
      <c r="AX778" s="1" t="s">
        <v>74</v>
      </c>
      <c r="AY778" s="1" t="s">
        <v>74</v>
      </c>
      <c r="AZ778" s="1" t="s">
        <v>74</v>
      </c>
      <c r="BA778" s="1" t="s">
        <v>74</v>
      </c>
      <c r="BB778" s="1">
        <v>42.0</v>
      </c>
      <c r="BC778" s="1">
        <v>54.0</v>
      </c>
      <c r="BD778" s="1" t="s">
        <v>74</v>
      </c>
      <c r="BE778" s="1" t="s">
        <v>15659</v>
      </c>
      <c r="BF778" s="2" t="str">
        <f>HYPERLINK("http://dx.doi.org/10.4103/aihb.aihb_124_23","http://dx.doi.org/10.4103/aihb.aihb_124_23")</f>
        <v>http://dx.doi.org/10.4103/aihb.aihb_124_23</v>
      </c>
      <c r="BG778" s="1" t="s">
        <v>74</v>
      </c>
      <c r="BH778" s="1" t="s">
        <v>74</v>
      </c>
      <c r="BI778" s="1">
        <v>13.0</v>
      </c>
      <c r="BJ778" s="1" t="s">
        <v>4329</v>
      </c>
      <c r="BK778" s="1" t="s">
        <v>172</v>
      </c>
      <c r="BL778" s="1" t="s">
        <v>4330</v>
      </c>
      <c r="BM778" s="1" t="s">
        <v>15660</v>
      </c>
      <c r="BN778" s="1" t="s">
        <v>74</v>
      </c>
      <c r="BO778" s="1" t="s">
        <v>174</v>
      </c>
      <c r="BP778" s="1" t="s">
        <v>74</v>
      </c>
      <c r="BQ778" s="1" t="s">
        <v>74</v>
      </c>
      <c r="BR778" s="1" t="s">
        <v>102</v>
      </c>
      <c r="BS778" s="1" t="s">
        <v>15661</v>
      </c>
      <c r="BT778" s="1" t="str">
        <f>HYPERLINK("https%3A%2F%2Fwww.webofscience.com%2Fwos%2Fwoscc%2Ffull-record%2FWOS:001172827600006","View Full Record in Web of Science")</f>
        <v>View Full Record in Web of Science</v>
      </c>
    </row>
    <row r="779" ht="12.75" customHeight="1">
      <c r="A779" s="1" t="s">
        <v>132</v>
      </c>
      <c r="B779" s="1" t="s">
        <v>15662</v>
      </c>
      <c r="C779" s="1" t="s">
        <v>74</v>
      </c>
      <c r="D779" s="1" t="s">
        <v>74</v>
      </c>
      <c r="E779" s="1" t="s">
        <v>74</v>
      </c>
      <c r="F779" s="1" t="s">
        <v>15663</v>
      </c>
      <c r="G779" s="1" t="s">
        <v>74</v>
      </c>
      <c r="H779" s="1" t="s">
        <v>74</v>
      </c>
      <c r="I779" s="1" t="s">
        <v>15664</v>
      </c>
      <c r="J779" s="1" t="s">
        <v>15665</v>
      </c>
      <c r="K779" s="1" t="s">
        <v>74</v>
      </c>
      <c r="L779" s="1" t="s">
        <v>74</v>
      </c>
      <c r="M779" s="1" t="s">
        <v>80</v>
      </c>
      <c r="N779" s="1" t="s">
        <v>136</v>
      </c>
      <c r="O779" s="1" t="s">
        <v>74</v>
      </c>
      <c r="P779" s="1" t="s">
        <v>74</v>
      </c>
      <c r="Q779" s="1" t="s">
        <v>74</v>
      </c>
      <c r="R779" s="1" t="s">
        <v>74</v>
      </c>
      <c r="S779" s="1" t="s">
        <v>74</v>
      </c>
      <c r="T779" s="1" t="s">
        <v>15666</v>
      </c>
      <c r="U779" s="1" t="s">
        <v>15667</v>
      </c>
      <c r="V779" s="1" t="s">
        <v>15668</v>
      </c>
      <c r="W779" s="1" t="s">
        <v>15669</v>
      </c>
      <c r="X779" s="1" t="s">
        <v>15670</v>
      </c>
      <c r="Y779" s="1" t="s">
        <v>15671</v>
      </c>
      <c r="Z779" s="1" t="s">
        <v>15672</v>
      </c>
      <c r="AA779" s="1" t="s">
        <v>15673</v>
      </c>
      <c r="AB779" s="1" t="s">
        <v>15674</v>
      </c>
      <c r="AC779" s="1" t="s">
        <v>74</v>
      </c>
      <c r="AD779" s="1" t="s">
        <v>74</v>
      </c>
      <c r="AE779" s="1" t="s">
        <v>74</v>
      </c>
      <c r="AF779" s="1" t="s">
        <v>74</v>
      </c>
      <c r="AG779" s="1">
        <v>62.0</v>
      </c>
      <c r="AH779" s="1">
        <v>18.0</v>
      </c>
      <c r="AI779" s="1">
        <v>18.0</v>
      </c>
      <c r="AJ779" s="1">
        <v>11.0</v>
      </c>
      <c r="AK779" s="1">
        <v>80.0</v>
      </c>
      <c r="AL779" s="1" t="s">
        <v>321</v>
      </c>
      <c r="AM779" s="1" t="s">
        <v>322</v>
      </c>
      <c r="AN779" s="1" t="s">
        <v>323</v>
      </c>
      <c r="AO779" s="1" t="s">
        <v>15675</v>
      </c>
      <c r="AP779" s="1" t="s">
        <v>15676</v>
      </c>
      <c r="AQ779" s="1" t="s">
        <v>74</v>
      </c>
      <c r="AR779" s="1" t="s">
        <v>15677</v>
      </c>
      <c r="AS779" s="1" t="s">
        <v>15678</v>
      </c>
      <c r="AT779" s="1" t="s">
        <v>1279</v>
      </c>
      <c r="AU779" s="1">
        <v>2020.0</v>
      </c>
      <c r="AV779" s="1">
        <v>35.0</v>
      </c>
      <c r="AW779" s="1" t="s">
        <v>74</v>
      </c>
      <c r="AX779" s="1" t="s">
        <v>74</v>
      </c>
      <c r="AY779" s="1" t="s">
        <v>74</v>
      </c>
      <c r="AZ779" s="1" t="s">
        <v>74</v>
      </c>
      <c r="BA779" s="1" t="s">
        <v>74</v>
      </c>
      <c r="BB779" s="1" t="s">
        <v>74</v>
      </c>
      <c r="BC779" s="1" t="s">
        <v>74</v>
      </c>
      <c r="BD779" s="1">
        <v>100718.0</v>
      </c>
      <c r="BE779" s="1" t="s">
        <v>15679</v>
      </c>
      <c r="BF779" s="2" t="str">
        <f>HYPERLINK("http://dx.doi.org/10.1016/j.tmp.2020.100718","http://dx.doi.org/10.1016/j.tmp.2020.100718")</f>
        <v>http://dx.doi.org/10.1016/j.tmp.2020.100718</v>
      </c>
      <c r="BG779" s="1" t="s">
        <v>74</v>
      </c>
      <c r="BH779" s="1" t="s">
        <v>74</v>
      </c>
      <c r="BI779" s="1">
        <v>8.0</v>
      </c>
      <c r="BJ779" s="1" t="s">
        <v>15680</v>
      </c>
      <c r="BK779" s="1" t="s">
        <v>203</v>
      </c>
      <c r="BL779" s="1" t="s">
        <v>15681</v>
      </c>
      <c r="BM779" s="1" t="s">
        <v>15682</v>
      </c>
      <c r="BN779" s="1" t="s">
        <v>74</v>
      </c>
      <c r="BO779" s="1" t="s">
        <v>74</v>
      </c>
      <c r="BP779" s="1" t="s">
        <v>74</v>
      </c>
      <c r="BQ779" s="1" t="s">
        <v>74</v>
      </c>
      <c r="BR779" s="1" t="s">
        <v>102</v>
      </c>
      <c r="BS779" s="1" t="s">
        <v>15683</v>
      </c>
      <c r="BT779" s="1" t="str">
        <f>HYPERLINK("https%3A%2F%2Fwww.webofscience.com%2Fwos%2Fwoscc%2Ffull-record%2FWOS:000553360600009","View Full Record in Web of Science")</f>
        <v>View Full Record in Web of Science</v>
      </c>
    </row>
    <row r="780" ht="12.75" customHeight="1">
      <c r="A780" s="1" t="s">
        <v>72</v>
      </c>
      <c r="B780" s="1" t="s">
        <v>15684</v>
      </c>
      <c r="C780" s="1" t="s">
        <v>74</v>
      </c>
      <c r="D780" s="1" t="s">
        <v>12559</v>
      </c>
      <c r="E780" s="1" t="s">
        <v>74</v>
      </c>
      <c r="F780" s="1" t="s">
        <v>15685</v>
      </c>
      <c r="G780" s="1" t="s">
        <v>74</v>
      </c>
      <c r="H780" s="1" t="s">
        <v>74</v>
      </c>
      <c r="I780" s="1" t="s">
        <v>15686</v>
      </c>
      <c r="J780" s="1" t="s">
        <v>12562</v>
      </c>
      <c r="K780" s="1" t="s">
        <v>12563</v>
      </c>
      <c r="L780" s="1" t="s">
        <v>74</v>
      </c>
      <c r="M780" s="1" t="s">
        <v>80</v>
      </c>
      <c r="N780" s="1" t="s">
        <v>81</v>
      </c>
      <c r="O780" s="1" t="s">
        <v>12564</v>
      </c>
      <c r="P780" s="1" t="s">
        <v>12565</v>
      </c>
      <c r="Q780" s="1" t="s">
        <v>12566</v>
      </c>
      <c r="R780" s="1" t="s">
        <v>74</v>
      </c>
      <c r="S780" s="1" t="s">
        <v>12567</v>
      </c>
      <c r="T780" s="1" t="s">
        <v>15687</v>
      </c>
      <c r="U780" s="1" t="s">
        <v>15688</v>
      </c>
      <c r="V780" s="1" t="s">
        <v>15689</v>
      </c>
      <c r="W780" s="1" t="s">
        <v>15690</v>
      </c>
      <c r="X780" s="1" t="s">
        <v>12571</v>
      </c>
      <c r="Y780" s="1" t="s">
        <v>15691</v>
      </c>
      <c r="Z780" s="1" t="s">
        <v>15692</v>
      </c>
      <c r="AA780" s="1" t="s">
        <v>15693</v>
      </c>
      <c r="AB780" s="1" t="s">
        <v>74</v>
      </c>
      <c r="AC780" s="1" t="s">
        <v>74</v>
      </c>
      <c r="AD780" s="1" t="s">
        <v>74</v>
      </c>
      <c r="AE780" s="1" t="s">
        <v>74</v>
      </c>
      <c r="AF780" s="1" t="s">
        <v>74</v>
      </c>
      <c r="AG780" s="1">
        <v>42.0</v>
      </c>
      <c r="AH780" s="1">
        <v>0.0</v>
      </c>
      <c r="AI780" s="1">
        <v>0.0</v>
      </c>
      <c r="AJ780" s="1">
        <v>7.0</v>
      </c>
      <c r="AK780" s="1">
        <v>7.0</v>
      </c>
      <c r="AL780" s="1" t="s">
        <v>12575</v>
      </c>
      <c r="AM780" s="1" t="s">
        <v>710</v>
      </c>
      <c r="AN780" s="1" t="s">
        <v>12576</v>
      </c>
      <c r="AO780" s="1" t="s">
        <v>12577</v>
      </c>
      <c r="AP780" s="1" t="s">
        <v>74</v>
      </c>
      <c r="AQ780" s="1" t="s">
        <v>74</v>
      </c>
      <c r="AR780" s="1" t="s">
        <v>12578</v>
      </c>
      <c r="AS780" s="1" t="s">
        <v>74</v>
      </c>
      <c r="AT780" s="1" t="s">
        <v>74</v>
      </c>
      <c r="AU780" s="1">
        <v>2021.0</v>
      </c>
      <c r="AV780" s="1" t="s">
        <v>74</v>
      </c>
      <c r="AW780" s="1" t="s">
        <v>74</v>
      </c>
      <c r="AX780" s="1" t="s">
        <v>74</v>
      </c>
      <c r="AY780" s="1" t="s">
        <v>74</v>
      </c>
      <c r="AZ780" s="1" t="s">
        <v>74</v>
      </c>
      <c r="BA780" s="1" t="s">
        <v>74</v>
      </c>
      <c r="BB780" s="1">
        <v>423.0</v>
      </c>
      <c r="BC780" s="1">
        <v>450.0</v>
      </c>
      <c r="BD780" s="1" t="s">
        <v>74</v>
      </c>
      <c r="BE780" s="1" t="s">
        <v>74</v>
      </c>
      <c r="BF780" s="1" t="s">
        <v>74</v>
      </c>
      <c r="BG780" s="1" t="s">
        <v>74</v>
      </c>
      <c r="BH780" s="1" t="s">
        <v>74</v>
      </c>
      <c r="BI780" s="1">
        <v>28.0</v>
      </c>
      <c r="BJ780" s="1" t="s">
        <v>12579</v>
      </c>
      <c r="BK780" s="1" t="s">
        <v>405</v>
      </c>
      <c r="BL780" s="1" t="s">
        <v>12580</v>
      </c>
      <c r="BM780" s="1" t="s">
        <v>12581</v>
      </c>
      <c r="BN780" s="1" t="s">
        <v>74</v>
      </c>
      <c r="BO780" s="1" t="s">
        <v>74</v>
      </c>
      <c r="BP780" s="1" t="s">
        <v>74</v>
      </c>
      <c r="BQ780" s="1" t="s">
        <v>74</v>
      </c>
      <c r="BR780" s="1" t="s">
        <v>102</v>
      </c>
      <c r="BS780" s="1" t="s">
        <v>15694</v>
      </c>
      <c r="BT780" s="1" t="str">
        <f>HYPERLINK("https%3A%2F%2Fwww.webofscience.com%2Fwos%2Fwoscc%2Ffull-record%2FWOS:001226759400025","View Full Record in Web of Science")</f>
        <v>View Full Record in Web of Science</v>
      </c>
    </row>
    <row r="781" ht="12.75" customHeight="1">
      <c r="A781" s="1" t="s">
        <v>72</v>
      </c>
      <c r="B781" s="1" t="s">
        <v>15695</v>
      </c>
      <c r="C781" s="1" t="s">
        <v>74</v>
      </c>
      <c r="D781" s="1" t="s">
        <v>15696</v>
      </c>
      <c r="E781" s="1" t="s">
        <v>74</v>
      </c>
      <c r="F781" s="1" t="s">
        <v>15697</v>
      </c>
      <c r="G781" s="1" t="s">
        <v>74</v>
      </c>
      <c r="H781" s="1" t="s">
        <v>74</v>
      </c>
      <c r="I781" s="1" t="s">
        <v>15698</v>
      </c>
      <c r="J781" s="1" t="s">
        <v>15699</v>
      </c>
      <c r="K781" s="1" t="s">
        <v>385</v>
      </c>
      <c r="L781" s="1" t="s">
        <v>74</v>
      </c>
      <c r="M781" s="1" t="s">
        <v>80</v>
      </c>
      <c r="N781" s="1" t="s">
        <v>81</v>
      </c>
      <c r="O781" s="1" t="s">
        <v>15700</v>
      </c>
      <c r="P781" s="1" t="s">
        <v>15701</v>
      </c>
      <c r="Q781" s="1" t="s">
        <v>15702</v>
      </c>
      <c r="R781" s="1" t="s">
        <v>15703</v>
      </c>
      <c r="S781" s="1" t="s">
        <v>15704</v>
      </c>
      <c r="T781" s="1" t="s">
        <v>15705</v>
      </c>
      <c r="U781" s="1" t="s">
        <v>74</v>
      </c>
      <c r="V781" s="1" t="s">
        <v>15706</v>
      </c>
      <c r="W781" s="1" t="s">
        <v>15707</v>
      </c>
      <c r="X781" s="1" t="s">
        <v>15708</v>
      </c>
      <c r="Y781" s="1" t="s">
        <v>15709</v>
      </c>
      <c r="Z781" s="1" t="s">
        <v>15710</v>
      </c>
      <c r="AA781" s="1" t="s">
        <v>15711</v>
      </c>
      <c r="AB781" s="1" t="s">
        <v>74</v>
      </c>
      <c r="AC781" s="1" t="s">
        <v>74</v>
      </c>
      <c r="AD781" s="1" t="s">
        <v>74</v>
      </c>
      <c r="AE781" s="1" t="s">
        <v>74</v>
      </c>
      <c r="AF781" s="1" t="s">
        <v>74</v>
      </c>
      <c r="AG781" s="1">
        <v>15.0</v>
      </c>
      <c r="AH781" s="1">
        <v>0.0</v>
      </c>
      <c r="AI781" s="1">
        <v>0.0</v>
      </c>
      <c r="AJ781" s="1">
        <v>10.0</v>
      </c>
      <c r="AK781" s="1">
        <v>10.0</v>
      </c>
      <c r="AL781" s="1" t="s">
        <v>223</v>
      </c>
      <c r="AM781" s="1" t="s">
        <v>224</v>
      </c>
      <c r="AN781" s="1" t="s">
        <v>225</v>
      </c>
      <c r="AO781" s="1" t="s">
        <v>399</v>
      </c>
      <c r="AP781" s="1" t="s">
        <v>400</v>
      </c>
      <c r="AQ781" s="1" t="s">
        <v>15712</v>
      </c>
      <c r="AR781" s="1" t="s">
        <v>402</v>
      </c>
      <c r="AS781" s="1" t="s">
        <v>74</v>
      </c>
      <c r="AT781" s="1" t="s">
        <v>74</v>
      </c>
      <c r="AU781" s="1">
        <v>2024.0</v>
      </c>
      <c r="AV781" s="1">
        <v>516.0</v>
      </c>
      <c r="AW781" s="1" t="s">
        <v>74</v>
      </c>
      <c r="AX781" s="1" t="s">
        <v>74</v>
      </c>
      <c r="AY781" s="1" t="s">
        <v>74</v>
      </c>
      <c r="AZ781" s="1" t="s">
        <v>74</v>
      </c>
      <c r="BA781" s="1" t="s">
        <v>74</v>
      </c>
      <c r="BB781" s="1">
        <v>108.0</v>
      </c>
      <c r="BC781" s="1">
        <v>119.0</v>
      </c>
      <c r="BD781" s="1" t="s">
        <v>74</v>
      </c>
      <c r="BE781" s="1" t="s">
        <v>15713</v>
      </c>
      <c r="BF781" s="2" t="str">
        <f>HYPERLINK("http://dx.doi.org/10.1007/978-3-031-60260-3_10","http://dx.doi.org/10.1007/978-3-031-60260-3_10")</f>
        <v>http://dx.doi.org/10.1007/978-3-031-60260-3_10</v>
      </c>
      <c r="BG781" s="1" t="s">
        <v>74</v>
      </c>
      <c r="BH781" s="1" t="s">
        <v>74</v>
      </c>
      <c r="BI781" s="1">
        <v>12.0</v>
      </c>
      <c r="BJ781" s="1" t="s">
        <v>15714</v>
      </c>
      <c r="BK781" s="1" t="s">
        <v>405</v>
      </c>
      <c r="BL781" s="1" t="s">
        <v>406</v>
      </c>
      <c r="BM781" s="1" t="s">
        <v>15715</v>
      </c>
      <c r="BN781" s="1" t="s">
        <v>74</v>
      </c>
      <c r="BO781" s="1" t="s">
        <v>74</v>
      </c>
      <c r="BP781" s="1" t="s">
        <v>74</v>
      </c>
      <c r="BQ781" s="1" t="s">
        <v>74</v>
      </c>
      <c r="BR781" s="1" t="s">
        <v>102</v>
      </c>
      <c r="BS781" s="1" t="s">
        <v>15716</v>
      </c>
      <c r="BT781" s="1" t="str">
        <f>HYPERLINK("https%3A%2F%2Fwww.webofscience.com%2Fwos%2Fwoscc%2Ffull-record%2FWOS:001329868800010","View Full Record in Web of Science")</f>
        <v>View Full Record in Web of Science</v>
      </c>
    </row>
    <row r="782" ht="12.75" customHeight="1">
      <c r="A782" s="1" t="s">
        <v>132</v>
      </c>
      <c r="B782" s="1" t="s">
        <v>15717</v>
      </c>
      <c r="C782" s="1" t="s">
        <v>74</v>
      </c>
      <c r="D782" s="1" t="s">
        <v>74</v>
      </c>
      <c r="E782" s="1" t="s">
        <v>74</v>
      </c>
      <c r="F782" s="1" t="s">
        <v>15718</v>
      </c>
      <c r="G782" s="1" t="s">
        <v>74</v>
      </c>
      <c r="H782" s="1" t="s">
        <v>74</v>
      </c>
      <c r="I782" s="1" t="s">
        <v>15719</v>
      </c>
      <c r="J782" s="1" t="s">
        <v>15720</v>
      </c>
      <c r="K782" s="1" t="s">
        <v>74</v>
      </c>
      <c r="L782" s="1" t="s">
        <v>74</v>
      </c>
      <c r="M782" s="1" t="s">
        <v>15721</v>
      </c>
      <c r="N782" s="1" t="s">
        <v>136</v>
      </c>
      <c r="O782" s="1" t="s">
        <v>74</v>
      </c>
      <c r="P782" s="1" t="s">
        <v>74</v>
      </c>
      <c r="Q782" s="1" t="s">
        <v>74</v>
      </c>
      <c r="R782" s="1" t="s">
        <v>74</v>
      </c>
      <c r="S782" s="1" t="s">
        <v>74</v>
      </c>
      <c r="T782" s="1" t="s">
        <v>15722</v>
      </c>
      <c r="U782" s="1" t="s">
        <v>74</v>
      </c>
      <c r="V782" s="1" t="s">
        <v>15723</v>
      </c>
      <c r="W782" s="1" t="s">
        <v>74</v>
      </c>
      <c r="X782" s="1" t="s">
        <v>74</v>
      </c>
      <c r="Y782" s="1" t="s">
        <v>74</v>
      </c>
      <c r="Z782" s="1" t="s">
        <v>74</v>
      </c>
      <c r="AA782" s="1" t="s">
        <v>74</v>
      </c>
      <c r="AB782" s="1" t="s">
        <v>74</v>
      </c>
      <c r="AC782" s="1" t="s">
        <v>74</v>
      </c>
      <c r="AD782" s="1" t="s">
        <v>74</v>
      </c>
      <c r="AE782" s="1" t="s">
        <v>74</v>
      </c>
      <c r="AF782" s="1" t="s">
        <v>74</v>
      </c>
      <c r="AG782" s="1">
        <v>28.0</v>
      </c>
      <c r="AH782" s="1">
        <v>0.0</v>
      </c>
      <c r="AI782" s="1">
        <v>0.0</v>
      </c>
      <c r="AJ782" s="1">
        <v>0.0</v>
      </c>
      <c r="AK782" s="1">
        <v>0.0</v>
      </c>
      <c r="AL782" s="1" t="s">
        <v>15724</v>
      </c>
      <c r="AM782" s="1" t="s">
        <v>15725</v>
      </c>
      <c r="AN782" s="1" t="s">
        <v>15726</v>
      </c>
      <c r="AO782" s="1" t="s">
        <v>15727</v>
      </c>
      <c r="AP782" s="1" t="s">
        <v>15728</v>
      </c>
      <c r="AQ782" s="1" t="s">
        <v>74</v>
      </c>
      <c r="AR782" s="1" t="s">
        <v>15729</v>
      </c>
      <c r="AS782" s="1" t="s">
        <v>15730</v>
      </c>
      <c r="AT782" s="1" t="s">
        <v>74</v>
      </c>
      <c r="AU782" s="1">
        <v>2024.0</v>
      </c>
      <c r="AV782" s="1">
        <v>84.0</v>
      </c>
      <c r="AW782" s="1">
        <v>4.0</v>
      </c>
      <c r="AX782" s="1" t="s">
        <v>74</v>
      </c>
      <c r="AY782" s="1" t="s">
        <v>74</v>
      </c>
      <c r="AZ782" s="1" t="s">
        <v>74</v>
      </c>
      <c r="BA782" s="1" t="s">
        <v>74</v>
      </c>
      <c r="BB782" s="1">
        <v>885.0</v>
      </c>
      <c r="BC782" s="1">
        <v>897.0</v>
      </c>
      <c r="BD782" s="1" t="s">
        <v>74</v>
      </c>
      <c r="BE782" s="1" t="s">
        <v>15731</v>
      </c>
      <c r="BF782" s="2" t="str">
        <f>HYPERLINK("http://dx.doi.org/10.34291/BV2024/04/Vodicar","http://dx.doi.org/10.34291/BV2024/04/Vodicar")</f>
        <v>http://dx.doi.org/10.34291/BV2024/04/Vodicar</v>
      </c>
      <c r="BG782" s="1" t="s">
        <v>74</v>
      </c>
      <c r="BH782" s="1" t="s">
        <v>74</v>
      </c>
      <c r="BI782" s="1">
        <v>13.0</v>
      </c>
      <c r="BJ782" s="1" t="s">
        <v>2646</v>
      </c>
      <c r="BK782" s="1" t="s">
        <v>172</v>
      </c>
      <c r="BL782" s="1" t="s">
        <v>2646</v>
      </c>
      <c r="BM782" s="1" t="s">
        <v>15732</v>
      </c>
      <c r="BN782" s="1" t="s">
        <v>74</v>
      </c>
      <c r="BO782" s="1" t="s">
        <v>74</v>
      </c>
      <c r="BP782" s="1" t="s">
        <v>74</v>
      </c>
      <c r="BQ782" s="1" t="s">
        <v>74</v>
      </c>
      <c r="BR782" s="1" t="s">
        <v>102</v>
      </c>
      <c r="BS782" s="1" t="s">
        <v>15733</v>
      </c>
      <c r="BT782" s="1" t="str">
        <f>HYPERLINK("https%3A%2F%2Fwww.webofscience.com%2Fwos%2Fwoscc%2Ffull-record%2FWOS:001385905600012","View Full Record in Web of Science")</f>
        <v>View Full Record in Web of Science</v>
      </c>
    </row>
    <row r="783" ht="12.75" customHeight="1">
      <c r="A783" s="1" t="s">
        <v>132</v>
      </c>
      <c r="B783" s="1" t="s">
        <v>15734</v>
      </c>
      <c r="C783" s="1" t="s">
        <v>74</v>
      </c>
      <c r="D783" s="1" t="s">
        <v>74</v>
      </c>
      <c r="E783" s="1" t="s">
        <v>74</v>
      </c>
      <c r="F783" s="1" t="s">
        <v>15735</v>
      </c>
      <c r="G783" s="1" t="s">
        <v>74</v>
      </c>
      <c r="H783" s="1" t="s">
        <v>74</v>
      </c>
      <c r="I783" s="1" t="s">
        <v>15736</v>
      </c>
      <c r="J783" s="1" t="s">
        <v>13580</v>
      </c>
      <c r="K783" s="1" t="s">
        <v>74</v>
      </c>
      <c r="L783" s="1" t="s">
        <v>74</v>
      </c>
      <c r="M783" s="1" t="s">
        <v>80</v>
      </c>
      <c r="N783" s="1" t="s">
        <v>1010</v>
      </c>
      <c r="O783" s="1" t="s">
        <v>74</v>
      </c>
      <c r="P783" s="1" t="s">
        <v>74</v>
      </c>
      <c r="Q783" s="1" t="s">
        <v>74</v>
      </c>
      <c r="R783" s="1" t="s">
        <v>74</v>
      </c>
      <c r="S783" s="1" t="s">
        <v>74</v>
      </c>
      <c r="T783" s="1" t="s">
        <v>15737</v>
      </c>
      <c r="U783" s="1" t="s">
        <v>15738</v>
      </c>
      <c r="V783" s="1" t="s">
        <v>15739</v>
      </c>
      <c r="W783" s="1" t="s">
        <v>15740</v>
      </c>
      <c r="X783" s="1" t="s">
        <v>15741</v>
      </c>
      <c r="Y783" s="1" t="s">
        <v>15742</v>
      </c>
      <c r="Z783" s="1" t="s">
        <v>15743</v>
      </c>
      <c r="AA783" s="1" t="s">
        <v>15744</v>
      </c>
      <c r="AB783" s="1" t="s">
        <v>15745</v>
      </c>
      <c r="AC783" s="1" t="s">
        <v>74</v>
      </c>
      <c r="AD783" s="1" t="s">
        <v>74</v>
      </c>
      <c r="AE783" s="1" t="s">
        <v>74</v>
      </c>
      <c r="AF783" s="1" t="s">
        <v>74</v>
      </c>
      <c r="AG783" s="1">
        <v>126.0</v>
      </c>
      <c r="AH783" s="1">
        <v>87.0</v>
      </c>
      <c r="AI783" s="1">
        <v>88.0</v>
      </c>
      <c r="AJ783" s="1">
        <v>60.0</v>
      </c>
      <c r="AK783" s="1">
        <v>108.0</v>
      </c>
      <c r="AL783" s="1" t="s">
        <v>192</v>
      </c>
      <c r="AM783" s="1" t="s">
        <v>193</v>
      </c>
      <c r="AN783" s="1" t="s">
        <v>194</v>
      </c>
      <c r="AO783" s="1" t="s">
        <v>13590</v>
      </c>
      <c r="AP783" s="1" t="s">
        <v>13591</v>
      </c>
      <c r="AQ783" s="1" t="s">
        <v>74</v>
      </c>
      <c r="AR783" s="1" t="s">
        <v>13592</v>
      </c>
      <c r="AS783" s="1" t="s">
        <v>13593</v>
      </c>
      <c r="AT783" s="1" t="s">
        <v>870</v>
      </c>
      <c r="AU783" s="1">
        <v>2024.0</v>
      </c>
      <c r="AV783" s="1">
        <v>42.0</v>
      </c>
      <c r="AW783" s="1">
        <v>1.0</v>
      </c>
      <c r="AX783" s="1" t="s">
        <v>74</v>
      </c>
      <c r="AY783" s="1" t="s">
        <v>74</v>
      </c>
      <c r="AZ783" s="1" t="s">
        <v>74</v>
      </c>
      <c r="BA783" s="1" t="s">
        <v>74</v>
      </c>
      <c r="BB783" s="1">
        <v>3.0</v>
      </c>
      <c r="BC783" s="1">
        <v>15.0</v>
      </c>
      <c r="BD783" s="1" t="s">
        <v>74</v>
      </c>
      <c r="BE783" s="1" t="s">
        <v>15746</v>
      </c>
      <c r="BF783" s="2" t="str">
        <f>HYPERLINK("http://dx.doi.org/10.1007/s11604-023-01474-3","http://dx.doi.org/10.1007/s11604-023-01474-3")</f>
        <v>http://dx.doi.org/10.1007/s11604-023-01474-3</v>
      </c>
      <c r="BG783" s="1" t="s">
        <v>74</v>
      </c>
      <c r="BH783" s="1" t="s">
        <v>5321</v>
      </c>
      <c r="BI783" s="1">
        <v>13.0</v>
      </c>
      <c r="BJ783" s="1" t="s">
        <v>656</v>
      </c>
      <c r="BK783" s="1" t="s">
        <v>149</v>
      </c>
      <c r="BL783" s="1" t="s">
        <v>656</v>
      </c>
      <c r="BM783" s="1" t="s">
        <v>15747</v>
      </c>
      <c r="BN783" s="1">
        <v>3.7540463E7</v>
      </c>
      <c r="BO783" s="1" t="s">
        <v>306</v>
      </c>
      <c r="BP783" s="1" t="s">
        <v>74</v>
      </c>
      <c r="BQ783" s="1" t="s">
        <v>74</v>
      </c>
      <c r="BR783" s="1" t="s">
        <v>102</v>
      </c>
      <c r="BS783" s="1" t="s">
        <v>15748</v>
      </c>
      <c r="BT783" s="1" t="str">
        <f>HYPERLINK("https%3A%2F%2Fwww.webofscience.com%2Fwos%2Fwoscc%2Ffull-record%2FWOS:001043049800002","View Full Record in Web of Science")</f>
        <v>View Full Record in Web of Science</v>
      </c>
    </row>
    <row r="784" ht="12.75" customHeight="1">
      <c r="A784" s="1" t="s">
        <v>132</v>
      </c>
      <c r="B784" s="1" t="s">
        <v>15749</v>
      </c>
      <c r="C784" s="1" t="s">
        <v>74</v>
      </c>
      <c r="D784" s="1" t="s">
        <v>74</v>
      </c>
      <c r="E784" s="1" t="s">
        <v>74</v>
      </c>
      <c r="F784" s="1" t="s">
        <v>15750</v>
      </c>
      <c r="G784" s="1" t="s">
        <v>74</v>
      </c>
      <c r="H784" s="1" t="s">
        <v>74</v>
      </c>
      <c r="I784" s="1" t="s">
        <v>15751</v>
      </c>
      <c r="J784" s="1" t="s">
        <v>15752</v>
      </c>
      <c r="K784" s="1" t="s">
        <v>74</v>
      </c>
      <c r="L784" s="1" t="s">
        <v>74</v>
      </c>
      <c r="M784" s="1" t="s">
        <v>638</v>
      </c>
      <c r="N784" s="1" t="s">
        <v>1010</v>
      </c>
      <c r="O784" s="1" t="s">
        <v>74</v>
      </c>
      <c r="P784" s="1" t="s">
        <v>74</v>
      </c>
      <c r="Q784" s="1" t="s">
        <v>74</v>
      </c>
      <c r="R784" s="1" t="s">
        <v>74</v>
      </c>
      <c r="S784" s="1" t="s">
        <v>74</v>
      </c>
      <c r="T784" s="1" t="s">
        <v>15753</v>
      </c>
      <c r="U784" s="1" t="s">
        <v>15754</v>
      </c>
      <c r="V784" s="1" t="s">
        <v>15755</v>
      </c>
      <c r="W784" s="1" t="s">
        <v>15756</v>
      </c>
      <c r="X784" s="1" t="s">
        <v>15757</v>
      </c>
      <c r="Y784" s="1" t="s">
        <v>15758</v>
      </c>
      <c r="Z784" s="1" t="s">
        <v>15759</v>
      </c>
      <c r="AA784" s="1" t="s">
        <v>74</v>
      </c>
      <c r="AB784" s="1" t="s">
        <v>15760</v>
      </c>
      <c r="AC784" s="1" t="s">
        <v>74</v>
      </c>
      <c r="AD784" s="1" t="s">
        <v>74</v>
      </c>
      <c r="AE784" s="1" t="s">
        <v>74</v>
      </c>
      <c r="AF784" s="1" t="s">
        <v>74</v>
      </c>
      <c r="AG784" s="1">
        <v>159.0</v>
      </c>
      <c r="AH784" s="1">
        <v>3.0</v>
      </c>
      <c r="AI784" s="1">
        <v>4.0</v>
      </c>
      <c r="AJ784" s="1">
        <v>19.0</v>
      </c>
      <c r="AK784" s="1">
        <v>83.0</v>
      </c>
      <c r="AL784" s="1" t="s">
        <v>15761</v>
      </c>
      <c r="AM784" s="1" t="s">
        <v>15762</v>
      </c>
      <c r="AN784" s="1" t="s">
        <v>15763</v>
      </c>
      <c r="AO784" s="1" t="s">
        <v>15764</v>
      </c>
      <c r="AP784" s="1" t="s">
        <v>15765</v>
      </c>
      <c r="AQ784" s="1" t="s">
        <v>74</v>
      </c>
      <c r="AR784" s="1" t="s">
        <v>15766</v>
      </c>
      <c r="AS784" s="1" t="s">
        <v>15767</v>
      </c>
      <c r="AT784" s="1" t="s">
        <v>4393</v>
      </c>
      <c r="AU784" s="1">
        <v>2022.0</v>
      </c>
      <c r="AV784" s="1">
        <v>13.0</v>
      </c>
      <c r="AW784" s="1">
        <v>1.0</v>
      </c>
      <c r="AX784" s="1" t="s">
        <v>74</v>
      </c>
      <c r="AY784" s="1" t="s">
        <v>74</v>
      </c>
      <c r="AZ784" s="1" t="s">
        <v>74</v>
      </c>
      <c r="BA784" s="1" t="s">
        <v>74</v>
      </c>
      <c r="BB784" s="1">
        <v>79.0</v>
      </c>
      <c r="BC784" s="1">
        <v>96.0</v>
      </c>
      <c r="BD784" s="1" t="s">
        <v>74</v>
      </c>
      <c r="BE784" s="1" t="s">
        <v>15768</v>
      </c>
      <c r="BF784" s="2" t="str">
        <f>HYPERLINK("http://dx.doi.org/10.17268/sci.agropecu.2022.008","http://dx.doi.org/10.17268/sci.agropecu.2022.008")</f>
        <v>http://dx.doi.org/10.17268/sci.agropecu.2022.008</v>
      </c>
      <c r="BG784" s="1" t="s">
        <v>74</v>
      </c>
      <c r="BH784" s="1" t="s">
        <v>74</v>
      </c>
      <c r="BI784" s="1">
        <v>18.0</v>
      </c>
      <c r="BJ784" s="1" t="s">
        <v>15769</v>
      </c>
      <c r="BK784" s="1" t="s">
        <v>172</v>
      </c>
      <c r="BL784" s="1" t="s">
        <v>10870</v>
      </c>
      <c r="BM784" s="1" t="s">
        <v>15770</v>
      </c>
      <c r="BN784" s="1" t="s">
        <v>74</v>
      </c>
      <c r="BO784" s="1" t="s">
        <v>174</v>
      </c>
      <c r="BP784" s="1" t="s">
        <v>74</v>
      </c>
      <c r="BQ784" s="1" t="s">
        <v>74</v>
      </c>
      <c r="BR784" s="1" t="s">
        <v>102</v>
      </c>
      <c r="BS784" s="1" t="s">
        <v>15771</v>
      </c>
      <c r="BT784" s="1" t="str">
        <f>HYPERLINK("https%3A%2F%2Fwww.webofscience.com%2Fwos%2Fwoscc%2Ffull-record%2FWOS:000788200600008","View Full Record in Web of Science")</f>
        <v>View Full Record in Web of Science</v>
      </c>
    </row>
    <row r="785" ht="12.75" customHeight="1">
      <c r="A785" s="1" t="s">
        <v>72</v>
      </c>
      <c r="B785" s="1" t="s">
        <v>15772</v>
      </c>
      <c r="C785" s="1" t="s">
        <v>74</v>
      </c>
      <c r="D785" s="1" t="s">
        <v>15773</v>
      </c>
      <c r="E785" s="1" t="s">
        <v>74</v>
      </c>
      <c r="F785" s="1" t="s">
        <v>15774</v>
      </c>
      <c r="G785" s="1" t="s">
        <v>74</v>
      </c>
      <c r="H785" s="1" t="s">
        <v>74</v>
      </c>
      <c r="I785" s="1" t="s">
        <v>15775</v>
      </c>
      <c r="J785" s="1" t="s">
        <v>15776</v>
      </c>
      <c r="K785" s="1" t="s">
        <v>414</v>
      </c>
      <c r="L785" s="1" t="s">
        <v>74</v>
      </c>
      <c r="M785" s="1" t="s">
        <v>80</v>
      </c>
      <c r="N785" s="1" t="s">
        <v>81</v>
      </c>
      <c r="O785" s="1" t="s">
        <v>15777</v>
      </c>
      <c r="P785" s="1" t="s">
        <v>15778</v>
      </c>
      <c r="Q785" s="1" t="s">
        <v>15779</v>
      </c>
      <c r="R785" s="1" t="s">
        <v>74</v>
      </c>
      <c r="S785" s="1" t="s">
        <v>74</v>
      </c>
      <c r="T785" s="1" t="s">
        <v>15780</v>
      </c>
      <c r="U785" s="1" t="s">
        <v>15781</v>
      </c>
      <c r="V785" s="1" t="s">
        <v>15782</v>
      </c>
      <c r="W785" s="1" t="s">
        <v>15783</v>
      </c>
      <c r="X785" s="1" t="s">
        <v>74</v>
      </c>
      <c r="Y785" s="1" t="s">
        <v>15784</v>
      </c>
      <c r="Z785" s="1" t="s">
        <v>15785</v>
      </c>
      <c r="AA785" s="1" t="s">
        <v>15786</v>
      </c>
      <c r="AB785" s="1" t="s">
        <v>74</v>
      </c>
      <c r="AC785" s="1" t="s">
        <v>74</v>
      </c>
      <c r="AD785" s="1" t="s">
        <v>74</v>
      </c>
      <c r="AE785" s="1" t="s">
        <v>74</v>
      </c>
      <c r="AF785" s="1" t="s">
        <v>74</v>
      </c>
      <c r="AG785" s="1">
        <v>18.0</v>
      </c>
      <c r="AH785" s="1">
        <v>0.0</v>
      </c>
      <c r="AI785" s="1">
        <v>0.0</v>
      </c>
      <c r="AJ785" s="1">
        <v>7.0</v>
      </c>
      <c r="AK785" s="1">
        <v>7.0</v>
      </c>
      <c r="AL785" s="1" t="s">
        <v>223</v>
      </c>
      <c r="AM785" s="1" t="s">
        <v>224</v>
      </c>
      <c r="AN785" s="1" t="s">
        <v>225</v>
      </c>
      <c r="AO785" s="1" t="s">
        <v>430</v>
      </c>
      <c r="AP785" s="1" t="s">
        <v>431</v>
      </c>
      <c r="AQ785" s="1" t="s">
        <v>15787</v>
      </c>
      <c r="AR785" s="1" t="s">
        <v>433</v>
      </c>
      <c r="AS785" s="1" t="s">
        <v>74</v>
      </c>
      <c r="AT785" s="1" t="s">
        <v>74</v>
      </c>
      <c r="AU785" s="1">
        <v>2024.0</v>
      </c>
      <c r="AV785" s="1">
        <v>1948.0</v>
      </c>
      <c r="AW785" s="1" t="s">
        <v>74</v>
      </c>
      <c r="AX785" s="1" t="s">
        <v>74</v>
      </c>
      <c r="AY785" s="1" t="s">
        <v>74</v>
      </c>
      <c r="AZ785" s="1" t="s">
        <v>74</v>
      </c>
      <c r="BA785" s="1" t="s">
        <v>74</v>
      </c>
      <c r="BB785" s="1">
        <v>76.0</v>
      </c>
      <c r="BC785" s="1">
        <v>86.0</v>
      </c>
      <c r="BD785" s="1" t="s">
        <v>74</v>
      </c>
      <c r="BE785" s="1" t="s">
        <v>15788</v>
      </c>
      <c r="BF785" s="2" t="str">
        <f>HYPERLINK("http://dx.doi.org/10.1007/978-3-031-50485-3_6","http://dx.doi.org/10.1007/978-3-031-50485-3_6")</f>
        <v>http://dx.doi.org/10.1007/978-3-031-50485-3_6</v>
      </c>
      <c r="BG785" s="1" t="s">
        <v>74</v>
      </c>
      <c r="BH785" s="1" t="s">
        <v>74</v>
      </c>
      <c r="BI785" s="1">
        <v>11.0</v>
      </c>
      <c r="BJ785" s="1" t="s">
        <v>1214</v>
      </c>
      <c r="BK785" s="1" t="s">
        <v>128</v>
      </c>
      <c r="BL785" s="1" t="s">
        <v>232</v>
      </c>
      <c r="BM785" s="1" t="s">
        <v>15789</v>
      </c>
      <c r="BN785" s="1" t="s">
        <v>74</v>
      </c>
      <c r="BO785" s="1" t="s">
        <v>74</v>
      </c>
      <c r="BP785" s="1" t="s">
        <v>74</v>
      </c>
      <c r="BQ785" s="1" t="s">
        <v>74</v>
      </c>
      <c r="BR785" s="1" t="s">
        <v>102</v>
      </c>
      <c r="BS785" s="1" t="s">
        <v>15790</v>
      </c>
      <c r="BT785" s="1" t="str">
        <f>HYPERLINK("https%3A%2F%2Fwww.webofscience.com%2Fwos%2Fwoscc%2Ffull-record%2FWOS:001259355800006","View Full Record in Web of Science")</f>
        <v>View Full Record in Web of Science</v>
      </c>
    </row>
    <row r="786" ht="12.75" customHeight="1">
      <c r="A786" s="1" t="s">
        <v>132</v>
      </c>
      <c r="B786" s="1" t="s">
        <v>15791</v>
      </c>
      <c r="C786" s="1" t="s">
        <v>74</v>
      </c>
      <c r="D786" s="1" t="s">
        <v>74</v>
      </c>
      <c r="E786" s="1" t="s">
        <v>74</v>
      </c>
      <c r="F786" s="1" t="s">
        <v>15792</v>
      </c>
      <c r="G786" s="1" t="s">
        <v>74</v>
      </c>
      <c r="H786" s="1" t="s">
        <v>74</v>
      </c>
      <c r="I786" s="1" t="s">
        <v>15793</v>
      </c>
      <c r="J786" s="1" t="s">
        <v>15794</v>
      </c>
      <c r="K786" s="1" t="s">
        <v>74</v>
      </c>
      <c r="L786" s="1" t="s">
        <v>74</v>
      </c>
      <c r="M786" s="1" t="s">
        <v>3863</v>
      </c>
      <c r="N786" s="1" t="s">
        <v>136</v>
      </c>
      <c r="O786" s="1" t="s">
        <v>74</v>
      </c>
      <c r="P786" s="1" t="s">
        <v>74</v>
      </c>
      <c r="Q786" s="1" t="s">
        <v>74</v>
      </c>
      <c r="R786" s="1" t="s">
        <v>74</v>
      </c>
      <c r="S786" s="1" t="s">
        <v>74</v>
      </c>
      <c r="T786" s="1" t="s">
        <v>15795</v>
      </c>
      <c r="U786" s="1" t="s">
        <v>74</v>
      </c>
      <c r="V786" s="1" t="s">
        <v>15796</v>
      </c>
      <c r="W786" s="1" t="s">
        <v>15797</v>
      </c>
      <c r="X786" s="1" t="s">
        <v>15798</v>
      </c>
      <c r="Y786" s="1" t="s">
        <v>15799</v>
      </c>
      <c r="Z786" s="1" t="s">
        <v>15800</v>
      </c>
      <c r="AA786" s="1" t="s">
        <v>74</v>
      </c>
      <c r="AB786" s="1" t="s">
        <v>74</v>
      </c>
      <c r="AC786" s="1" t="s">
        <v>15801</v>
      </c>
      <c r="AD786" s="1" t="s">
        <v>9806</v>
      </c>
      <c r="AE786" s="1" t="s">
        <v>15802</v>
      </c>
      <c r="AF786" s="1" t="s">
        <v>74</v>
      </c>
      <c r="AG786" s="1">
        <v>20.0</v>
      </c>
      <c r="AH786" s="1">
        <v>0.0</v>
      </c>
      <c r="AI786" s="1">
        <v>0.0</v>
      </c>
      <c r="AJ786" s="1">
        <v>3.0</v>
      </c>
      <c r="AK786" s="1">
        <v>16.0</v>
      </c>
      <c r="AL786" s="1" t="s">
        <v>15803</v>
      </c>
      <c r="AM786" s="1" t="s">
        <v>15804</v>
      </c>
      <c r="AN786" s="1" t="s">
        <v>15805</v>
      </c>
      <c r="AO786" s="1" t="s">
        <v>15806</v>
      </c>
      <c r="AP786" s="1" t="s">
        <v>15807</v>
      </c>
      <c r="AQ786" s="1" t="s">
        <v>74</v>
      </c>
      <c r="AR786" s="1" t="s">
        <v>15808</v>
      </c>
      <c r="AS786" s="1" t="s">
        <v>15809</v>
      </c>
      <c r="AT786" s="1" t="s">
        <v>74</v>
      </c>
      <c r="AU786" s="1">
        <v>2022.0</v>
      </c>
      <c r="AV786" s="1">
        <v>13.0</v>
      </c>
      <c r="AW786" s="1">
        <v>1.0</v>
      </c>
      <c r="AX786" s="1" t="s">
        <v>74</v>
      </c>
      <c r="AY786" s="1" t="s">
        <v>74</v>
      </c>
      <c r="AZ786" s="1" t="s">
        <v>74</v>
      </c>
      <c r="BA786" s="1" t="s">
        <v>74</v>
      </c>
      <c r="BB786" s="1">
        <v>5.0</v>
      </c>
      <c r="BC786" s="1">
        <v>27.0</v>
      </c>
      <c r="BD786" s="1" t="s">
        <v>74</v>
      </c>
      <c r="BE786" s="1" t="s">
        <v>15810</v>
      </c>
      <c r="BF786" s="2" t="str">
        <f>HYPERLINK("http://dx.doi.org/10.21638/spbu14.2022.101","http://dx.doi.org/10.21638/spbu14.2022.101")</f>
        <v>http://dx.doi.org/10.21638/spbu14.2022.101</v>
      </c>
      <c r="BG786" s="1" t="s">
        <v>74</v>
      </c>
      <c r="BH786" s="1" t="s">
        <v>74</v>
      </c>
      <c r="BI786" s="1">
        <v>23.0</v>
      </c>
      <c r="BJ786" s="1" t="s">
        <v>915</v>
      </c>
      <c r="BK786" s="1" t="s">
        <v>172</v>
      </c>
      <c r="BL786" s="1" t="s">
        <v>916</v>
      </c>
      <c r="BM786" s="1" t="s">
        <v>15811</v>
      </c>
      <c r="BN786" s="1" t="s">
        <v>74</v>
      </c>
      <c r="BO786" s="1" t="s">
        <v>2204</v>
      </c>
      <c r="BP786" s="1" t="s">
        <v>74</v>
      </c>
      <c r="BQ786" s="1" t="s">
        <v>74</v>
      </c>
      <c r="BR786" s="1" t="s">
        <v>102</v>
      </c>
      <c r="BS786" s="1" t="s">
        <v>15812</v>
      </c>
      <c r="BT786" s="1" t="str">
        <f>HYPERLINK("https%3A%2F%2Fwww.webofscience.com%2Fwos%2Fwoscc%2Ffull-record%2FWOS:000806210500001","View Full Record in Web of Science")</f>
        <v>View Full Record in Web of Science</v>
      </c>
    </row>
    <row r="787" ht="12.75" customHeight="1">
      <c r="A787" s="1" t="s">
        <v>132</v>
      </c>
      <c r="B787" s="1" t="s">
        <v>15813</v>
      </c>
      <c r="C787" s="1" t="s">
        <v>74</v>
      </c>
      <c r="D787" s="1" t="s">
        <v>74</v>
      </c>
      <c r="E787" s="1" t="s">
        <v>74</v>
      </c>
      <c r="F787" s="1" t="s">
        <v>15814</v>
      </c>
      <c r="G787" s="1" t="s">
        <v>74</v>
      </c>
      <c r="H787" s="1" t="s">
        <v>74</v>
      </c>
      <c r="I787" s="1" t="s">
        <v>15815</v>
      </c>
      <c r="J787" s="1" t="s">
        <v>15816</v>
      </c>
      <c r="K787" s="1" t="s">
        <v>74</v>
      </c>
      <c r="L787" s="1" t="s">
        <v>74</v>
      </c>
      <c r="M787" s="1" t="s">
        <v>80</v>
      </c>
      <c r="N787" s="1" t="s">
        <v>10638</v>
      </c>
      <c r="O787" s="1" t="s">
        <v>74</v>
      </c>
      <c r="P787" s="1" t="s">
        <v>74</v>
      </c>
      <c r="Q787" s="1" t="s">
        <v>74</v>
      </c>
      <c r="R787" s="1" t="s">
        <v>74</v>
      </c>
      <c r="S787" s="1" t="s">
        <v>74</v>
      </c>
      <c r="T787" s="1" t="s">
        <v>15817</v>
      </c>
      <c r="U787" s="1" t="s">
        <v>15818</v>
      </c>
      <c r="V787" s="1" t="s">
        <v>15819</v>
      </c>
      <c r="W787" s="1" t="s">
        <v>15820</v>
      </c>
      <c r="X787" s="1" t="s">
        <v>15821</v>
      </c>
      <c r="Y787" s="1" t="s">
        <v>15822</v>
      </c>
      <c r="Z787" s="1" t="s">
        <v>15823</v>
      </c>
      <c r="AA787" s="1" t="s">
        <v>15824</v>
      </c>
      <c r="AB787" s="1" t="s">
        <v>15825</v>
      </c>
      <c r="AC787" s="1" t="s">
        <v>15826</v>
      </c>
      <c r="AD787" s="1" t="s">
        <v>15826</v>
      </c>
      <c r="AE787" s="1" t="s">
        <v>15827</v>
      </c>
      <c r="AF787" s="1" t="s">
        <v>74</v>
      </c>
      <c r="AG787" s="1">
        <v>80.0</v>
      </c>
      <c r="AH787" s="1">
        <v>2.0</v>
      </c>
      <c r="AI787" s="1">
        <v>2.0</v>
      </c>
      <c r="AJ787" s="1">
        <v>39.0</v>
      </c>
      <c r="AK787" s="1">
        <v>58.0</v>
      </c>
      <c r="AL787" s="1" t="s">
        <v>9789</v>
      </c>
      <c r="AM787" s="1" t="s">
        <v>9790</v>
      </c>
      <c r="AN787" s="1" t="s">
        <v>9791</v>
      </c>
      <c r="AO787" s="1" t="s">
        <v>15828</v>
      </c>
      <c r="AP787" s="1" t="s">
        <v>15829</v>
      </c>
      <c r="AQ787" s="1" t="s">
        <v>74</v>
      </c>
      <c r="AR787" s="1" t="s">
        <v>15830</v>
      </c>
      <c r="AS787" s="1" t="s">
        <v>15831</v>
      </c>
      <c r="AT787" s="1" t="s">
        <v>15832</v>
      </c>
      <c r="AU787" s="1">
        <v>2024.0</v>
      </c>
      <c r="AV787" s="1" t="s">
        <v>74</v>
      </c>
      <c r="AW787" s="1" t="s">
        <v>74</v>
      </c>
      <c r="AX787" s="1" t="s">
        <v>74</v>
      </c>
      <c r="AY787" s="1" t="s">
        <v>74</v>
      </c>
      <c r="AZ787" s="1" t="s">
        <v>74</v>
      </c>
      <c r="BA787" s="1" t="s">
        <v>74</v>
      </c>
      <c r="BB787" s="1" t="s">
        <v>74</v>
      </c>
      <c r="BC787" s="1" t="s">
        <v>74</v>
      </c>
      <c r="BD787" s="1" t="s">
        <v>74</v>
      </c>
      <c r="BE787" s="1" t="s">
        <v>15833</v>
      </c>
      <c r="BF787" s="2" t="str">
        <f>HYPERLINK("http://dx.doi.org/10.1089/ten.teb.2024.0022","http://dx.doi.org/10.1089/ten.teb.2024.0022")</f>
        <v>http://dx.doi.org/10.1089/ten.teb.2024.0022</v>
      </c>
      <c r="BG787" s="1" t="s">
        <v>74</v>
      </c>
      <c r="BH787" s="1" t="s">
        <v>580</v>
      </c>
      <c r="BI787" s="1">
        <v>13.0</v>
      </c>
      <c r="BJ787" s="1" t="s">
        <v>15834</v>
      </c>
      <c r="BK787" s="1" t="s">
        <v>149</v>
      </c>
      <c r="BL787" s="1" t="s">
        <v>15835</v>
      </c>
      <c r="BM787" s="1" t="s">
        <v>15836</v>
      </c>
      <c r="BN787" s="1">
        <v>3.8581425E7</v>
      </c>
      <c r="BO787" s="1" t="s">
        <v>74</v>
      </c>
      <c r="BP787" s="1" t="s">
        <v>74</v>
      </c>
      <c r="BQ787" s="1" t="s">
        <v>74</v>
      </c>
      <c r="BR787" s="1" t="s">
        <v>102</v>
      </c>
      <c r="BS787" s="1" t="s">
        <v>15837</v>
      </c>
      <c r="BT787" s="1" t="str">
        <f>HYPERLINK("https%3A%2F%2Fwww.webofscience.com%2Fwos%2Fwoscc%2Ffull-record%2FWOS:001206471700001","View Full Record in Web of Science")</f>
        <v>View Full Record in Web of Science</v>
      </c>
    </row>
    <row r="788" ht="12.75" customHeight="1">
      <c r="A788" s="1" t="s">
        <v>132</v>
      </c>
      <c r="B788" s="1" t="s">
        <v>15838</v>
      </c>
      <c r="C788" s="1" t="s">
        <v>74</v>
      </c>
      <c r="D788" s="1" t="s">
        <v>74</v>
      </c>
      <c r="E788" s="1" t="s">
        <v>74</v>
      </c>
      <c r="F788" s="1" t="s">
        <v>15839</v>
      </c>
      <c r="G788" s="1" t="s">
        <v>74</v>
      </c>
      <c r="H788" s="1" t="s">
        <v>74</v>
      </c>
      <c r="I788" s="1" t="s">
        <v>15840</v>
      </c>
      <c r="J788" s="1" t="s">
        <v>15841</v>
      </c>
      <c r="K788" s="1" t="s">
        <v>74</v>
      </c>
      <c r="L788" s="1" t="s">
        <v>74</v>
      </c>
      <c r="M788" s="1" t="s">
        <v>80</v>
      </c>
      <c r="N788" s="1" t="s">
        <v>1010</v>
      </c>
      <c r="O788" s="1" t="s">
        <v>74</v>
      </c>
      <c r="P788" s="1" t="s">
        <v>74</v>
      </c>
      <c r="Q788" s="1" t="s">
        <v>74</v>
      </c>
      <c r="R788" s="1" t="s">
        <v>74</v>
      </c>
      <c r="S788" s="1" t="s">
        <v>74</v>
      </c>
      <c r="T788" s="1" t="s">
        <v>15842</v>
      </c>
      <c r="U788" s="1" t="s">
        <v>15843</v>
      </c>
      <c r="V788" s="1" t="s">
        <v>15844</v>
      </c>
      <c r="W788" s="1" t="s">
        <v>15845</v>
      </c>
      <c r="X788" s="1" t="s">
        <v>15846</v>
      </c>
      <c r="Y788" s="1" t="s">
        <v>15847</v>
      </c>
      <c r="Z788" s="1" t="s">
        <v>15848</v>
      </c>
      <c r="AA788" s="1" t="s">
        <v>74</v>
      </c>
      <c r="AB788" s="1" t="s">
        <v>15849</v>
      </c>
      <c r="AC788" s="1" t="s">
        <v>74</v>
      </c>
      <c r="AD788" s="1" t="s">
        <v>74</v>
      </c>
      <c r="AE788" s="1" t="s">
        <v>74</v>
      </c>
      <c r="AF788" s="1" t="s">
        <v>74</v>
      </c>
      <c r="AG788" s="1">
        <v>54.0</v>
      </c>
      <c r="AH788" s="1">
        <v>36.0</v>
      </c>
      <c r="AI788" s="1">
        <v>37.0</v>
      </c>
      <c r="AJ788" s="1">
        <v>3.0</v>
      </c>
      <c r="AK788" s="1">
        <v>24.0</v>
      </c>
      <c r="AL788" s="1" t="s">
        <v>15850</v>
      </c>
      <c r="AM788" s="1" t="s">
        <v>11006</v>
      </c>
      <c r="AN788" s="1" t="s">
        <v>15851</v>
      </c>
      <c r="AO788" s="1" t="s">
        <v>15852</v>
      </c>
      <c r="AP788" s="1" t="s">
        <v>15853</v>
      </c>
      <c r="AQ788" s="1" t="s">
        <v>74</v>
      </c>
      <c r="AR788" s="1" t="s">
        <v>15854</v>
      </c>
      <c r="AS788" s="1" t="s">
        <v>15855</v>
      </c>
      <c r="AT788" s="1" t="s">
        <v>1027</v>
      </c>
      <c r="AU788" s="1">
        <v>2020.0</v>
      </c>
      <c r="AV788" s="1">
        <v>53.0</v>
      </c>
      <c r="AW788" s="1">
        <v>2.0</v>
      </c>
      <c r="AX788" s="1" t="s">
        <v>74</v>
      </c>
      <c r="AY788" s="1" t="s">
        <v>74</v>
      </c>
      <c r="AZ788" s="1" t="s">
        <v>74</v>
      </c>
      <c r="BA788" s="1" t="s">
        <v>74</v>
      </c>
      <c r="BB788" s="1">
        <v>132.0</v>
      </c>
      <c r="BC788" s="1">
        <v>141.0</v>
      </c>
      <c r="BD788" s="1" t="s">
        <v>74</v>
      </c>
      <c r="BE788" s="1" t="s">
        <v>15856</v>
      </c>
      <c r="BF788" s="2" t="str">
        <f>HYPERLINK("http://dx.doi.org/10.5946/ce.2020.038","http://dx.doi.org/10.5946/ce.2020.038")</f>
        <v>http://dx.doi.org/10.5946/ce.2020.038</v>
      </c>
      <c r="BG788" s="1" t="s">
        <v>74</v>
      </c>
      <c r="BH788" s="1" t="s">
        <v>74</v>
      </c>
      <c r="BI788" s="1">
        <v>10.0</v>
      </c>
      <c r="BJ788" s="1" t="s">
        <v>1282</v>
      </c>
      <c r="BK788" s="1" t="s">
        <v>172</v>
      </c>
      <c r="BL788" s="1" t="s">
        <v>1282</v>
      </c>
      <c r="BM788" s="1" t="s">
        <v>15857</v>
      </c>
      <c r="BN788" s="1">
        <v>3.2252506E7</v>
      </c>
      <c r="BO788" s="1" t="s">
        <v>1161</v>
      </c>
      <c r="BP788" s="1" t="s">
        <v>74</v>
      </c>
      <c r="BQ788" s="1" t="s">
        <v>74</v>
      </c>
      <c r="BR788" s="1" t="s">
        <v>102</v>
      </c>
      <c r="BS788" s="1" t="s">
        <v>15858</v>
      </c>
      <c r="BT788" s="1" t="str">
        <f>HYPERLINK("https%3A%2F%2Fwww.webofscience.com%2Fwos%2Fwoscc%2Ffull-record%2FWOS:000522682300007","View Full Record in Web of Science")</f>
        <v>View Full Record in Web of Science</v>
      </c>
    </row>
    <row r="789" ht="12.75" customHeight="1">
      <c r="A789" s="1" t="s">
        <v>132</v>
      </c>
      <c r="B789" s="1" t="s">
        <v>15859</v>
      </c>
      <c r="C789" s="1" t="s">
        <v>74</v>
      </c>
      <c r="D789" s="1" t="s">
        <v>74</v>
      </c>
      <c r="E789" s="1" t="s">
        <v>74</v>
      </c>
      <c r="F789" s="1" t="s">
        <v>15860</v>
      </c>
      <c r="G789" s="1" t="s">
        <v>74</v>
      </c>
      <c r="H789" s="1" t="s">
        <v>74</v>
      </c>
      <c r="I789" s="1" t="s">
        <v>15861</v>
      </c>
      <c r="J789" s="1" t="s">
        <v>9652</v>
      </c>
      <c r="K789" s="1" t="s">
        <v>74</v>
      </c>
      <c r="L789" s="1" t="s">
        <v>74</v>
      </c>
      <c r="M789" s="1" t="s">
        <v>80</v>
      </c>
      <c r="N789" s="1" t="s">
        <v>1010</v>
      </c>
      <c r="O789" s="1" t="s">
        <v>74</v>
      </c>
      <c r="P789" s="1" t="s">
        <v>74</v>
      </c>
      <c r="Q789" s="1" t="s">
        <v>74</v>
      </c>
      <c r="R789" s="1" t="s">
        <v>74</v>
      </c>
      <c r="S789" s="1" t="s">
        <v>74</v>
      </c>
      <c r="T789" s="1" t="s">
        <v>15862</v>
      </c>
      <c r="U789" s="1" t="s">
        <v>15863</v>
      </c>
      <c r="V789" s="1" t="s">
        <v>15864</v>
      </c>
      <c r="W789" s="1" t="s">
        <v>15865</v>
      </c>
      <c r="X789" s="1" t="s">
        <v>15866</v>
      </c>
      <c r="Y789" s="1" t="s">
        <v>15867</v>
      </c>
      <c r="Z789" s="1" t="s">
        <v>15868</v>
      </c>
      <c r="AA789" s="1" t="s">
        <v>15869</v>
      </c>
      <c r="AB789" s="1" t="s">
        <v>15870</v>
      </c>
      <c r="AC789" s="1" t="s">
        <v>74</v>
      </c>
      <c r="AD789" s="1" t="s">
        <v>74</v>
      </c>
      <c r="AE789" s="1" t="s">
        <v>74</v>
      </c>
      <c r="AF789" s="1" t="s">
        <v>74</v>
      </c>
      <c r="AG789" s="1">
        <v>106.0</v>
      </c>
      <c r="AH789" s="1">
        <v>9.0</v>
      </c>
      <c r="AI789" s="1">
        <v>9.0</v>
      </c>
      <c r="AJ789" s="1">
        <v>1.0</v>
      </c>
      <c r="AK789" s="1">
        <v>15.0</v>
      </c>
      <c r="AL789" s="1" t="s">
        <v>1970</v>
      </c>
      <c r="AM789" s="1" t="s">
        <v>1658</v>
      </c>
      <c r="AN789" s="1" t="s">
        <v>1971</v>
      </c>
      <c r="AO789" s="1" t="s">
        <v>74</v>
      </c>
      <c r="AP789" s="1" t="s">
        <v>9662</v>
      </c>
      <c r="AQ789" s="1" t="s">
        <v>74</v>
      </c>
      <c r="AR789" s="1" t="s">
        <v>9652</v>
      </c>
      <c r="AS789" s="1" t="s">
        <v>9663</v>
      </c>
      <c r="AT789" s="1" t="s">
        <v>1253</v>
      </c>
      <c r="AU789" s="1">
        <v>2023.0</v>
      </c>
      <c r="AV789" s="1">
        <v>15.0</v>
      </c>
      <c r="AW789" s="1">
        <v>8.0</v>
      </c>
      <c r="AX789" s="1" t="s">
        <v>74</v>
      </c>
      <c r="AY789" s="1" t="s">
        <v>74</v>
      </c>
      <c r="AZ789" s="1" t="s">
        <v>74</v>
      </c>
      <c r="BA789" s="1" t="s">
        <v>74</v>
      </c>
      <c r="BB789" s="1" t="s">
        <v>74</v>
      </c>
      <c r="BC789" s="1" t="s">
        <v>74</v>
      </c>
      <c r="BD789" s="1">
        <v>2193.0</v>
      </c>
      <c r="BE789" s="1" t="s">
        <v>15871</v>
      </c>
      <c r="BF789" s="2" t="str">
        <f>HYPERLINK("http://dx.doi.org/10.3390/cancers15082193","http://dx.doi.org/10.3390/cancers15082193")</f>
        <v>http://dx.doi.org/10.3390/cancers15082193</v>
      </c>
      <c r="BG789" s="1" t="s">
        <v>74</v>
      </c>
      <c r="BH789" s="1" t="s">
        <v>74</v>
      </c>
      <c r="BI789" s="1">
        <v>15.0</v>
      </c>
      <c r="BJ789" s="1" t="s">
        <v>1904</v>
      </c>
      <c r="BK789" s="1" t="s">
        <v>149</v>
      </c>
      <c r="BL789" s="1" t="s">
        <v>1904</v>
      </c>
      <c r="BM789" s="1" t="s">
        <v>15872</v>
      </c>
      <c r="BN789" s="1">
        <v>3.7190122E7</v>
      </c>
      <c r="BO789" s="1" t="s">
        <v>284</v>
      </c>
      <c r="BP789" s="1" t="s">
        <v>74</v>
      </c>
      <c r="BQ789" s="1" t="s">
        <v>74</v>
      </c>
      <c r="BR789" s="1" t="s">
        <v>102</v>
      </c>
      <c r="BS789" s="1" t="s">
        <v>15873</v>
      </c>
      <c r="BT789" s="1" t="str">
        <f>HYPERLINK("https%3A%2F%2Fwww.webofscience.com%2Fwos%2Fwoscc%2Ffull-record%2FWOS:000977243200001","View Full Record in Web of Science")</f>
        <v>View Full Record in Web of Science</v>
      </c>
    </row>
    <row r="790" ht="12.75" customHeight="1">
      <c r="A790" s="1" t="s">
        <v>132</v>
      </c>
      <c r="B790" s="1" t="s">
        <v>15874</v>
      </c>
      <c r="C790" s="1" t="s">
        <v>74</v>
      </c>
      <c r="D790" s="1" t="s">
        <v>74</v>
      </c>
      <c r="E790" s="1" t="s">
        <v>74</v>
      </c>
      <c r="F790" s="1" t="s">
        <v>15875</v>
      </c>
      <c r="G790" s="1" t="s">
        <v>74</v>
      </c>
      <c r="H790" s="1" t="s">
        <v>74</v>
      </c>
      <c r="I790" s="1" t="s">
        <v>15876</v>
      </c>
      <c r="J790" s="1" t="s">
        <v>15877</v>
      </c>
      <c r="K790" s="1" t="s">
        <v>74</v>
      </c>
      <c r="L790" s="1" t="s">
        <v>74</v>
      </c>
      <c r="M790" s="1" t="s">
        <v>80</v>
      </c>
      <c r="N790" s="1" t="s">
        <v>136</v>
      </c>
      <c r="O790" s="1" t="s">
        <v>74</v>
      </c>
      <c r="P790" s="1" t="s">
        <v>74</v>
      </c>
      <c r="Q790" s="1" t="s">
        <v>74</v>
      </c>
      <c r="R790" s="1" t="s">
        <v>74</v>
      </c>
      <c r="S790" s="1" t="s">
        <v>74</v>
      </c>
      <c r="T790" s="1" t="s">
        <v>15878</v>
      </c>
      <c r="U790" s="1" t="s">
        <v>74</v>
      </c>
      <c r="V790" s="1" t="s">
        <v>15879</v>
      </c>
      <c r="W790" s="1" t="s">
        <v>15880</v>
      </c>
      <c r="X790" s="1" t="s">
        <v>15881</v>
      </c>
      <c r="Y790" s="1" t="s">
        <v>15882</v>
      </c>
      <c r="Z790" s="1" t="s">
        <v>15883</v>
      </c>
      <c r="AA790" s="1" t="s">
        <v>15884</v>
      </c>
      <c r="AB790" s="1" t="s">
        <v>15885</v>
      </c>
      <c r="AC790" s="1" t="s">
        <v>74</v>
      </c>
      <c r="AD790" s="1" t="s">
        <v>74</v>
      </c>
      <c r="AE790" s="1" t="s">
        <v>74</v>
      </c>
      <c r="AF790" s="1" t="s">
        <v>74</v>
      </c>
      <c r="AG790" s="1">
        <v>23.0</v>
      </c>
      <c r="AH790" s="1">
        <v>1.0</v>
      </c>
      <c r="AI790" s="1">
        <v>1.0</v>
      </c>
      <c r="AJ790" s="1">
        <v>19.0</v>
      </c>
      <c r="AK790" s="1">
        <v>79.0</v>
      </c>
      <c r="AL790" s="1" t="s">
        <v>15886</v>
      </c>
      <c r="AM790" s="1" t="s">
        <v>973</v>
      </c>
      <c r="AN790" s="1" t="s">
        <v>15887</v>
      </c>
      <c r="AO790" s="1" t="s">
        <v>15888</v>
      </c>
      <c r="AP790" s="1" t="s">
        <v>15889</v>
      </c>
      <c r="AQ790" s="1" t="s">
        <v>74</v>
      </c>
      <c r="AR790" s="1" t="s">
        <v>15890</v>
      </c>
      <c r="AS790" s="1" t="s">
        <v>15891</v>
      </c>
      <c r="AT790" s="1" t="s">
        <v>2098</v>
      </c>
      <c r="AU790" s="1">
        <v>2021.0</v>
      </c>
      <c r="AV790" s="1">
        <v>39.0</v>
      </c>
      <c r="AW790" s="1">
        <v>68.0</v>
      </c>
      <c r="AX790" s="1" t="s">
        <v>74</v>
      </c>
      <c r="AY790" s="1" t="s">
        <v>74</v>
      </c>
      <c r="AZ790" s="1" t="s">
        <v>74</v>
      </c>
      <c r="BA790" s="1" t="s">
        <v>74</v>
      </c>
      <c r="BB790" s="1">
        <v>505.0</v>
      </c>
      <c r="BC790" s="1">
        <v>519.0</v>
      </c>
      <c r="BD790" s="1" t="s">
        <v>74</v>
      </c>
      <c r="BE790" s="1" t="s">
        <v>15892</v>
      </c>
      <c r="BF790" s="2" t="str">
        <f>HYPERLINK("http://dx.doi.org/10.46398/cuestpol.3968.32","http://dx.doi.org/10.46398/cuestpol.3968.32")</f>
        <v>http://dx.doi.org/10.46398/cuestpol.3968.32</v>
      </c>
      <c r="BG790" s="1" t="s">
        <v>74</v>
      </c>
      <c r="BH790" s="1" t="s">
        <v>74</v>
      </c>
      <c r="BI790" s="1">
        <v>15.0</v>
      </c>
      <c r="BJ790" s="1" t="s">
        <v>7469</v>
      </c>
      <c r="BK790" s="1" t="s">
        <v>172</v>
      </c>
      <c r="BL790" s="1" t="s">
        <v>916</v>
      </c>
      <c r="BM790" s="1" t="s">
        <v>15893</v>
      </c>
      <c r="BN790" s="1" t="s">
        <v>74</v>
      </c>
      <c r="BO790" s="1" t="s">
        <v>174</v>
      </c>
      <c r="BP790" s="1" t="s">
        <v>74</v>
      </c>
      <c r="BQ790" s="1" t="s">
        <v>74</v>
      </c>
      <c r="BR790" s="1" t="s">
        <v>102</v>
      </c>
      <c r="BS790" s="1" t="s">
        <v>15894</v>
      </c>
      <c r="BT790" s="1" t="str">
        <f>HYPERLINK("https%3A%2F%2Fwww.webofscience.com%2Fwos%2Fwoscc%2Ffull-record%2FWOS:000627320500033","View Full Record in Web of Science")</f>
        <v>View Full Record in Web of Science</v>
      </c>
    </row>
    <row r="791" ht="12.75" customHeight="1">
      <c r="A791" s="1" t="s">
        <v>72</v>
      </c>
      <c r="B791" s="1" t="s">
        <v>15895</v>
      </c>
      <c r="C791" s="1" t="s">
        <v>74</v>
      </c>
      <c r="D791" s="1" t="s">
        <v>15896</v>
      </c>
      <c r="E791" s="1" t="s">
        <v>74</v>
      </c>
      <c r="F791" s="1" t="s">
        <v>15897</v>
      </c>
      <c r="G791" s="1" t="s">
        <v>74</v>
      </c>
      <c r="H791" s="1" t="s">
        <v>74</v>
      </c>
      <c r="I791" s="1" t="s">
        <v>15898</v>
      </c>
      <c r="J791" s="1" t="s">
        <v>15899</v>
      </c>
      <c r="K791" s="1" t="s">
        <v>15900</v>
      </c>
      <c r="L791" s="1" t="s">
        <v>74</v>
      </c>
      <c r="M791" s="1" t="s">
        <v>80</v>
      </c>
      <c r="N791" s="1" t="s">
        <v>81</v>
      </c>
      <c r="O791" s="1" t="s">
        <v>15901</v>
      </c>
      <c r="P791" s="1" t="s">
        <v>15902</v>
      </c>
      <c r="Q791" s="1" t="s">
        <v>15903</v>
      </c>
      <c r="R791" s="1" t="s">
        <v>15904</v>
      </c>
      <c r="S791" s="1" t="s">
        <v>15905</v>
      </c>
      <c r="T791" s="1" t="s">
        <v>15906</v>
      </c>
      <c r="U791" s="1" t="s">
        <v>74</v>
      </c>
      <c r="V791" s="1" t="s">
        <v>15907</v>
      </c>
      <c r="W791" s="1" t="s">
        <v>15908</v>
      </c>
      <c r="X791" s="1" t="s">
        <v>15909</v>
      </c>
      <c r="Y791" s="1" t="s">
        <v>15910</v>
      </c>
      <c r="Z791" s="1" t="s">
        <v>15911</v>
      </c>
      <c r="AA791" s="1" t="s">
        <v>74</v>
      </c>
      <c r="AB791" s="1" t="s">
        <v>74</v>
      </c>
      <c r="AC791" s="1" t="s">
        <v>74</v>
      </c>
      <c r="AD791" s="1" t="s">
        <v>74</v>
      </c>
      <c r="AE791" s="1" t="s">
        <v>74</v>
      </c>
      <c r="AF791" s="1" t="s">
        <v>74</v>
      </c>
      <c r="AG791" s="1">
        <v>32.0</v>
      </c>
      <c r="AH791" s="1">
        <v>1.0</v>
      </c>
      <c r="AI791" s="1">
        <v>1.0</v>
      </c>
      <c r="AJ791" s="1">
        <v>6.0</v>
      </c>
      <c r="AK791" s="1">
        <v>25.0</v>
      </c>
      <c r="AL791" s="1" t="s">
        <v>223</v>
      </c>
      <c r="AM791" s="1" t="s">
        <v>224</v>
      </c>
      <c r="AN791" s="1" t="s">
        <v>225</v>
      </c>
      <c r="AO791" s="1" t="s">
        <v>15912</v>
      </c>
      <c r="AP791" s="1" t="s">
        <v>74</v>
      </c>
      <c r="AQ791" s="1" t="s">
        <v>15913</v>
      </c>
      <c r="AR791" s="1" t="s">
        <v>15914</v>
      </c>
      <c r="AS791" s="1" t="s">
        <v>74</v>
      </c>
      <c r="AT791" s="1" t="s">
        <v>74</v>
      </c>
      <c r="AU791" s="1">
        <v>2020.0</v>
      </c>
      <c r="AV791" s="1">
        <v>15.0</v>
      </c>
      <c r="AW791" s="1">
        <v>1.0</v>
      </c>
      <c r="AX791" s="1" t="s">
        <v>74</v>
      </c>
      <c r="AY791" s="1" t="s">
        <v>74</v>
      </c>
      <c r="AZ791" s="1" t="s">
        <v>74</v>
      </c>
      <c r="BA791" s="1" t="s">
        <v>74</v>
      </c>
      <c r="BB791" s="1">
        <v>185.0</v>
      </c>
      <c r="BC791" s="1">
        <v>194.0</v>
      </c>
      <c r="BD791" s="1" t="s">
        <v>74</v>
      </c>
      <c r="BE791" s="1" t="s">
        <v>15915</v>
      </c>
      <c r="BF791" s="2" t="str">
        <f>HYPERLINK("http://dx.doi.org/10.1007/978-3-030-48531-3_13","http://dx.doi.org/10.1007/978-3-030-48531-3_13")</f>
        <v>http://dx.doi.org/10.1007/978-3-030-48531-3_13</v>
      </c>
      <c r="BG791" s="1" t="s">
        <v>74</v>
      </c>
      <c r="BH791" s="1" t="s">
        <v>74</v>
      </c>
      <c r="BI791" s="1">
        <v>10.0</v>
      </c>
      <c r="BJ791" s="1" t="s">
        <v>15916</v>
      </c>
      <c r="BK791" s="1" t="s">
        <v>99</v>
      </c>
      <c r="BL791" s="1" t="s">
        <v>204</v>
      </c>
      <c r="BM791" s="1" t="s">
        <v>15917</v>
      </c>
      <c r="BN791" s="1" t="s">
        <v>74</v>
      </c>
      <c r="BO791" s="1" t="s">
        <v>74</v>
      </c>
      <c r="BP791" s="1" t="s">
        <v>74</v>
      </c>
      <c r="BQ791" s="1" t="s">
        <v>74</v>
      </c>
      <c r="BR791" s="1" t="s">
        <v>102</v>
      </c>
      <c r="BS791" s="1" t="s">
        <v>15918</v>
      </c>
      <c r="BT791" s="1" t="str">
        <f>HYPERLINK("https%3A%2F%2Fwww.webofscience.com%2Fwos%2Fwoscc%2Ffull-record%2FWOS:000850952800013","View Full Record in Web of Science")</f>
        <v>View Full Record in Web of Science</v>
      </c>
    </row>
    <row r="792" ht="12.75" customHeight="1">
      <c r="A792" s="1" t="s">
        <v>132</v>
      </c>
      <c r="B792" s="1" t="s">
        <v>15919</v>
      </c>
      <c r="C792" s="1" t="s">
        <v>74</v>
      </c>
      <c r="D792" s="1" t="s">
        <v>74</v>
      </c>
      <c r="E792" s="1" t="s">
        <v>74</v>
      </c>
      <c r="F792" s="1" t="s">
        <v>15920</v>
      </c>
      <c r="G792" s="1" t="s">
        <v>74</v>
      </c>
      <c r="H792" s="1" t="s">
        <v>74</v>
      </c>
      <c r="I792" s="1" t="s">
        <v>15921</v>
      </c>
      <c r="J792" s="1" t="s">
        <v>7242</v>
      </c>
      <c r="K792" s="1" t="s">
        <v>74</v>
      </c>
      <c r="L792" s="1" t="s">
        <v>74</v>
      </c>
      <c r="M792" s="1" t="s">
        <v>80</v>
      </c>
      <c r="N792" s="1" t="s">
        <v>1010</v>
      </c>
      <c r="O792" s="1" t="s">
        <v>74</v>
      </c>
      <c r="P792" s="1" t="s">
        <v>74</v>
      </c>
      <c r="Q792" s="1" t="s">
        <v>74</v>
      </c>
      <c r="R792" s="1" t="s">
        <v>74</v>
      </c>
      <c r="S792" s="1" t="s">
        <v>74</v>
      </c>
      <c r="T792" s="1" t="s">
        <v>15922</v>
      </c>
      <c r="U792" s="1" t="s">
        <v>15923</v>
      </c>
      <c r="V792" s="1" t="s">
        <v>15924</v>
      </c>
      <c r="W792" s="1" t="s">
        <v>15925</v>
      </c>
      <c r="X792" s="1" t="s">
        <v>15926</v>
      </c>
      <c r="Y792" s="1" t="s">
        <v>15927</v>
      </c>
      <c r="Z792" s="1" t="s">
        <v>15928</v>
      </c>
      <c r="AA792" s="1" t="s">
        <v>15929</v>
      </c>
      <c r="AB792" s="1" t="s">
        <v>15930</v>
      </c>
      <c r="AC792" s="1" t="s">
        <v>74</v>
      </c>
      <c r="AD792" s="1" t="s">
        <v>74</v>
      </c>
      <c r="AE792" s="1" t="s">
        <v>74</v>
      </c>
      <c r="AF792" s="1" t="s">
        <v>74</v>
      </c>
      <c r="AG792" s="1">
        <v>77.0</v>
      </c>
      <c r="AH792" s="1">
        <v>6.0</v>
      </c>
      <c r="AI792" s="1">
        <v>6.0</v>
      </c>
      <c r="AJ792" s="1">
        <v>108.0</v>
      </c>
      <c r="AK792" s="1">
        <v>245.0</v>
      </c>
      <c r="AL792" s="1" t="s">
        <v>192</v>
      </c>
      <c r="AM792" s="1" t="s">
        <v>193</v>
      </c>
      <c r="AN792" s="1" t="s">
        <v>194</v>
      </c>
      <c r="AO792" s="1" t="s">
        <v>7252</v>
      </c>
      <c r="AP792" s="1" t="s">
        <v>7253</v>
      </c>
      <c r="AQ792" s="1" t="s">
        <v>74</v>
      </c>
      <c r="AR792" s="1" t="s">
        <v>7254</v>
      </c>
      <c r="AS792" s="1" t="s">
        <v>7255</v>
      </c>
      <c r="AT792" s="1" t="s">
        <v>1364</v>
      </c>
      <c r="AU792" s="1">
        <v>2024.0</v>
      </c>
      <c r="AV792" s="1">
        <v>29.0</v>
      </c>
      <c r="AW792" s="1">
        <v>7.0</v>
      </c>
      <c r="AX792" s="1" t="s">
        <v>74</v>
      </c>
      <c r="AY792" s="1" t="s">
        <v>74</v>
      </c>
      <c r="AZ792" s="1" t="s">
        <v>74</v>
      </c>
      <c r="BA792" s="1" t="s">
        <v>74</v>
      </c>
      <c r="BB792" s="1">
        <v>8203.0</v>
      </c>
      <c r="BC792" s="1">
        <v>8220.0</v>
      </c>
      <c r="BD792" s="1" t="s">
        <v>74</v>
      </c>
      <c r="BE792" s="1" t="s">
        <v>15931</v>
      </c>
      <c r="BF792" s="2" t="str">
        <f>HYPERLINK("http://dx.doi.org/10.1007/s10639-023-12128-2","http://dx.doi.org/10.1007/s10639-023-12128-2")</f>
        <v>http://dx.doi.org/10.1007/s10639-023-12128-2</v>
      </c>
      <c r="BG792" s="1" t="s">
        <v>74</v>
      </c>
      <c r="BH792" s="1" t="s">
        <v>5321</v>
      </c>
      <c r="BI792" s="1">
        <v>18.0</v>
      </c>
      <c r="BJ792" s="1" t="s">
        <v>171</v>
      </c>
      <c r="BK792" s="1" t="s">
        <v>203</v>
      </c>
      <c r="BL792" s="1" t="s">
        <v>171</v>
      </c>
      <c r="BM792" s="1" t="s">
        <v>15932</v>
      </c>
      <c r="BN792" s="1" t="s">
        <v>74</v>
      </c>
      <c r="BO792" s="1" t="s">
        <v>74</v>
      </c>
      <c r="BP792" s="1" t="s">
        <v>74</v>
      </c>
      <c r="BQ792" s="1" t="s">
        <v>74</v>
      </c>
      <c r="BR792" s="1" t="s">
        <v>102</v>
      </c>
      <c r="BS792" s="1" t="s">
        <v>15933</v>
      </c>
      <c r="BT792" s="1" t="str">
        <f>HYPERLINK("https%3A%2F%2Fwww.webofscience.com%2Fwos%2Fwoscc%2Ffull-record%2FWOS:001060133400002","View Full Record in Web of Science")</f>
        <v>View Full Record in Web of Science</v>
      </c>
    </row>
    <row r="793" ht="12.75" customHeight="1">
      <c r="A793" s="1" t="s">
        <v>132</v>
      </c>
      <c r="B793" s="1" t="s">
        <v>15934</v>
      </c>
      <c r="C793" s="1" t="s">
        <v>74</v>
      </c>
      <c r="D793" s="1" t="s">
        <v>74</v>
      </c>
      <c r="E793" s="1" t="s">
        <v>74</v>
      </c>
      <c r="F793" s="1" t="s">
        <v>15935</v>
      </c>
      <c r="G793" s="1" t="s">
        <v>74</v>
      </c>
      <c r="H793" s="1" t="s">
        <v>74</v>
      </c>
      <c r="I793" s="1" t="s">
        <v>15936</v>
      </c>
      <c r="J793" s="1" t="s">
        <v>15937</v>
      </c>
      <c r="K793" s="1" t="s">
        <v>74</v>
      </c>
      <c r="L793" s="1" t="s">
        <v>74</v>
      </c>
      <c r="M793" s="1" t="s">
        <v>80</v>
      </c>
      <c r="N793" s="1" t="s">
        <v>1010</v>
      </c>
      <c r="O793" s="1" t="s">
        <v>74</v>
      </c>
      <c r="P793" s="1" t="s">
        <v>74</v>
      </c>
      <c r="Q793" s="1" t="s">
        <v>74</v>
      </c>
      <c r="R793" s="1" t="s">
        <v>74</v>
      </c>
      <c r="S793" s="1" t="s">
        <v>74</v>
      </c>
      <c r="T793" s="1" t="s">
        <v>15938</v>
      </c>
      <c r="U793" s="1" t="s">
        <v>15939</v>
      </c>
      <c r="V793" s="1" t="s">
        <v>15940</v>
      </c>
      <c r="W793" s="1" t="s">
        <v>15941</v>
      </c>
      <c r="X793" s="1" t="s">
        <v>15942</v>
      </c>
      <c r="Y793" s="1" t="s">
        <v>15943</v>
      </c>
      <c r="Z793" s="1" t="s">
        <v>15944</v>
      </c>
      <c r="AA793" s="1" t="s">
        <v>15945</v>
      </c>
      <c r="AB793" s="1" t="s">
        <v>15946</v>
      </c>
      <c r="AC793" s="1" t="s">
        <v>15947</v>
      </c>
      <c r="AD793" s="1" t="s">
        <v>15948</v>
      </c>
      <c r="AE793" s="1" t="s">
        <v>15949</v>
      </c>
      <c r="AF793" s="1" t="s">
        <v>74</v>
      </c>
      <c r="AG793" s="1">
        <v>166.0</v>
      </c>
      <c r="AH793" s="1">
        <v>7.0</v>
      </c>
      <c r="AI793" s="1">
        <v>7.0</v>
      </c>
      <c r="AJ793" s="1">
        <v>8.0</v>
      </c>
      <c r="AK793" s="1">
        <v>26.0</v>
      </c>
      <c r="AL793" s="1" t="s">
        <v>1970</v>
      </c>
      <c r="AM793" s="1" t="s">
        <v>1658</v>
      </c>
      <c r="AN793" s="1" t="s">
        <v>1971</v>
      </c>
      <c r="AO793" s="1" t="s">
        <v>74</v>
      </c>
      <c r="AP793" s="1" t="s">
        <v>15950</v>
      </c>
      <c r="AQ793" s="1" t="s">
        <v>74</v>
      </c>
      <c r="AR793" s="1" t="s">
        <v>15937</v>
      </c>
      <c r="AS793" s="1" t="s">
        <v>15951</v>
      </c>
      <c r="AT793" s="1" t="s">
        <v>1027</v>
      </c>
      <c r="AU793" s="1">
        <v>2023.0</v>
      </c>
      <c r="AV793" s="1">
        <v>16.0</v>
      </c>
      <c r="AW793" s="1">
        <v>3.0</v>
      </c>
      <c r="AX793" s="1" t="s">
        <v>74</v>
      </c>
      <c r="AY793" s="1" t="s">
        <v>74</v>
      </c>
      <c r="AZ793" s="1" t="s">
        <v>74</v>
      </c>
      <c r="BA793" s="1" t="s">
        <v>74</v>
      </c>
      <c r="BB793" s="1" t="s">
        <v>74</v>
      </c>
      <c r="BC793" s="1" t="s">
        <v>74</v>
      </c>
      <c r="BD793" s="1">
        <v>165.0</v>
      </c>
      <c r="BE793" s="1" t="s">
        <v>15952</v>
      </c>
      <c r="BF793" s="2" t="str">
        <f>HYPERLINK("http://dx.doi.org/10.3390/a16030165","http://dx.doi.org/10.3390/a16030165")</f>
        <v>http://dx.doi.org/10.3390/a16030165</v>
      </c>
      <c r="BG793" s="1" t="s">
        <v>74</v>
      </c>
      <c r="BH793" s="1" t="s">
        <v>74</v>
      </c>
      <c r="BI793" s="1">
        <v>44.0</v>
      </c>
      <c r="BJ793" s="1" t="s">
        <v>231</v>
      </c>
      <c r="BK793" s="1" t="s">
        <v>172</v>
      </c>
      <c r="BL793" s="1" t="s">
        <v>232</v>
      </c>
      <c r="BM793" s="1" t="s">
        <v>15953</v>
      </c>
      <c r="BN793" s="1" t="s">
        <v>74</v>
      </c>
      <c r="BO793" s="1" t="s">
        <v>2204</v>
      </c>
      <c r="BP793" s="1" t="s">
        <v>74</v>
      </c>
      <c r="BQ793" s="1" t="s">
        <v>74</v>
      </c>
      <c r="BR793" s="1" t="s">
        <v>102</v>
      </c>
      <c r="BS793" s="1" t="s">
        <v>15954</v>
      </c>
      <c r="BT793" s="1" t="str">
        <f>HYPERLINK("https%3A%2F%2Fwww.webofscience.com%2Fwos%2Fwoscc%2Ffull-record%2FWOS:000956925700001","View Full Record in Web of Science")</f>
        <v>View Full Record in Web of Science</v>
      </c>
    </row>
    <row r="794" ht="12.75" customHeight="1">
      <c r="A794" s="1" t="s">
        <v>132</v>
      </c>
      <c r="B794" s="1" t="s">
        <v>15955</v>
      </c>
      <c r="C794" s="1" t="s">
        <v>74</v>
      </c>
      <c r="D794" s="1" t="s">
        <v>74</v>
      </c>
      <c r="E794" s="1" t="s">
        <v>74</v>
      </c>
      <c r="F794" s="1" t="s">
        <v>15956</v>
      </c>
      <c r="G794" s="1" t="s">
        <v>74</v>
      </c>
      <c r="H794" s="1" t="s">
        <v>74</v>
      </c>
      <c r="I794" s="1" t="s">
        <v>15957</v>
      </c>
      <c r="J794" s="1" t="s">
        <v>15958</v>
      </c>
      <c r="K794" s="1" t="s">
        <v>74</v>
      </c>
      <c r="L794" s="1" t="s">
        <v>74</v>
      </c>
      <c r="M794" s="1" t="s">
        <v>80</v>
      </c>
      <c r="N794" s="1" t="s">
        <v>136</v>
      </c>
      <c r="O794" s="1" t="s">
        <v>74</v>
      </c>
      <c r="P794" s="1" t="s">
        <v>74</v>
      </c>
      <c r="Q794" s="1" t="s">
        <v>74</v>
      </c>
      <c r="R794" s="1" t="s">
        <v>74</v>
      </c>
      <c r="S794" s="1" t="s">
        <v>74</v>
      </c>
      <c r="T794" s="1" t="s">
        <v>15959</v>
      </c>
      <c r="U794" s="1" t="s">
        <v>15960</v>
      </c>
      <c r="V794" s="1" t="s">
        <v>15961</v>
      </c>
      <c r="W794" s="1" t="s">
        <v>15962</v>
      </c>
      <c r="X794" s="1" t="s">
        <v>15963</v>
      </c>
      <c r="Y794" s="1" t="s">
        <v>15964</v>
      </c>
      <c r="Z794" s="1" t="s">
        <v>15965</v>
      </c>
      <c r="AA794" s="1" t="s">
        <v>15966</v>
      </c>
      <c r="AB794" s="1" t="s">
        <v>74</v>
      </c>
      <c r="AC794" s="1" t="s">
        <v>15967</v>
      </c>
      <c r="AD794" s="1" t="s">
        <v>15968</v>
      </c>
      <c r="AE794" s="1" t="s">
        <v>15969</v>
      </c>
      <c r="AF794" s="1" t="s">
        <v>74</v>
      </c>
      <c r="AG794" s="1">
        <v>111.0</v>
      </c>
      <c r="AH794" s="1">
        <v>0.0</v>
      </c>
      <c r="AI794" s="1">
        <v>0.0</v>
      </c>
      <c r="AJ794" s="1">
        <v>9.0</v>
      </c>
      <c r="AK794" s="1">
        <v>9.0</v>
      </c>
      <c r="AL794" s="1" t="s">
        <v>15970</v>
      </c>
      <c r="AM794" s="1" t="s">
        <v>15971</v>
      </c>
      <c r="AN794" s="1" t="s">
        <v>15972</v>
      </c>
      <c r="AO794" s="1" t="s">
        <v>15973</v>
      </c>
      <c r="AP794" s="1" t="s">
        <v>15974</v>
      </c>
      <c r="AQ794" s="1" t="s">
        <v>74</v>
      </c>
      <c r="AR794" s="1" t="s">
        <v>15975</v>
      </c>
      <c r="AS794" s="1" t="s">
        <v>15976</v>
      </c>
      <c r="AT794" s="1" t="s">
        <v>74</v>
      </c>
      <c r="AU794" s="1">
        <v>2024.0</v>
      </c>
      <c r="AV794" s="1">
        <v>15.0</v>
      </c>
      <c r="AW794" s="1">
        <v>2.0</v>
      </c>
      <c r="AX794" s="1" t="s">
        <v>74</v>
      </c>
      <c r="AY794" s="1" t="s">
        <v>74</v>
      </c>
      <c r="AZ794" s="1" t="s">
        <v>74</v>
      </c>
      <c r="BA794" s="1" t="s">
        <v>74</v>
      </c>
      <c r="BB794" s="1" t="s">
        <v>74</v>
      </c>
      <c r="BC794" s="1" t="s">
        <v>74</v>
      </c>
      <c r="BD794" s="1" t="s">
        <v>74</v>
      </c>
      <c r="BE794" s="1" t="s">
        <v>15977</v>
      </c>
      <c r="BF794" s="2" t="str">
        <f>HYPERLINK("http://dx.doi.org/10.1504/IJART.2024.143124","http://dx.doi.org/10.1504/IJART.2024.143124")</f>
        <v>http://dx.doi.org/10.1504/IJART.2024.143124</v>
      </c>
      <c r="BG794" s="1" t="s">
        <v>74</v>
      </c>
      <c r="BH794" s="1" t="s">
        <v>74</v>
      </c>
      <c r="BI794" s="1">
        <v>32.0</v>
      </c>
      <c r="BJ794" s="1" t="s">
        <v>8719</v>
      </c>
      <c r="BK794" s="1" t="s">
        <v>172</v>
      </c>
      <c r="BL794" s="1" t="s">
        <v>232</v>
      </c>
      <c r="BM794" s="1" t="s">
        <v>15978</v>
      </c>
      <c r="BN794" s="1" t="s">
        <v>74</v>
      </c>
      <c r="BO794" s="1" t="s">
        <v>74</v>
      </c>
      <c r="BP794" s="1" t="s">
        <v>74</v>
      </c>
      <c r="BQ794" s="1" t="s">
        <v>74</v>
      </c>
      <c r="BR794" s="1" t="s">
        <v>102</v>
      </c>
      <c r="BS794" s="1" t="s">
        <v>15979</v>
      </c>
      <c r="BT794" s="1" t="str">
        <f>HYPERLINK("https%3A%2F%2Fwww.webofscience.com%2Fwos%2Fwoscc%2Ffull-record%2FWOS:001370058200004","View Full Record in Web of Science")</f>
        <v>View Full Record in Web of Science</v>
      </c>
    </row>
    <row r="795" ht="12.75" customHeight="1">
      <c r="A795" s="1" t="s">
        <v>132</v>
      </c>
      <c r="B795" s="1" t="s">
        <v>15980</v>
      </c>
      <c r="C795" s="1" t="s">
        <v>74</v>
      </c>
      <c r="D795" s="1" t="s">
        <v>74</v>
      </c>
      <c r="E795" s="1" t="s">
        <v>74</v>
      </c>
      <c r="F795" s="1" t="s">
        <v>15981</v>
      </c>
      <c r="G795" s="1" t="s">
        <v>74</v>
      </c>
      <c r="H795" s="1" t="s">
        <v>74</v>
      </c>
      <c r="I795" s="1" t="s">
        <v>15982</v>
      </c>
      <c r="J795" s="1" t="s">
        <v>15983</v>
      </c>
      <c r="K795" s="1" t="s">
        <v>74</v>
      </c>
      <c r="L795" s="1" t="s">
        <v>74</v>
      </c>
      <c r="M795" s="1" t="s">
        <v>80</v>
      </c>
      <c r="N795" s="1" t="s">
        <v>1010</v>
      </c>
      <c r="O795" s="1" t="s">
        <v>74</v>
      </c>
      <c r="P795" s="1" t="s">
        <v>74</v>
      </c>
      <c r="Q795" s="1" t="s">
        <v>74</v>
      </c>
      <c r="R795" s="1" t="s">
        <v>74</v>
      </c>
      <c r="S795" s="1" t="s">
        <v>74</v>
      </c>
      <c r="T795" s="1" t="s">
        <v>15984</v>
      </c>
      <c r="U795" s="1" t="s">
        <v>15985</v>
      </c>
      <c r="V795" s="1" t="s">
        <v>15986</v>
      </c>
      <c r="W795" s="1" t="s">
        <v>15987</v>
      </c>
      <c r="X795" s="1" t="s">
        <v>74</v>
      </c>
      <c r="Y795" s="1" t="s">
        <v>15988</v>
      </c>
      <c r="Z795" s="1" t="s">
        <v>15989</v>
      </c>
      <c r="AA795" s="1" t="s">
        <v>15990</v>
      </c>
      <c r="AB795" s="1" t="s">
        <v>74</v>
      </c>
      <c r="AC795" s="1" t="s">
        <v>74</v>
      </c>
      <c r="AD795" s="1" t="s">
        <v>74</v>
      </c>
      <c r="AE795" s="1" t="s">
        <v>74</v>
      </c>
      <c r="AF795" s="1" t="s">
        <v>74</v>
      </c>
      <c r="AG795" s="1">
        <v>144.0</v>
      </c>
      <c r="AH795" s="1">
        <v>27.0</v>
      </c>
      <c r="AI795" s="1">
        <v>27.0</v>
      </c>
      <c r="AJ795" s="1">
        <v>6.0</v>
      </c>
      <c r="AK795" s="1">
        <v>43.0</v>
      </c>
      <c r="AL795" s="1" t="s">
        <v>1274</v>
      </c>
      <c r="AM795" s="1" t="s">
        <v>1021</v>
      </c>
      <c r="AN795" s="1" t="s">
        <v>1275</v>
      </c>
      <c r="AO795" s="1" t="s">
        <v>15991</v>
      </c>
      <c r="AP795" s="1" t="s">
        <v>15992</v>
      </c>
      <c r="AQ795" s="1" t="s">
        <v>74</v>
      </c>
      <c r="AR795" s="1" t="s">
        <v>15993</v>
      </c>
      <c r="AS795" s="1" t="s">
        <v>15994</v>
      </c>
      <c r="AT795" s="1" t="s">
        <v>199</v>
      </c>
      <c r="AU795" s="1">
        <v>2021.0</v>
      </c>
      <c r="AV795" s="1">
        <v>124.0</v>
      </c>
      <c r="AW795" s="1" t="s">
        <v>74</v>
      </c>
      <c r="AX795" s="1" t="s">
        <v>74</v>
      </c>
      <c r="AY795" s="1" t="s">
        <v>74</v>
      </c>
      <c r="AZ795" s="1" t="s">
        <v>74</v>
      </c>
      <c r="BA795" s="1" t="s">
        <v>74</v>
      </c>
      <c r="BB795" s="1" t="s">
        <v>74</v>
      </c>
      <c r="BC795" s="1" t="s">
        <v>74</v>
      </c>
      <c r="BD795" s="1">
        <v>154872.0</v>
      </c>
      <c r="BE795" s="1" t="s">
        <v>15995</v>
      </c>
      <c r="BF795" s="2" t="str">
        <f>HYPERLINK("http://dx.doi.org/10.1016/j.metabol.2021.154872","http://dx.doi.org/10.1016/j.metabol.2021.154872")</f>
        <v>http://dx.doi.org/10.1016/j.metabol.2021.154872</v>
      </c>
      <c r="BG795" s="1" t="s">
        <v>74</v>
      </c>
      <c r="BH795" s="1" t="s">
        <v>781</v>
      </c>
      <c r="BI795" s="1">
        <v>12.0</v>
      </c>
      <c r="BJ795" s="1" t="s">
        <v>9718</v>
      </c>
      <c r="BK795" s="1" t="s">
        <v>783</v>
      </c>
      <c r="BL795" s="1" t="s">
        <v>9718</v>
      </c>
      <c r="BM795" s="1" t="s">
        <v>15996</v>
      </c>
      <c r="BN795" s="1">
        <v>3.448092E7</v>
      </c>
      <c r="BO795" s="1" t="s">
        <v>74</v>
      </c>
      <c r="BP795" s="1" t="s">
        <v>74</v>
      </c>
      <c r="BQ795" s="1" t="s">
        <v>74</v>
      </c>
      <c r="BR795" s="1" t="s">
        <v>102</v>
      </c>
      <c r="BS795" s="1" t="s">
        <v>15997</v>
      </c>
      <c r="BT795" s="1" t="str">
        <f>HYPERLINK("https%3A%2F%2Fwww.webofscience.com%2Fwos%2Fwoscc%2Ffull-record%2FWOS:000704031400005","View Full Record in Web of Science")</f>
        <v>View Full Record in Web of Science</v>
      </c>
    </row>
    <row r="796" ht="12.75" customHeight="1">
      <c r="A796" s="1" t="s">
        <v>132</v>
      </c>
      <c r="B796" s="1" t="s">
        <v>15998</v>
      </c>
      <c r="C796" s="1" t="s">
        <v>74</v>
      </c>
      <c r="D796" s="1" t="s">
        <v>74</v>
      </c>
      <c r="E796" s="1" t="s">
        <v>74</v>
      </c>
      <c r="F796" s="1" t="s">
        <v>15999</v>
      </c>
      <c r="G796" s="1" t="s">
        <v>74</v>
      </c>
      <c r="H796" s="1" t="s">
        <v>74</v>
      </c>
      <c r="I796" s="1" t="s">
        <v>16000</v>
      </c>
      <c r="J796" s="1" t="s">
        <v>16001</v>
      </c>
      <c r="K796" s="1" t="s">
        <v>74</v>
      </c>
      <c r="L796" s="1" t="s">
        <v>74</v>
      </c>
      <c r="M796" s="1" t="s">
        <v>80</v>
      </c>
      <c r="N796" s="1" t="s">
        <v>1010</v>
      </c>
      <c r="O796" s="1" t="s">
        <v>74</v>
      </c>
      <c r="P796" s="1" t="s">
        <v>74</v>
      </c>
      <c r="Q796" s="1" t="s">
        <v>74</v>
      </c>
      <c r="R796" s="1" t="s">
        <v>74</v>
      </c>
      <c r="S796" s="1" t="s">
        <v>74</v>
      </c>
      <c r="T796" s="1" t="s">
        <v>16002</v>
      </c>
      <c r="U796" s="1" t="s">
        <v>16003</v>
      </c>
      <c r="V796" s="1" t="s">
        <v>16004</v>
      </c>
      <c r="W796" s="1" t="s">
        <v>16005</v>
      </c>
      <c r="X796" s="1" t="s">
        <v>16006</v>
      </c>
      <c r="Y796" s="1" t="s">
        <v>16007</v>
      </c>
      <c r="Z796" s="1" t="s">
        <v>16008</v>
      </c>
      <c r="AA796" s="1" t="s">
        <v>16009</v>
      </c>
      <c r="AB796" s="1" t="s">
        <v>74</v>
      </c>
      <c r="AC796" s="1" t="s">
        <v>16010</v>
      </c>
      <c r="AD796" s="1" t="s">
        <v>16011</v>
      </c>
      <c r="AE796" s="1" t="s">
        <v>16012</v>
      </c>
      <c r="AF796" s="1" t="s">
        <v>74</v>
      </c>
      <c r="AG796" s="1">
        <v>33.0</v>
      </c>
      <c r="AH796" s="1">
        <v>77.0</v>
      </c>
      <c r="AI796" s="1">
        <v>80.0</v>
      </c>
      <c r="AJ796" s="1">
        <v>4.0</v>
      </c>
      <c r="AK796" s="1">
        <v>49.0</v>
      </c>
      <c r="AL796" s="1" t="s">
        <v>3551</v>
      </c>
      <c r="AM796" s="1" t="s">
        <v>193</v>
      </c>
      <c r="AN796" s="1" t="s">
        <v>3552</v>
      </c>
      <c r="AO796" s="1" t="s">
        <v>16013</v>
      </c>
      <c r="AP796" s="1" t="s">
        <v>16014</v>
      </c>
      <c r="AQ796" s="1" t="s">
        <v>74</v>
      </c>
      <c r="AR796" s="1" t="s">
        <v>16015</v>
      </c>
      <c r="AS796" s="1" t="s">
        <v>16016</v>
      </c>
      <c r="AT796" s="1" t="s">
        <v>16017</v>
      </c>
      <c r="AU796" s="1">
        <v>2019.0</v>
      </c>
      <c r="AV796" s="1">
        <v>12.0</v>
      </c>
      <c r="AW796" s="1">
        <v>14.0</v>
      </c>
      <c r="AX796" s="1" t="s">
        <v>74</v>
      </c>
      <c r="AY796" s="1" t="s">
        <v>74</v>
      </c>
      <c r="AZ796" s="1" t="s">
        <v>74</v>
      </c>
      <c r="BA796" s="1" t="s">
        <v>74</v>
      </c>
      <c r="BB796" s="1">
        <v>1293.0</v>
      </c>
      <c r="BC796" s="1">
        <v>1303.0</v>
      </c>
      <c r="BD796" s="1" t="s">
        <v>74</v>
      </c>
      <c r="BE796" s="1" t="s">
        <v>16018</v>
      </c>
      <c r="BF796" s="2" t="str">
        <f>HYPERLINK("http://dx.doi.org/10.1016/j.jcin.2019.04.048","http://dx.doi.org/10.1016/j.jcin.2019.04.048")</f>
        <v>http://dx.doi.org/10.1016/j.jcin.2019.04.048</v>
      </c>
      <c r="BG796" s="1" t="s">
        <v>74</v>
      </c>
      <c r="BH796" s="1" t="s">
        <v>74</v>
      </c>
      <c r="BI796" s="1">
        <v>11.0</v>
      </c>
      <c r="BJ796" s="1" t="s">
        <v>2729</v>
      </c>
      <c r="BK796" s="1" t="s">
        <v>149</v>
      </c>
      <c r="BL796" s="1" t="s">
        <v>2730</v>
      </c>
      <c r="BM796" s="1" t="s">
        <v>16019</v>
      </c>
      <c r="BN796" s="1">
        <v>3.1320024E7</v>
      </c>
      <c r="BO796" s="1" t="s">
        <v>632</v>
      </c>
      <c r="BP796" s="1" t="s">
        <v>74</v>
      </c>
      <c r="BQ796" s="1" t="s">
        <v>74</v>
      </c>
      <c r="BR796" s="1" t="s">
        <v>102</v>
      </c>
      <c r="BS796" s="1" t="s">
        <v>16020</v>
      </c>
      <c r="BT796" s="1" t="str">
        <f>HYPERLINK("https%3A%2F%2Fwww.webofscience.com%2Fwos%2Fwoscc%2Ffull-record%2FWOS:000475466100004","View Full Record in Web of Science")</f>
        <v>View Full Record in Web of Science</v>
      </c>
    </row>
    <row r="797" ht="12.75" customHeight="1">
      <c r="A797" s="1" t="s">
        <v>132</v>
      </c>
      <c r="B797" s="1" t="s">
        <v>16021</v>
      </c>
      <c r="C797" s="1" t="s">
        <v>74</v>
      </c>
      <c r="D797" s="1" t="s">
        <v>74</v>
      </c>
      <c r="E797" s="1" t="s">
        <v>74</v>
      </c>
      <c r="F797" s="1" t="s">
        <v>16022</v>
      </c>
      <c r="G797" s="1" t="s">
        <v>74</v>
      </c>
      <c r="H797" s="1" t="s">
        <v>74</v>
      </c>
      <c r="I797" s="1" t="s">
        <v>16023</v>
      </c>
      <c r="J797" s="1" t="s">
        <v>8174</v>
      </c>
      <c r="K797" s="1" t="s">
        <v>74</v>
      </c>
      <c r="L797" s="1" t="s">
        <v>74</v>
      </c>
      <c r="M797" s="1" t="s">
        <v>80</v>
      </c>
      <c r="N797" s="1" t="s">
        <v>136</v>
      </c>
      <c r="O797" s="1" t="s">
        <v>74</v>
      </c>
      <c r="P797" s="1" t="s">
        <v>74</v>
      </c>
      <c r="Q797" s="1" t="s">
        <v>74</v>
      </c>
      <c r="R797" s="1" t="s">
        <v>74</v>
      </c>
      <c r="S797" s="1" t="s">
        <v>74</v>
      </c>
      <c r="T797" s="1" t="s">
        <v>16024</v>
      </c>
      <c r="U797" s="1" t="s">
        <v>16025</v>
      </c>
      <c r="V797" s="1" t="s">
        <v>16026</v>
      </c>
      <c r="W797" s="1" t="s">
        <v>16027</v>
      </c>
      <c r="X797" s="1" t="s">
        <v>16028</v>
      </c>
      <c r="Y797" s="1" t="s">
        <v>16029</v>
      </c>
      <c r="Z797" s="1" t="s">
        <v>16030</v>
      </c>
      <c r="AA797" s="1" t="s">
        <v>16031</v>
      </c>
      <c r="AB797" s="1" t="s">
        <v>74</v>
      </c>
      <c r="AC797" s="1" t="s">
        <v>16032</v>
      </c>
      <c r="AD797" s="1" t="s">
        <v>16033</v>
      </c>
      <c r="AE797" s="1" t="s">
        <v>16034</v>
      </c>
      <c r="AF797" s="1" t="s">
        <v>74</v>
      </c>
      <c r="AG797" s="1">
        <v>73.0</v>
      </c>
      <c r="AH797" s="1">
        <v>9.0</v>
      </c>
      <c r="AI797" s="1">
        <v>9.0</v>
      </c>
      <c r="AJ797" s="1">
        <v>81.0</v>
      </c>
      <c r="AK797" s="1">
        <v>120.0</v>
      </c>
      <c r="AL797" s="1" t="s">
        <v>321</v>
      </c>
      <c r="AM797" s="1" t="s">
        <v>322</v>
      </c>
      <c r="AN797" s="1" t="s">
        <v>323</v>
      </c>
      <c r="AO797" s="1" t="s">
        <v>8184</v>
      </c>
      <c r="AP797" s="1" t="s">
        <v>8185</v>
      </c>
      <c r="AQ797" s="1" t="s">
        <v>74</v>
      </c>
      <c r="AR797" s="1" t="s">
        <v>8186</v>
      </c>
      <c r="AS797" s="1" t="s">
        <v>8187</v>
      </c>
      <c r="AT797" s="1" t="s">
        <v>1027</v>
      </c>
      <c r="AU797" s="1">
        <v>2024.0</v>
      </c>
      <c r="AV797" s="1">
        <v>131.0</v>
      </c>
      <c r="AW797" s="1" t="s">
        <v>74</v>
      </c>
      <c r="AX797" s="1" t="s">
        <v>74</v>
      </c>
      <c r="AY797" s="1" t="s">
        <v>74</v>
      </c>
      <c r="AZ797" s="1" t="s">
        <v>74</v>
      </c>
      <c r="BA797" s="1" t="s">
        <v>74</v>
      </c>
      <c r="BB797" s="1" t="s">
        <v>74</v>
      </c>
      <c r="BC797" s="1" t="s">
        <v>74</v>
      </c>
      <c r="BD797" s="1">
        <v>107357.0</v>
      </c>
      <c r="BE797" s="1" t="s">
        <v>16035</v>
      </c>
      <c r="BF797" s="2" t="str">
        <f>HYPERLINK("http://dx.doi.org/10.1016/j.eneco.2024.107357","http://dx.doi.org/10.1016/j.eneco.2024.107357")</f>
        <v>http://dx.doi.org/10.1016/j.eneco.2024.107357</v>
      </c>
      <c r="BG797" s="1" t="s">
        <v>74</v>
      </c>
      <c r="BH797" s="1" t="s">
        <v>1001</v>
      </c>
      <c r="BI797" s="1">
        <v>21.0</v>
      </c>
      <c r="BJ797" s="1" t="s">
        <v>202</v>
      </c>
      <c r="BK797" s="1" t="s">
        <v>203</v>
      </c>
      <c r="BL797" s="1" t="s">
        <v>204</v>
      </c>
      <c r="BM797" s="1" t="s">
        <v>16036</v>
      </c>
      <c r="BN797" s="1" t="s">
        <v>74</v>
      </c>
      <c r="BO797" s="1" t="s">
        <v>74</v>
      </c>
      <c r="BP797" s="1" t="s">
        <v>74</v>
      </c>
      <c r="BQ797" s="1" t="s">
        <v>74</v>
      </c>
      <c r="BR797" s="1" t="s">
        <v>102</v>
      </c>
      <c r="BS797" s="1" t="s">
        <v>16037</v>
      </c>
      <c r="BT797" s="1" t="str">
        <f>HYPERLINK("https%3A%2F%2Fwww.webofscience.com%2Fwos%2Fwoscc%2Ffull-record%2FWOS:001199300500001","View Full Record in Web of Science")</f>
        <v>View Full Record in Web of Science</v>
      </c>
    </row>
    <row r="798" ht="12.75" customHeight="1">
      <c r="A798" s="1" t="s">
        <v>132</v>
      </c>
      <c r="B798" s="1" t="s">
        <v>16038</v>
      </c>
      <c r="C798" s="1" t="s">
        <v>74</v>
      </c>
      <c r="D798" s="1" t="s">
        <v>74</v>
      </c>
      <c r="E798" s="1" t="s">
        <v>74</v>
      </c>
      <c r="F798" s="1" t="s">
        <v>16039</v>
      </c>
      <c r="G798" s="1" t="s">
        <v>74</v>
      </c>
      <c r="H798" s="1" t="s">
        <v>74</v>
      </c>
      <c r="I798" s="1" t="s">
        <v>16040</v>
      </c>
      <c r="J798" s="1" t="s">
        <v>16041</v>
      </c>
      <c r="K798" s="1" t="s">
        <v>74</v>
      </c>
      <c r="L798" s="1" t="s">
        <v>74</v>
      </c>
      <c r="M798" s="1" t="s">
        <v>157</v>
      </c>
      <c r="N798" s="1" t="s">
        <v>1010</v>
      </c>
      <c r="O798" s="1" t="s">
        <v>74</v>
      </c>
      <c r="P798" s="1" t="s">
        <v>74</v>
      </c>
      <c r="Q798" s="1" t="s">
        <v>74</v>
      </c>
      <c r="R798" s="1" t="s">
        <v>74</v>
      </c>
      <c r="S798" s="1" t="s">
        <v>74</v>
      </c>
      <c r="T798" s="1" t="s">
        <v>16042</v>
      </c>
      <c r="U798" s="1" t="s">
        <v>74</v>
      </c>
      <c r="V798" s="1" t="s">
        <v>16043</v>
      </c>
      <c r="W798" s="1" t="s">
        <v>16044</v>
      </c>
      <c r="X798" s="1" t="s">
        <v>16045</v>
      </c>
      <c r="Y798" s="1" t="s">
        <v>74</v>
      </c>
      <c r="Z798" s="1" t="s">
        <v>16046</v>
      </c>
      <c r="AA798" s="1" t="s">
        <v>16047</v>
      </c>
      <c r="AB798" s="1" t="s">
        <v>16048</v>
      </c>
      <c r="AC798" s="1" t="s">
        <v>74</v>
      </c>
      <c r="AD798" s="1" t="s">
        <v>74</v>
      </c>
      <c r="AE798" s="1" t="s">
        <v>74</v>
      </c>
      <c r="AF798" s="1" t="s">
        <v>74</v>
      </c>
      <c r="AG798" s="1">
        <v>42.0</v>
      </c>
      <c r="AH798" s="1">
        <v>0.0</v>
      </c>
      <c r="AI798" s="1">
        <v>0.0</v>
      </c>
      <c r="AJ798" s="1">
        <v>5.0</v>
      </c>
      <c r="AK798" s="1">
        <v>11.0</v>
      </c>
      <c r="AL798" s="1" t="s">
        <v>16049</v>
      </c>
      <c r="AM798" s="1" t="s">
        <v>16050</v>
      </c>
      <c r="AN798" s="1" t="s">
        <v>16051</v>
      </c>
      <c r="AO798" s="1" t="s">
        <v>16052</v>
      </c>
      <c r="AP798" s="1" t="s">
        <v>74</v>
      </c>
      <c r="AQ798" s="1" t="s">
        <v>74</v>
      </c>
      <c r="AR798" s="1" t="s">
        <v>16053</v>
      </c>
      <c r="AS798" s="1" t="s">
        <v>16054</v>
      </c>
      <c r="AT798" s="1" t="s">
        <v>328</v>
      </c>
      <c r="AU798" s="1">
        <v>2021.0</v>
      </c>
      <c r="AV798" s="1">
        <v>8.0</v>
      </c>
      <c r="AW798" s="1">
        <v>48.0</v>
      </c>
      <c r="AX798" s="1" t="s">
        <v>74</v>
      </c>
      <c r="AY798" s="1" t="s">
        <v>74</v>
      </c>
      <c r="AZ798" s="1" t="s">
        <v>74</v>
      </c>
      <c r="BA798" s="1" t="s">
        <v>74</v>
      </c>
      <c r="BB798" s="1">
        <v>187.0</v>
      </c>
      <c r="BC798" s="1">
        <v>203.0</v>
      </c>
      <c r="BD798" s="1" t="s">
        <v>74</v>
      </c>
      <c r="BE798" s="1" t="s">
        <v>74</v>
      </c>
      <c r="BF798" s="1" t="s">
        <v>74</v>
      </c>
      <c r="BG798" s="1" t="s">
        <v>74</v>
      </c>
      <c r="BH798" s="1" t="s">
        <v>74</v>
      </c>
      <c r="BI798" s="1">
        <v>17.0</v>
      </c>
      <c r="BJ798" s="1" t="s">
        <v>9054</v>
      </c>
      <c r="BK798" s="1" t="s">
        <v>172</v>
      </c>
      <c r="BL798" s="1" t="s">
        <v>9055</v>
      </c>
      <c r="BM798" s="1" t="s">
        <v>16055</v>
      </c>
      <c r="BN798" s="1" t="s">
        <v>74</v>
      </c>
      <c r="BO798" s="1" t="s">
        <v>74</v>
      </c>
      <c r="BP798" s="1" t="s">
        <v>74</v>
      </c>
      <c r="BQ798" s="1" t="s">
        <v>74</v>
      </c>
      <c r="BR798" s="1" t="s">
        <v>102</v>
      </c>
      <c r="BS798" s="1" t="s">
        <v>16056</v>
      </c>
      <c r="BT798" s="1" t="str">
        <f>HYPERLINK("https%3A%2F%2Fwww.webofscience.com%2Fwos%2Fwoscc%2Ffull-record%2FWOS:000705894300015","View Full Record in Web of Science")</f>
        <v>View Full Record in Web of Science</v>
      </c>
    </row>
    <row r="799" ht="12.75" customHeight="1">
      <c r="A799" s="1" t="s">
        <v>132</v>
      </c>
      <c r="B799" s="1" t="s">
        <v>16057</v>
      </c>
      <c r="C799" s="1" t="s">
        <v>74</v>
      </c>
      <c r="D799" s="1" t="s">
        <v>74</v>
      </c>
      <c r="E799" s="1" t="s">
        <v>74</v>
      </c>
      <c r="F799" s="1" t="s">
        <v>16058</v>
      </c>
      <c r="G799" s="1" t="s">
        <v>74</v>
      </c>
      <c r="H799" s="1" t="s">
        <v>74</v>
      </c>
      <c r="I799" s="1" t="s">
        <v>16059</v>
      </c>
      <c r="J799" s="1" t="s">
        <v>9613</v>
      </c>
      <c r="K799" s="1" t="s">
        <v>74</v>
      </c>
      <c r="L799" s="1" t="s">
        <v>74</v>
      </c>
      <c r="M799" s="1" t="s">
        <v>80</v>
      </c>
      <c r="N799" s="1" t="s">
        <v>136</v>
      </c>
      <c r="O799" s="1" t="s">
        <v>74</v>
      </c>
      <c r="P799" s="1" t="s">
        <v>74</v>
      </c>
      <c r="Q799" s="1" t="s">
        <v>74</v>
      </c>
      <c r="R799" s="1" t="s">
        <v>74</v>
      </c>
      <c r="S799" s="1" t="s">
        <v>74</v>
      </c>
      <c r="T799" s="1" t="s">
        <v>16060</v>
      </c>
      <c r="U799" s="1" t="s">
        <v>16061</v>
      </c>
      <c r="V799" s="1" t="s">
        <v>16062</v>
      </c>
      <c r="W799" s="1" t="s">
        <v>16063</v>
      </c>
      <c r="X799" s="1" t="s">
        <v>16064</v>
      </c>
      <c r="Y799" s="1" t="s">
        <v>16065</v>
      </c>
      <c r="Z799" s="1" t="s">
        <v>16066</v>
      </c>
      <c r="AA799" s="1" t="s">
        <v>16067</v>
      </c>
      <c r="AB799" s="1" t="s">
        <v>16068</v>
      </c>
      <c r="AC799" s="1" t="s">
        <v>16069</v>
      </c>
      <c r="AD799" s="1" t="s">
        <v>8224</v>
      </c>
      <c r="AE799" s="1" t="s">
        <v>16070</v>
      </c>
      <c r="AF799" s="1" t="s">
        <v>74</v>
      </c>
      <c r="AG799" s="1">
        <v>103.0</v>
      </c>
      <c r="AH799" s="1">
        <v>13.0</v>
      </c>
      <c r="AI799" s="1">
        <v>13.0</v>
      </c>
      <c r="AJ799" s="1">
        <v>19.0</v>
      </c>
      <c r="AK799" s="1">
        <v>53.0</v>
      </c>
      <c r="AL799" s="1" t="s">
        <v>9622</v>
      </c>
      <c r="AM799" s="1" t="s">
        <v>4584</v>
      </c>
      <c r="AN799" s="1" t="s">
        <v>9623</v>
      </c>
      <c r="AO799" s="1" t="s">
        <v>74</v>
      </c>
      <c r="AP799" s="1" t="s">
        <v>9624</v>
      </c>
      <c r="AQ799" s="1" t="s">
        <v>74</v>
      </c>
      <c r="AR799" s="1" t="s">
        <v>9613</v>
      </c>
      <c r="AS799" s="1" t="s">
        <v>9625</v>
      </c>
      <c r="AT799" s="1" t="s">
        <v>199</v>
      </c>
      <c r="AU799" s="1">
        <v>2023.0</v>
      </c>
      <c r="AV799" s="1">
        <v>9.0</v>
      </c>
      <c r="AW799" s="1">
        <v>11.0</v>
      </c>
      <c r="AX799" s="1" t="s">
        <v>74</v>
      </c>
      <c r="AY799" s="1" t="s">
        <v>74</v>
      </c>
      <c r="AZ799" s="1" t="s">
        <v>74</v>
      </c>
      <c r="BA799" s="1" t="s">
        <v>74</v>
      </c>
      <c r="BB799" s="1" t="s">
        <v>74</v>
      </c>
      <c r="BC799" s="1" t="s">
        <v>74</v>
      </c>
      <c r="BD799" s="1" t="s">
        <v>16071</v>
      </c>
      <c r="BE799" s="1" t="s">
        <v>16072</v>
      </c>
      <c r="BF799" s="2" t="str">
        <f>HYPERLINK("http://dx.doi.org/10.1016/j.heliyon.2023.e21818","http://dx.doi.org/10.1016/j.heliyon.2023.e21818")</f>
        <v>http://dx.doi.org/10.1016/j.heliyon.2023.e21818</v>
      </c>
      <c r="BG799" s="1" t="s">
        <v>74</v>
      </c>
      <c r="BH799" s="1" t="s">
        <v>201</v>
      </c>
      <c r="BI799" s="1">
        <v>17.0</v>
      </c>
      <c r="BJ799" s="1" t="s">
        <v>4714</v>
      </c>
      <c r="BK799" s="1" t="s">
        <v>149</v>
      </c>
      <c r="BL799" s="1" t="s">
        <v>4715</v>
      </c>
      <c r="BM799" s="1" t="s">
        <v>16073</v>
      </c>
      <c r="BN799" s="1">
        <v>3.8034787E7</v>
      </c>
      <c r="BO799" s="1" t="s">
        <v>284</v>
      </c>
      <c r="BP799" s="1" t="s">
        <v>74</v>
      </c>
      <c r="BQ799" s="1" t="s">
        <v>74</v>
      </c>
      <c r="BR799" s="1" t="s">
        <v>102</v>
      </c>
      <c r="BS799" s="1" t="s">
        <v>16074</v>
      </c>
      <c r="BT799" s="1" t="str">
        <f>HYPERLINK("https%3A%2F%2Fwww.webofscience.com%2Fwos%2Fwoscc%2Ffull-record%2FWOS:001114512200001","View Full Record in Web of Science")</f>
        <v>View Full Record in Web of Science</v>
      </c>
    </row>
    <row r="800" ht="12.75" customHeight="1">
      <c r="A800" s="1" t="s">
        <v>132</v>
      </c>
      <c r="B800" s="1" t="s">
        <v>16075</v>
      </c>
      <c r="C800" s="1" t="s">
        <v>74</v>
      </c>
      <c r="D800" s="1" t="s">
        <v>74</v>
      </c>
      <c r="E800" s="1" t="s">
        <v>74</v>
      </c>
      <c r="F800" s="1" t="s">
        <v>16076</v>
      </c>
      <c r="G800" s="1" t="s">
        <v>74</v>
      </c>
      <c r="H800" s="1" t="s">
        <v>74</v>
      </c>
      <c r="I800" s="1" t="s">
        <v>16077</v>
      </c>
      <c r="J800" s="1" t="s">
        <v>16078</v>
      </c>
      <c r="K800" s="1" t="s">
        <v>74</v>
      </c>
      <c r="L800" s="1" t="s">
        <v>74</v>
      </c>
      <c r="M800" s="1" t="s">
        <v>80</v>
      </c>
      <c r="N800" s="1" t="s">
        <v>136</v>
      </c>
      <c r="O800" s="1" t="s">
        <v>74</v>
      </c>
      <c r="P800" s="1" t="s">
        <v>74</v>
      </c>
      <c r="Q800" s="1" t="s">
        <v>74</v>
      </c>
      <c r="R800" s="1" t="s">
        <v>74</v>
      </c>
      <c r="S800" s="1" t="s">
        <v>74</v>
      </c>
      <c r="T800" s="1" t="s">
        <v>16079</v>
      </c>
      <c r="U800" s="1" t="s">
        <v>16080</v>
      </c>
      <c r="V800" s="1" t="s">
        <v>16081</v>
      </c>
      <c r="W800" s="1" t="s">
        <v>16082</v>
      </c>
      <c r="X800" s="1" t="s">
        <v>16083</v>
      </c>
      <c r="Y800" s="1" t="s">
        <v>16084</v>
      </c>
      <c r="Z800" s="1" t="s">
        <v>16085</v>
      </c>
      <c r="AA800" s="1" t="s">
        <v>74</v>
      </c>
      <c r="AB800" s="1" t="s">
        <v>16086</v>
      </c>
      <c r="AC800" s="1" t="s">
        <v>16087</v>
      </c>
      <c r="AD800" s="1" t="s">
        <v>16087</v>
      </c>
      <c r="AE800" s="1" t="s">
        <v>16088</v>
      </c>
      <c r="AF800" s="1" t="s">
        <v>74</v>
      </c>
      <c r="AG800" s="1">
        <v>83.0</v>
      </c>
      <c r="AH800" s="1">
        <v>92.0</v>
      </c>
      <c r="AI800" s="1">
        <v>94.0</v>
      </c>
      <c r="AJ800" s="1">
        <v>63.0</v>
      </c>
      <c r="AK800" s="1">
        <v>369.0</v>
      </c>
      <c r="AL800" s="1" t="s">
        <v>2745</v>
      </c>
      <c r="AM800" s="1" t="s">
        <v>1090</v>
      </c>
      <c r="AN800" s="1" t="s">
        <v>2903</v>
      </c>
      <c r="AO800" s="1" t="s">
        <v>16089</v>
      </c>
      <c r="AP800" s="1" t="s">
        <v>16090</v>
      </c>
      <c r="AQ800" s="1" t="s">
        <v>74</v>
      </c>
      <c r="AR800" s="1" t="s">
        <v>16091</v>
      </c>
      <c r="AS800" s="1" t="s">
        <v>16092</v>
      </c>
      <c r="AT800" s="1" t="s">
        <v>1364</v>
      </c>
      <c r="AU800" s="1">
        <v>2021.0</v>
      </c>
      <c r="AV800" s="1">
        <v>95.0</v>
      </c>
      <c r="AW800" s="1" t="s">
        <v>74</v>
      </c>
      <c r="AX800" s="1" t="s">
        <v>74</v>
      </c>
      <c r="AY800" s="1" t="s">
        <v>74</v>
      </c>
      <c r="AZ800" s="1" t="s">
        <v>74</v>
      </c>
      <c r="BA800" s="1" t="s">
        <v>74</v>
      </c>
      <c r="BB800" s="1" t="s">
        <v>74</v>
      </c>
      <c r="BC800" s="1" t="s">
        <v>74</v>
      </c>
      <c r="BD800" s="1">
        <v>102763.0</v>
      </c>
      <c r="BE800" s="1" t="s">
        <v>16093</v>
      </c>
      <c r="BF800" s="2" t="str">
        <f>HYPERLINK("http://dx.doi.org/10.1016/j.ijhm.2020.102763","http://dx.doi.org/10.1016/j.ijhm.2020.102763")</f>
        <v>http://dx.doi.org/10.1016/j.ijhm.2020.102763</v>
      </c>
      <c r="BG800" s="1" t="s">
        <v>74</v>
      </c>
      <c r="BH800" s="1" t="s">
        <v>4307</v>
      </c>
      <c r="BI800" s="1">
        <v>12.0</v>
      </c>
      <c r="BJ800" s="1" t="s">
        <v>2100</v>
      </c>
      <c r="BK800" s="1" t="s">
        <v>203</v>
      </c>
      <c r="BL800" s="1" t="s">
        <v>100</v>
      </c>
      <c r="BM800" s="1" t="s">
        <v>16094</v>
      </c>
      <c r="BN800" s="1" t="s">
        <v>74</v>
      </c>
      <c r="BO800" s="1" t="s">
        <v>74</v>
      </c>
      <c r="BP800" s="1" t="s">
        <v>74</v>
      </c>
      <c r="BQ800" s="1" t="s">
        <v>74</v>
      </c>
      <c r="BR800" s="1" t="s">
        <v>102</v>
      </c>
      <c r="BS800" s="1" t="s">
        <v>16095</v>
      </c>
      <c r="BT800" s="1" t="str">
        <f>HYPERLINK("https%3A%2F%2Fwww.webofscience.com%2Fwos%2Fwoscc%2Ffull-record%2FWOS:000694867200005","View Full Record in Web of Science")</f>
        <v>View Full Record in Web of Science</v>
      </c>
    </row>
    <row r="801" ht="12.75" customHeight="1">
      <c r="A801" s="1" t="s">
        <v>132</v>
      </c>
      <c r="B801" s="1" t="s">
        <v>16096</v>
      </c>
      <c r="C801" s="1" t="s">
        <v>74</v>
      </c>
      <c r="D801" s="1" t="s">
        <v>74</v>
      </c>
      <c r="E801" s="1" t="s">
        <v>74</v>
      </c>
      <c r="F801" s="1" t="s">
        <v>16097</v>
      </c>
      <c r="G801" s="1" t="s">
        <v>74</v>
      </c>
      <c r="H801" s="1" t="s">
        <v>74</v>
      </c>
      <c r="I801" s="1" t="s">
        <v>16098</v>
      </c>
      <c r="J801" s="1" t="s">
        <v>879</v>
      </c>
      <c r="K801" s="1" t="s">
        <v>74</v>
      </c>
      <c r="L801" s="1" t="s">
        <v>74</v>
      </c>
      <c r="M801" s="1" t="s">
        <v>80</v>
      </c>
      <c r="N801" s="1" t="s">
        <v>136</v>
      </c>
      <c r="O801" s="1" t="s">
        <v>74</v>
      </c>
      <c r="P801" s="1" t="s">
        <v>74</v>
      </c>
      <c r="Q801" s="1" t="s">
        <v>74</v>
      </c>
      <c r="R801" s="1" t="s">
        <v>74</v>
      </c>
      <c r="S801" s="1" t="s">
        <v>74</v>
      </c>
      <c r="T801" s="1" t="s">
        <v>16099</v>
      </c>
      <c r="U801" s="1" t="s">
        <v>16100</v>
      </c>
      <c r="V801" s="1" t="s">
        <v>16101</v>
      </c>
      <c r="W801" s="1" t="s">
        <v>16102</v>
      </c>
      <c r="X801" s="1" t="s">
        <v>11057</v>
      </c>
      <c r="Y801" s="1" t="s">
        <v>16103</v>
      </c>
      <c r="Z801" s="1" t="s">
        <v>74</v>
      </c>
      <c r="AA801" s="1" t="s">
        <v>74</v>
      </c>
      <c r="AB801" s="1" t="s">
        <v>74</v>
      </c>
      <c r="AC801" s="1" t="s">
        <v>74</v>
      </c>
      <c r="AD801" s="1" t="s">
        <v>74</v>
      </c>
      <c r="AE801" s="1" t="s">
        <v>74</v>
      </c>
      <c r="AF801" s="1" t="s">
        <v>74</v>
      </c>
      <c r="AG801" s="1">
        <v>66.0</v>
      </c>
      <c r="AH801" s="1">
        <v>0.0</v>
      </c>
      <c r="AI801" s="1">
        <v>0.0</v>
      </c>
      <c r="AJ801" s="1">
        <v>10.0</v>
      </c>
      <c r="AK801" s="1">
        <v>10.0</v>
      </c>
      <c r="AL801" s="1" t="s">
        <v>885</v>
      </c>
      <c r="AM801" s="1" t="s">
        <v>886</v>
      </c>
      <c r="AN801" s="1" t="s">
        <v>887</v>
      </c>
      <c r="AO801" s="1" t="s">
        <v>888</v>
      </c>
      <c r="AP801" s="1" t="s">
        <v>889</v>
      </c>
      <c r="AQ801" s="1" t="s">
        <v>74</v>
      </c>
      <c r="AR801" s="1" t="s">
        <v>890</v>
      </c>
      <c r="AS801" s="1" t="s">
        <v>891</v>
      </c>
      <c r="AT801" s="1" t="s">
        <v>74</v>
      </c>
      <c r="AU801" s="1">
        <v>2024.0</v>
      </c>
      <c r="AV801" s="1">
        <v>13.0</v>
      </c>
      <c r="AW801" s="1">
        <v>4.0</v>
      </c>
      <c r="AX801" s="1" t="s">
        <v>74</v>
      </c>
      <c r="AY801" s="1" t="s">
        <v>74</v>
      </c>
      <c r="AZ801" s="1" t="s">
        <v>74</v>
      </c>
      <c r="BA801" s="1" t="s">
        <v>74</v>
      </c>
      <c r="BB801" s="1">
        <v>191.0</v>
      </c>
      <c r="BC801" s="1">
        <v>202.0</v>
      </c>
      <c r="BD801" s="1" t="s">
        <v>74</v>
      </c>
      <c r="BE801" s="1" t="s">
        <v>16104</v>
      </c>
      <c r="BF801" s="2" t="str">
        <f>HYPERLINK("http://dx.doi.org/10.14207/ejsd.2024.v13n4p191","http://dx.doi.org/10.14207/ejsd.2024.v13n4p191")</f>
        <v>http://dx.doi.org/10.14207/ejsd.2024.v13n4p191</v>
      </c>
      <c r="BG801" s="1" t="s">
        <v>74</v>
      </c>
      <c r="BH801" s="1" t="s">
        <v>74</v>
      </c>
      <c r="BI801" s="1">
        <v>12.0</v>
      </c>
      <c r="BJ801" s="1" t="s">
        <v>893</v>
      </c>
      <c r="BK801" s="1" t="s">
        <v>172</v>
      </c>
      <c r="BL801" s="1" t="s">
        <v>894</v>
      </c>
      <c r="BM801" s="1" t="s">
        <v>16105</v>
      </c>
      <c r="BN801" s="1" t="s">
        <v>74</v>
      </c>
      <c r="BO801" s="1" t="s">
        <v>174</v>
      </c>
      <c r="BP801" s="1" t="s">
        <v>74</v>
      </c>
      <c r="BQ801" s="1" t="s">
        <v>74</v>
      </c>
      <c r="BR801" s="1" t="s">
        <v>102</v>
      </c>
      <c r="BS801" s="1" t="s">
        <v>16106</v>
      </c>
      <c r="BT801" s="1" t="str">
        <f>HYPERLINK("https%3A%2F%2Fwww.webofscience.com%2Fwos%2Fwoscc%2Ffull-record%2FWOS:001330880800016","View Full Record in Web of Science")</f>
        <v>View Full Record in Web of Science</v>
      </c>
    </row>
    <row r="802" ht="12.75" customHeight="1">
      <c r="A802" s="1" t="s">
        <v>132</v>
      </c>
      <c r="B802" s="1" t="s">
        <v>16107</v>
      </c>
      <c r="C802" s="1" t="s">
        <v>74</v>
      </c>
      <c r="D802" s="1" t="s">
        <v>74</v>
      </c>
      <c r="E802" s="1" t="s">
        <v>74</v>
      </c>
      <c r="F802" s="1" t="s">
        <v>16108</v>
      </c>
      <c r="G802" s="1" t="s">
        <v>74</v>
      </c>
      <c r="H802" s="1" t="s">
        <v>74</v>
      </c>
      <c r="I802" s="1" t="s">
        <v>16109</v>
      </c>
      <c r="J802" s="1" t="s">
        <v>16110</v>
      </c>
      <c r="K802" s="1" t="s">
        <v>74</v>
      </c>
      <c r="L802" s="1" t="s">
        <v>74</v>
      </c>
      <c r="M802" s="1" t="s">
        <v>157</v>
      </c>
      <c r="N802" s="1" t="s">
        <v>136</v>
      </c>
      <c r="O802" s="1" t="s">
        <v>74</v>
      </c>
      <c r="P802" s="1" t="s">
        <v>74</v>
      </c>
      <c r="Q802" s="1" t="s">
        <v>74</v>
      </c>
      <c r="R802" s="1" t="s">
        <v>74</v>
      </c>
      <c r="S802" s="1" t="s">
        <v>74</v>
      </c>
      <c r="T802" s="1" t="s">
        <v>16111</v>
      </c>
      <c r="U802" s="1" t="s">
        <v>74</v>
      </c>
      <c r="V802" s="1" t="s">
        <v>16112</v>
      </c>
      <c r="W802" s="1" t="s">
        <v>16113</v>
      </c>
      <c r="X802" s="1" t="s">
        <v>16114</v>
      </c>
      <c r="Y802" s="1" t="s">
        <v>16115</v>
      </c>
      <c r="Z802" s="1" t="s">
        <v>16116</v>
      </c>
      <c r="AA802" s="1" t="s">
        <v>16117</v>
      </c>
      <c r="AB802" s="1" t="s">
        <v>16118</v>
      </c>
      <c r="AC802" s="1" t="s">
        <v>74</v>
      </c>
      <c r="AD802" s="1" t="s">
        <v>74</v>
      </c>
      <c r="AE802" s="1" t="s">
        <v>74</v>
      </c>
      <c r="AF802" s="1" t="s">
        <v>74</v>
      </c>
      <c r="AG802" s="1">
        <v>15.0</v>
      </c>
      <c r="AH802" s="1">
        <v>0.0</v>
      </c>
      <c r="AI802" s="1">
        <v>1.0</v>
      </c>
      <c r="AJ802" s="1">
        <v>7.0</v>
      </c>
      <c r="AK802" s="1">
        <v>47.0</v>
      </c>
      <c r="AL802" s="1" t="s">
        <v>16119</v>
      </c>
      <c r="AM802" s="1" t="s">
        <v>16120</v>
      </c>
      <c r="AN802" s="1" t="s">
        <v>16121</v>
      </c>
      <c r="AO802" s="1" t="s">
        <v>16122</v>
      </c>
      <c r="AP802" s="1" t="s">
        <v>74</v>
      </c>
      <c r="AQ802" s="1" t="s">
        <v>74</v>
      </c>
      <c r="AR802" s="1" t="s">
        <v>16123</v>
      </c>
      <c r="AS802" s="1" t="s">
        <v>16124</v>
      </c>
      <c r="AT802" s="1" t="s">
        <v>4393</v>
      </c>
      <c r="AU802" s="1">
        <v>2021.0</v>
      </c>
      <c r="AV802" s="1">
        <v>23.0</v>
      </c>
      <c r="AW802" s="1">
        <v>1.0</v>
      </c>
      <c r="AX802" s="1" t="s">
        <v>74</v>
      </c>
      <c r="AY802" s="1" t="s">
        <v>74</v>
      </c>
      <c r="AZ802" s="1" t="s">
        <v>74</v>
      </c>
      <c r="BA802" s="1" t="s">
        <v>74</v>
      </c>
      <c r="BB802" s="1">
        <v>2.0</v>
      </c>
      <c r="BC802" s="1">
        <v>19.0</v>
      </c>
      <c r="BD802" s="1" t="s">
        <v>74</v>
      </c>
      <c r="BE802" s="1" t="s">
        <v>16125</v>
      </c>
      <c r="BF802" s="2" t="str">
        <f>HYPERLINK("http://dx.doi.org/10.20396/etd.v23i1.8656150","http://dx.doi.org/10.20396/etd.v23i1.8656150")</f>
        <v>http://dx.doi.org/10.20396/etd.v23i1.8656150</v>
      </c>
      <c r="BG802" s="1" t="s">
        <v>74</v>
      </c>
      <c r="BH802" s="1" t="s">
        <v>74</v>
      </c>
      <c r="BI802" s="1">
        <v>18.0</v>
      </c>
      <c r="BJ802" s="1" t="s">
        <v>171</v>
      </c>
      <c r="BK802" s="1" t="s">
        <v>172</v>
      </c>
      <c r="BL802" s="1" t="s">
        <v>171</v>
      </c>
      <c r="BM802" s="1" t="s">
        <v>16126</v>
      </c>
      <c r="BN802" s="1" t="s">
        <v>74</v>
      </c>
      <c r="BO802" s="1" t="s">
        <v>174</v>
      </c>
      <c r="BP802" s="1" t="s">
        <v>74</v>
      </c>
      <c r="BQ802" s="1" t="s">
        <v>74</v>
      </c>
      <c r="BR802" s="1" t="s">
        <v>102</v>
      </c>
      <c r="BS802" s="1" t="s">
        <v>16127</v>
      </c>
      <c r="BT802" s="1" t="str">
        <f>HYPERLINK("https%3A%2F%2Fwww.webofscience.com%2Fwos%2Fwoscc%2Ffull-record%2FWOS:000654699500002","View Full Record in Web of Science")</f>
        <v>View Full Record in Web of Science</v>
      </c>
    </row>
    <row r="803" ht="12.75" customHeight="1">
      <c r="A803" s="1" t="s">
        <v>132</v>
      </c>
      <c r="B803" s="1" t="s">
        <v>16128</v>
      </c>
      <c r="C803" s="1" t="s">
        <v>74</v>
      </c>
      <c r="D803" s="1" t="s">
        <v>74</v>
      </c>
      <c r="E803" s="1" t="s">
        <v>74</v>
      </c>
      <c r="F803" s="1" t="s">
        <v>16129</v>
      </c>
      <c r="G803" s="1" t="s">
        <v>74</v>
      </c>
      <c r="H803" s="1" t="s">
        <v>74</v>
      </c>
      <c r="I803" s="1" t="s">
        <v>16130</v>
      </c>
      <c r="J803" s="1" t="s">
        <v>6521</v>
      </c>
      <c r="K803" s="1" t="s">
        <v>74</v>
      </c>
      <c r="L803" s="1" t="s">
        <v>74</v>
      </c>
      <c r="M803" s="1" t="s">
        <v>80</v>
      </c>
      <c r="N803" s="1" t="s">
        <v>1563</v>
      </c>
      <c r="O803" s="1" t="s">
        <v>74</v>
      </c>
      <c r="P803" s="1" t="s">
        <v>74</v>
      </c>
      <c r="Q803" s="1" t="s">
        <v>74</v>
      </c>
      <c r="R803" s="1" t="s">
        <v>74</v>
      </c>
      <c r="S803" s="1" t="s">
        <v>74</v>
      </c>
      <c r="T803" s="1" t="s">
        <v>16131</v>
      </c>
      <c r="U803" s="1" t="s">
        <v>74</v>
      </c>
      <c r="V803" s="1" t="s">
        <v>16132</v>
      </c>
      <c r="W803" s="1" t="s">
        <v>16133</v>
      </c>
      <c r="X803" s="1" t="s">
        <v>16134</v>
      </c>
      <c r="Y803" s="1" t="s">
        <v>16135</v>
      </c>
      <c r="Z803" s="1" t="s">
        <v>16136</v>
      </c>
      <c r="AA803" s="1" t="s">
        <v>74</v>
      </c>
      <c r="AB803" s="1" t="s">
        <v>16137</v>
      </c>
      <c r="AC803" s="1" t="s">
        <v>74</v>
      </c>
      <c r="AD803" s="1" t="s">
        <v>74</v>
      </c>
      <c r="AE803" s="1" t="s">
        <v>74</v>
      </c>
      <c r="AF803" s="1" t="s">
        <v>74</v>
      </c>
      <c r="AG803" s="1">
        <v>27.0</v>
      </c>
      <c r="AH803" s="1">
        <v>5.0</v>
      </c>
      <c r="AI803" s="1">
        <v>6.0</v>
      </c>
      <c r="AJ803" s="1">
        <v>8.0</v>
      </c>
      <c r="AK803" s="1">
        <v>36.0</v>
      </c>
      <c r="AL803" s="1" t="s">
        <v>1571</v>
      </c>
      <c r="AM803" s="1" t="s">
        <v>1572</v>
      </c>
      <c r="AN803" s="1" t="s">
        <v>1573</v>
      </c>
      <c r="AO803" s="1" t="s">
        <v>6534</v>
      </c>
      <c r="AP803" s="1" t="s">
        <v>74</v>
      </c>
      <c r="AQ803" s="1" t="s">
        <v>74</v>
      </c>
      <c r="AR803" s="1" t="s">
        <v>6535</v>
      </c>
      <c r="AS803" s="1" t="s">
        <v>6536</v>
      </c>
      <c r="AT803" s="1" t="s">
        <v>870</v>
      </c>
      <c r="AU803" s="1">
        <v>2022.0</v>
      </c>
      <c r="AV803" s="1">
        <v>9.0</v>
      </c>
      <c r="AW803" s="1">
        <v>1.0</v>
      </c>
      <c r="AX803" s="1" t="s">
        <v>74</v>
      </c>
      <c r="AY803" s="1" t="s">
        <v>74</v>
      </c>
      <c r="AZ803" s="1" t="s">
        <v>74</v>
      </c>
      <c r="BA803" s="1" t="s">
        <v>74</v>
      </c>
      <c r="BB803" s="1" t="s">
        <v>74</v>
      </c>
      <c r="BC803" s="1" t="s">
        <v>74</v>
      </c>
      <c r="BD803" s="1" t="s">
        <v>74</v>
      </c>
      <c r="BE803" s="1" t="s">
        <v>16138</v>
      </c>
      <c r="BF803" s="2" t="str">
        <f>HYPERLINK("http://dx.doi.org/10.1177/20539517221080676","http://dx.doi.org/10.1177/20539517221080676")</f>
        <v>http://dx.doi.org/10.1177/20539517221080676</v>
      </c>
      <c r="BG803" s="1" t="s">
        <v>74</v>
      </c>
      <c r="BH803" s="1" t="s">
        <v>74</v>
      </c>
      <c r="BI803" s="1">
        <v>5.0</v>
      </c>
      <c r="BJ803" s="1" t="s">
        <v>98</v>
      </c>
      <c r="BK803" s="1" t="s">
        <v>203</v>
      </c>
      <c r="BL803" s="1" t="s">
        <v>100</v>
      </c>
      <c r="BM803" s="1" t="s">
        <v>16139</v>
      </c>
      <c r="BN803" s="1" t="s">
        <v>74</v>
      </c>
      <c r="BO803" s="1" t="s">
        <v>174</v>
      </c>
      <c r="BP803" s="1" t="s">
        <v>74</v>
      </c>
      <c r="BQ803" s="1" t="s">
        <v>74</v>
      </c>
      <c r="BR803" s="1" t="s">
        <v>102</v>
      </c>
      <c r="BS803" s="1" t="s">
        <v>16140</v>
      </c>
      <c r="BT803" s="1" t="str">
        <f>HYPERLINK("https%3A%2F%2Fwww.webofscience.com%2Fwos%2Fwoscc%2Ffull-record%2FWOS:000765335700001","View Full Record in Web of Science")</f>
        <v>View Full Record in Web of Science</v>
      </c>
    </row>
    <row r="804" ht="12.75" customHeight="1">
      <c r="A804" s="1" t="s">
        <v>132</v>
      </c>
      <c r="B804" s="1" t="s">
        <v>16141</v>
      </c>
      <c r="C804" s="1" t="s">
        <v>74</v>
      </c>
      <c r="D804" s="1" t="s">
        <v>74</v>
      </c>
      <c r="E804" s="1" t="s">
        <v>74</v>
      </c>
      <c r="F804" s="1" t="s">
        <v>16142</v>
      </c>
      <c r="G804" s="1" t="s">
        <v>74</v>
      </c>
      <c r="H804" s="1" t="s">
        <v>74</v>
      </c>
      <c r="I804" s="1" t="s">
        <v>16143</v>
      </c>
      <c r="J804" s="1" t="s">
        <v>10173</v>
      </c>
      <c r="K804" s="1" t="s">
        <v>74</v>
      </c>
      <c r="L804" s="1" t="s">
        <v>74</v>
      </c>
      <c r="M804" s="1" t="s">
        <v>80</v>
      </c>
      <c r="N804" s="1" t="s">
        <v>1010</v>
      </c>
      <c r="O804" s="1" t="s">
        <v>74</v>
      </c>
      <c r="P804" s="1" t="s">
        <v>74</v>
      </c>
      <c r="Q804" s="1" t="s">
        <v>74</v>
      </c>
      <c r="R804" s="1" t="s">
        <v>74</v>
      </c>
      <c r="S804" s="1" t="s">
        <v>74</v>
      </c>
      <c r="T804" s="1" t="s">
        <v>16144</v>
      </c>
      <c r="U804" s="1" t="s">
        <v>16145</v>
      </c>
      <c r="V804" s="1" t="s">
        <v>16146</v>
      </c>
      <c r="W804" s="1" t="s">
        <v>16147</v>
      </c>
      <c r="X804" s="1" t="s">
        <v>16148</v>
      </c>
      <c r="Y804" s="1" t="s">
        <v>16149</v>
      </c>
      <c r="Z804" s="1" t="s">
        <v>16150</v>
      </c>
      <c r="AA804" s="1" t="s">
        <v>16151</v>
      </c>
      <c r="AB804" s="1" t="s">
        <v>16152</v>
      </c>
      <c r="AC804" s="1" t="s">
        <v>74</v>
      </c>
      <c r="AD804" s="1" t="s">
        <v>74</v>
      </c>
      <c r="AE804" s="1" t="s">
        <v>16153</v>
      </c>
      <c r="AF804" s="1" t="s">
        <v>74</v>
      </c>
      <c r="AG804" s="1">
        <v>94.0</v>
      </c>
      <c r="AH804" s="1">
        <v>0.0</v>
      </c>
      <c r="AI804" s="1">
        <v>0.0</v>
      </c>
      <c r="AJ804" s="1">
        <v>19.0</v>
      </c>
      <c r="AK804" s="1">
        <v>19.0</v>
      </c>
      <c r="AL804" s="1" t="s">
        <v>2745</v>
      </c>
      <c r="AM804" s="1" t="s">
        <v>2746</v>
      </c>
      <c r="AN804" s="1" t="s">
        <v>2747</v>
      </c>
      <c r="AO804" s="1" t="s">
        <v>10183</v>
      </c>
      <c r="AP804" s="1" t="s">
        <v>10184</v>
      </c>
      <c r="AQ804" s="1" t="s">
        <v>74</v>
      </c>
      <c r="AR804" s="1" t="s">
        <v>10185</v>
      </c>
      <c r="AS804" s="1" t="s">
        <v>10186</v>
      </c>
      <c r="AT804" s="1" t="s">
        <v>1709</v>
      </c>
      <c r="AU804" s="1">
        <v>2024.0</v>
      </c>
      <c r="AV804" s="1">
        <v>29.0</v>
      </c>
      <c r="AW804" s="1">
        <v>9.0</v>
      </c>
      <c r="AX804" s="1" t="s">
        <v>74</v>
      </c>
      <c r="AY804" s="1" t="s">
        <v>74</v>
      </c>
      <c r="AZ804" s="1" t="s">
        <v>74</v>
      </c>
      <c r="BA804" s="1" t="s">
        <v>74</v>
      </c>
      <c r="BB804" s="1" t="s">
        <v>74</v>
      </c>
      <c r="BC804" s="1" t="s">
        <v>74</v>
      </c>
      <c r="BD804" s="1">
        <v>104111.0</v>
      </c>
      <c r="BE804" s="1" t="s">
        <v>16154</v>
      </c>
      <c r="BF804" s="2" t="str">
        <f>HYPERLINK("http://dx.doi.org/10.1016/j.drudis.2024.104111","http://dx.doi.org/10.1016/j.drudis.2024.104111")</f>
        <v>http://dx.doi.org/10.1016/j.drudis.2024.104111</v>
      </c>
      <c r="BG804" s="1" t="s">
        <v>74</v>
      </c>
      <c r="BH804" s="1" t="s">
        <v>1929</v>
      </c>
      <c r="BI804" s="1">
        <v>12.0</v>
      </c>
      <c r="BJ804" s="1" t="s">
        <v>7236</v>
      </c>
      <c r="BK804" s="1" t="s">
        <v>149</v>
      </c>
      <c r="BL804" s="1" t="s">
        <v>7236</v>
      </c>
      <c r="BM804" s="1" t="s">
        <v>16155</v>
      </c>
      <c r="BN804" s="1">
        <v>3.9034026E7</v>
      </c>
      <c r="BO804" s="1" t="s">
        <v>74</v>
      </c>
      <c r="BP804" s="1" t="s">
        <v>74</v>
      </c>
      <c r="BQ804" s="1" t="s">
        <v>74</v>
      </c>
      <c r="BR804" s="1" t="s">
        <v>102</v>
      </c>
      <c r="BS804" s="1" t="s">
        <v>16156</v>
      </c>
      <c r="BT804" s="1" t="str">
        <f>HYPERLINK("https%3A%2F%2Fwww.webofscience.com%2Fwos%2Fwoscc%2Ffull-record%2FWOS:001282434100001","View Full Record in Web of Science")</f>
        <v>View Full Record in Web of Science</v>
      </c>
    </row>
    <row r="805" ht="12.75" customHeight="1">
      <c r="A805" s="1" t="s">
        <v>132</v>
      </c>
      <c r="B805" s="1" t="s">
        <v>16157</v>
      </c>
      <c r="C805" s="1" t="s">
        <v>74</v>
      </c>
      <c r="D805" s="1" t="s">
        <v>74</v>
      </c>
      <c r="E805" s="1" t="s">
        <v>74</v>
      </c>
      <c r="F805" s="1" t="s">
        <v>16158</v>
      </c>
      <c r="G805" s="1" t="s">
        <v>74</v>
      </c>
      <c r="H805" s="1" t="s">
        <v>74</v>
      </c>
      <c r="I805" s="1" t="s">
        <v>16159</v>
      </c>
      <c r="J805" s="1" t="s">
        <v>16160</v>
      </c>
      <c r="K805" s="1" t="s">
        <v>74</v>
      </c>
      <c r="L805" s="1" t="s">
        <v>74</v>
      </c>
      <c r="M805" s="1" t="s">
        <v>80</v>
      </c>
      <c r="N805" s="1" t="s">
        <v>1563</v>
      </c>
      <c r="O805" s="1" t="s">
        <v>74</v>
      </c>
      <c r="P805" s="1" t="s">
        <v>74</v>
      </c>
      <c r="Q805" s="1" t="s">
        <v>74</v>
      </c>
      <c r="R805" s="1" t="s">
        <v>74</v>
      </c>
      <c r="S805" s="1" t="s">
        <v>74</v>
      </c>
      <c r="T805" s="1" t="s">
        <v>16161</v>
      </c>
      <c r="U805" s="1" t="s">
        <v>74</v>
      </c>
      <c r="V805" s="1" t="s">
        <v>16162</v>
      </c>
      <c r="W805" s="1" t="s">
        <v>16163</v>
      </c>
      <c r="X805" s="1" t="s">
        <v>16164</v>
      </c>
      <c r="Y805" s="1" t="s">
        <v>16165</v>
      </c>
      <c r="Z805" s="1" t="s">
        <v>16166</v>
      </c>
      <c r="AA805" s="1" t="s">
        <v>16167</v>
      </c>
      <c r="AB805" s="1" t="s">
        <v>16168</v>
      </c>
      <c r="AC805" s="1" t="s">
        <v>74</v>
      </c>
      <c r="AD805" s="1" t="s">
        <v>74</v>
      </c>
      <c r="AE805" s="1" t="s">
        <v>74</v>
      </c>
      <c r="AF805" s="1" t="s">
        <v>74</v>
      </c>
      <c r="AG805" s="1">
        <v>22.0</v>
      </c>
      <c r="AH805" s="1">
        <v>15.0</v>
      </c>
      <c r="AI805" s="1">
        <v>15.0</v>
      </c>
      <c r="AJ805" s="1">
        <v>12.0</v>
      </c>
      <c r="AK805" s="1">
        <v>32.0</v>
      </c>
      <c r="AL805" s="1" t="s">
        <v>321</v>
      </c>
      <c r="AM805" s="1" t="s">
        <v>322</v>
      </c>
      <c r="AN805" s="1" t="s">
        <v>323</v>
      </c>
      <c r="AO805" s="1" t="s">
        <v>16169</v>
      </c>
      <c r="AP805" s="1" t="s">
        <v>16170</v>
      </c>
      <c r="AQ805" s="1" t="s">
        <v>74</v>
      </c>
      <c r="AR805" s="1" t="s">
        <v>16171</v>
      </c>
      <c r="AS805" s="1" t="s">
        <v>16172</v>
      </c>
      <c r="AT805" s="1" t="s">
        <v>2469</v>
      </c>
      <c r="AU805" s="1">
        <v>2023.0</v>
      </c>
      <c r="AV805" s="1">
        <v>87.0</v>
      </c>
      <c r="AW805" s="1">
        <v>10.0</v>
      </c>
      <c r="AX805" s="1" t="s">
        <v>74</v>
      </c>
      <c r="AY805" s="1" t="s">
        <v>74</v>
      </c>
      <c r="AZ805" s="1" t="s">
        <v>74</v>
      </c>
      <c r="BA805" s="1" t="s">
        <v>74</v>
      </c>
      <c r="BB805" s="1" t="s">
        <v>74</v>
      </c>
      <c r="BC805" s="1" t="s">
        <v>74</v>
      </c>
      <c r="BD805" s="1">
        <v>100135.0</v>
      </c>
      <c r="BE805" s="1" t="s">
        <v>16173</v>
      </c>
      <c r="BF805" s="2" t="str">
        <f>HYPERLINK("http://dx.doi.org/10.1016/j.ajpe.2023.100135","http://dx.doi.org/10.1016/j.ajpe.2023.100135")</f>
        <v>http://dx.doi.org/10.1016/j.ajpe.2023.100135</v>
      </c>
      <c r="BG805" s="1" t="s">
        <v>74</v>
      </c>
      <c r="BH805" s="1" t="s">
        <v>6939</v>
      </c>
      <c r="BI805" s="1">
        <v>5.0</v>
      </c>
      <c r="BJ805" s="1" t="s">
        <v>16174</v>
      </c>
      <c r="BK805" s="1" t="s">
        <v>149</v>
      </c>
      <c r="BL805" s="1" t="s">
        <v>16175</v>
      </c>
      <c r="BM805" s="1" t="s">
        <v>16176</v>
      </c>
      <c r="BN805" s="1">
        <v>3.7852692E7</v>
      </c>
      <c r="BO805" s="1" t="s">
        <v>174</v>
      </c>
      <c r="BP805" s="1" t="s">
        <v>74</v>
      </c>
      <c r="BQ805" s="1" t="s">
        <v>74</v>
      </c>
      <c r="BR805" s="1" t="s">
        <v>102</v>
      </c>
      <c r="BS805" s="1" t="s">
        <v>16177</v>
      </c>
      <c r="BT805" s="1" t="str">
        <f>HYPERLINK("https%3A%2F%2Fwww.webofscience.com%2Fwos%2Fwoscc%2Ffull-record%2FWOS:001126641800001","View Full Record in Web of Science")</f>
        <v>View Full Record in Web of Science</v>
      </c>
    </row>
    <row r="806" ht="12.75" customHeight="1">
      <c r="A806" s="1" t="s">
        <v>132</v>
      </c>
      <c r="B806" s="1" t="s">
        <v>16178</v>
      </c>
      <c r="C806" s="1" t="s">
        <v>74</v>
      </c>
      <c r="D806" s="1" t="s">
        <v>74</v>
      </c>
      <c r="E806" s="1" t="s">
        <v>74</v>
      </c>
      <c r="F806" s="1" t="s">
        <v>16179</v>
      </c>
      <c r="G806" s="1" t="s">
        <v>74</v>
      </c>
      <c r="H806" s="1" t="s">
        <v>74</v>
      </c>
      <c r="I806" s="1" t="s">
        <v>16180</v>
      </c>
      <c r="J806" s="1" t="s">
        <v>16181</v>
      </c>
      <c r="K806" s="1" t="s">
        <v>74</v>
      </c>
      <c r="L806" s="1" t="s">
        <v>74</v>
      </c>
      <c r="M806" s="1" t="s">
        <v>80</v>
      </c>
      <c r="N806" s="1" t="s">
        <v>136</v>
      </c>
      <c r="O806" s="1" t="s">
        <v>74</v>
      </c>
      <c r="P806" s="1" t="s">
        <v>74</v>
      </c>
      <c r="Q806" s="1" t="s">
        <v>74</v>
      </c>
      <c r="R806" s="1" t="s">
        <v>74</v>
      </c>
      <c r="S806" s="1" t="s">
        <v>74</v>
      </c>
      <c r="T806" s="1" t="s">
        <v>16182</v>
      </c>
      <c r="U806" s="1" t="s">
        <v>74</v>
      </c>
      <c r="V806" s="1" t="s">
        <v>16183</v>
      </c>
      <c r="W806" s="1" t="s">
        <v>16184</v>
      </c>
      <c r="X806" s="1" t="s">
        <v>16185</v>
      </c>
      <c r="Y806" s="1" t="s">
        <v>16186</v>
      </c>
      <c r="Z806" s="1" t="s">
        <v>16187</v>
      </c>
      <c r="AA806" s="1" t="s">
        <v>74</v>
      </c>
      <c r="AB806" s="1" t="s">
        <v>74</v>
      </c>
      <c r="AC806" s="1" t="s">
        <v>74</v>
      </c>
      <c r="AD806" s="1" t="s">
        <v>74</v>
      </c>
      <c r="AE806" s="1" t="s">
        <v>74</v>
      </c>
      <c r="AF806" s="1" t="s">
        <v>74</v>
      </c>
      <c r="AG806" s="1">
        <v>46.0</v>
      </c>
      <c r="AH806" s="1">
        <v>0.0</v>
      </c>
      <c r="AI806" s="1">
        <v>0.0</v>
      </c>
      <c r="AJ806" s="1">
        <v>1.0</v>
      </c>
      <c r="AK806" s="1">
        <v>1.0</v>
      </c>
      <c r="AL806" s="1" t="s">
        <v>16188</v>
      </c>
      <c r="AM806" s="1" t="s">
        <v>907</v>
      </c>
      <c r="AN806" s="1" t="s">
        <v>16189</v>
      </c>
      <c r="AO806" s="1" t="s">
        <v>16190</v>
      </c>
      <c r="AP806" s="1" t="s">
        <v>16191</v>
      </c>
      <c r="AQ806" s="1" t="s">
        <v>74</v>
      </c>
      <c r="AR806" s="1" t="s">
        <v>16181</v>
      </c>
      <c r="AS806" s="1" t="s">
        <v>16192</v>
      </c>
      <c r="AT806" s="1" t="s">
        <v>2098</v>
      </c>
      <c r="AU806" s="1">
        <v>2024.0</v>
      </c>
      <c r="AV806" s="1">
        <v>29.0</v>
      </c>
      <c r="AW806" s="1">
        <v>45.0</v>
      </c>
      <c r="AX806" s="1" t="s">
        <v>74</v>
      </c>
      <c r="AY806" s="1" t="s">
        <v>74</v>
      </c>
      <c r="AZ806" s="1" t="s">
        <v>74</v>
      </c>
      <c r="BA806" s="1" t="s">
        <v>74</v>
      </c>
      <c r="BB806" s="1" t="s">
        <v>74</v>
      </c>
      <c r="BC806" s="1" t="s">
        <v>74</v>
      </c>
      <c r="BD806" s="1">
        <v>7170.0</v>
      </c>
      <c r="BE806" s="1" t="s">
        <v>16193</v>
      </c>
      <c r="BF806" s="2" t="str">
        <f>HYPERLINK("http://dx.doi.org/10.17081/just.29.45.7170","http://dx.doi.org/10.17081/just.29.45.7170")</f>
        <v>http://dx.doi.org/10.17081/just.29.45.7170</v>
      </c>
      <c r="BG806" s="1" t="s">
        <v>74</v>
      </c>
      <c r="BH806" s="1" t="s">
        <v>74</v>
      </c>
      <c r="BI806" s="1">
        <v>17.0</v>
      </c>
      <c r="BJ806" s="1" t="s">
        <v>915</v>
      </c>
      <c r="BK806" s="1" t="s">
        <v>172</v>
      </c>
      <c r="BL806" s="1" t="s">
        <v>916</v>
      </c>
      <c r="BM806" s="1" t="s">
        <v>16194</v>
      </c>
      <c r="BN806" s="1" t="s">
        <v>74</v>
      </c>
      <c r="BO806" s="1" t="s">
        <v>174</v>
      </c>
      <c r="BP806" s="1" t="s">
        <v>74</v>
      </c>
      <c r="BQ806" s="1" t="s">
        <v>74</v>
      </c>
      <c r="BR806" s="1" t="s">
        <v>102</v>
      </c>
      <c r="BS806" s="1" t="s">
        <v>16195</v>
      </c>
      <c r="BT806" s="1" t="str">
        <f>HYPERLINK("https%3A%2F%2Fwww.webofscience.com%2Fwos%2Fwoscc%2Ffull-record%2FWOS:001224643700001","View Full Record in Web of Science")</f>
        <v>View Full Record in Web of Science</v>
      </c>
    </row>
    <row r="807" ht="12.75" customHeight="1">
      <c r="A807" s="1" t="s">
        <v>132</v>
      </c>
      <c r="B807" s="1" t="s">
        <v>16196</v>
      </c>
      <c r="C807" s="1" t="s">
        <v>74</v>
      </c>
      <c r="D807" s="1" t="s">
        <v>74</v>
      </c>
      <c r="E807" s="1" t="s">
        <v>74</v>
      </c>
      <c r="F807" s="1" t="s">
        <v>16197</v>
      </c>
      <c r="G807" s="1" t="s">
        <v>74</v>
      </c>
      <c r="H807" s="1" t="s">
        <v>74</v>
      </c>
      <c r="I807" s="1" t="s">
        <v>16198</v>
      </c>
      <c r="J807" s="1" t="s">
        <v>16199</v>
      </c>
      <c r="K807" s="1" t="s">
        <v>74</v>
      </c>
      <c r="L807" s="1" t="s">
        <v>74</v>
      </c>
      <c r="M807" s="1" t="s">
        <v>80</v>
      </c>
      <c r="N807" s="1" t="s">
        <v>136</v>
      </c>
      <c r="O807" s="1" t="s">
        <v>74</v>
      </c>
      <c r="P807" s="1" t="s">
        <v>74</v>
      </c>
      <c r="Q807" s="1" t="s">
        <v>74</v>
      </c>
      <c r="R807" s="1" t="s">
        <v>74</v>
      </c>
      <c r="S807" s="1" t="s">
        <v>74</v>
      </c>
      <c r="T807" s="1" t="s">
        <v>16200</v>
      </c>
      <c r="U807" s="1" t="s">
        <v>16201</v>
      </c>
      <c r="V807" s="1" t="s">
        <v>16202</v>
      </c>
      <c r="W807" s="1" t="s">
        <v>16203</v>
      </c>
      <c r="X807" s="1" t="s">
        <v>16204</v>
      </c>
      <c r="Y807" s="1" t="s">
        <v>16205</v>
      </c>
      <c r="Z807" s="1" t="s">
        <v>16206</v>
      </c>
      <c r="AA807" s="1" t="s">
        <v>74</v>
      </c>
      <c r="AB807" s="1" t="s">
        <v>16207</v>
      </c>
      <c r="AC807" s="1" t="s">
        <v>16208</v>
      </c>
      <c r="AD807" s="1" t="s">
        <v>16208</v>
      </c>
      <c r="AE807" s="1" t="s">
        <v>16209</v>
      </c>
      <c r="AF807" s="1" t="s">
        <v>74</v>
      </c>
      <c r="AG807" s="1">
        <v>58.0</v>
      </c>
      <c r="AH807" s="1">
        <v>10.0</v>
      </c>
      <c r="AI807" s="1">
        <v>10.0</v>
      </c>
      <c r="AJ807" s="1">
        <v>19.0</v>
      </c>
      <c r="AK807" s="1">
        <v>65.0</v>
      </c>
      <c r="AL807" s="1" t="s">
        <v>1970</v>
      </c>
      <c r="AM807" s="1" t="s">
        <v>1658</v>
      </c>
      <c r="AN807" s="1" t="s">
        <v>1971</v>
      </c>
      <c r="AO807" s="1" t="s">
        <v>74</v>
      </c>
      <c r="AP807" s="1" t="s">
        <v>16210</v>
      </c>
      <c r="AQ807" s="1" t="s">
        <v>74</v>
      </c>
      <c r="AR807" s="1" t="s">
        <v>16211</v>
      </c>
      <c r="AS807" s="1" t="s">
        <v>16212</v>
      </c>
      <c r="AT807" s="1" t="s">
        <v>2469</v>
      </c>
      <c r="AU807" s="1">
        <v>2023.0</v>
      </c>
      <c r="AV807" s="1">
        <v>13.0</v>
      </c>
      <c r="AW807" s="1">
        <v>10.0</v>
      </c>
      <c r="AX807" s="1" t="s">
        <v>74</v>
      </c>
      <c r="AY807" s="1" t="s">
        <v>74</v>
      </c>
      <c r="AZ807" s="1" t="s">
        <v>74</v>
      </c>
      <c r="BA807" s="1" t="s">
        <v>74</v>
      </c>
      <c r="BB807" s="1" t="s">
        <v>74</v>
      </c>
      <c r="BC807" s="1" t="s">
        <v>74</v>
      </c>
      <c r="BD807" s="1">
        <v>990.0</v>
      </c>
      <c r="BE807" s="1" t="s">
        <v>16213</v>
      </c>
      <c r="BF807" s="2" t="str">
        <f>HYPERLINK("http://dx.doi.org/10.3390/educsci13100990","http://dx.doi.org/10.3390/educsci13100990")</f>
        <v>http://dx.doi.org/10.3390/educsci13100990</v>
      </c>
      <c r="BG807" s="1" t="s">
        <v>74</v>
      </c>
      <c r="BH807" s="1" t="s">
        <v>74</v>
      </c>
      <c r="BI807" s="1">
        <v>17.0</v>
      </c>
      <c r="BJ807" s="1" t="s">
        <v>171</v>
      </c>
      <c r="BK807" s="1" t="s">
        <v>172</v>
      </c>
      <c r="BL807" s="1" t="s">
        <v>171</v>
      </c>
      <c r="BM807" s="1" t="s">
        <v>16214</v>
      </c>
      <c r="BN807" s="1" t="s">
        <v>74</v>
      </c>
      <c r="BO807" s="1" t="s">
        <v>174</v>
      </c>
      <c r="BP807" s="1" t="s">
        <v>74</v>
      </c>
      <c r="BQ807" s="1" t="s">
        <v>74</v>
      </c>
      <c r="BR807" s="1" t="s">
        <v>102</v>
      </c>
      <c r="BS807" s="1" t="s">
        <v>16215</v>
      </c>
      <c r="BT807" s="1" t="str">
        <f>HYPERLINK("https%3A%2F%2Fwww.webofscience.com%2Fwos%2Fwoscc%2Ffull-record%2FWOS:001098342900001","View Full Record in Web of Science")</f>
        <v>View Full Record in Web of Science</v>
      </c>
    </row>
    <row r="808" ht="12.75" customHeight="1">
      <c r="A808" s="1" t="s">
        <v>132</v>
      </c>
      <c r="B808" s="1" t="s">
        <v>16216</v>
      </c>
      <c r="C808" s="1" t="s">
        <v>74</v>
      </c>
      <c r="D808" s="1" t="s">
        <v>74</v>
      </c>
      <c r="E808" s="1" t="s">
        <v>74</v>
      </c>
      <c r="F808" s="1" t="s">
        <v>16217</v>
      </c>
      <c r="G808" s="1" t="s">
        <v>74</v>
      </c>
      <c r="H808" s="1" t="s">
        <v>74</v>
      </c>
      <c r="I808" s="1" t="s">
        <v>16218</v>
      </c>
      <c r="J808" s="1" t="s">
        <v>16219</v>
      </c>
      <c r="K808" s="1" t="s">
        <v>74</v>
      </c>
      <c r="L808" s="1" t="s">
        <v>74</v>
      </c>
      <c r="M808" s="1" t="s">
        <v>80</v>
      </c>
      <c r="N808" s="1" t="s">
        <v>1010</v>
      </c>
      <c r="O808" s="1" t="s">
        <v>74</v>
      </c>
      <c r="P808" s="1" t="s">
        <v>74</v>
      </c>
      <c r="Q808" s="1" t="s">
        <v>74</v>
      </c>
      <c r="R808" s="1" t="s">
        <v>74</v>
      </c>
      <c r="S808" s="1" t="s">
        <v>74</v>
      </c>
      <c r="T808" s="1" t="s">
        <v>16220</v>
      </c>
      <c r="U808" s="1" t="s">
        <v>16221</v>
      </c>
      <c r="V808" s="1" t="s">
        <v>16222</v>
      </c>
      <c r="W808" s="1" t="s">
        <v>16223</v>
      </c>
      <c r="X808" s="1" t="s">
        <v>16224</v>
      </c>
      <c r="Y808" s="1" t="s">
        <v>16225</v>
      </c>
      <c r="Z808" s="1" t="s">
        <v>16226</v>
      </c>
      <c r="AA808" s="1" t="s">
        <v>16227</v>
      </c>
      <c r="AB808" s="1" t="s">
        <v>16228</v>
      </c>
      <c r="AC808" s="1" t="s">
        <v>16229</v>
      </c>
      <c r="AD808" s="1" t="s">
        <v>16229</v>
      </c>
      <c r="AE808" s="1" t="s">
        <v>16230</v>
      </c>
      <c r="AF808" s="1" t="s">
        <v>74</v>
      </c>
      <c r="AG808" s="1">
        <v>163.0</v>
      </c>
      <c r="AH808" s="1">
        <v>26.0</v>
      </c>
      <c r="AI808" s="1">
        <v>27.0</v>
      </c>
      <c r="AJ808" s="1">
        <v>11.0</v>
      </c>
      <c r="AK808" s="1">
        <v>50.0</v>
      </c>
      <c r="AL808" s="1" t="s">
        <v>275</v>
      </c>
      <c r="AM808" s="1" t="s">
        <v>276</v>
      </c>
      <c r="AN808" s="1" t="s">
        <v>277</v>
      </c>
      <c r="AO808" s="1" t="s">
        <v>74</v>
      </c>
      <c r="AP808" s="1" t="s">
        <v>16231</v>
      </c>
      <c r="AQ808" s="1" t="s">
        <v>74</v>
      </c>
      <c r="AR808" s="1" t="s">
        <v>16232</v>
      </c>
      <c r="AS808" s="1" t="s">
        <v>16233</v>
      </c>
      <c r="AT808" s="1" t="s">
        <v>16234</v>
      </c>
      <c r="AU808" s="1">
        <v>2022.0</v>
      </c>
      <c r="AV808" s="1">
        <v>13.0</v>
      </c>
      <c r="AW808" s="1" t="s">
        <v>74</v>
      </c>
      <c r="AX808" s="1" t="s">
        <v>74</v>
      </c>
      <c r="AY808" s="1" t="s">
        <v>74</v>
      </c>
      <c r="AZ808" s="1" t="s">
        <v>74</v>
      </c>
      <c r="BA808" s="1" t="s">
        <v>74</v>
      </c>
      <c r="BB808" s="1" t="s">
        <v>74</v>
      </c>
      <c r="BC808" s="1" t="s">
        <v>74</v>
      </c>
      <c r="BD808" s="1">
        <v>929736.0</v>
      </c>
      <c r="BE808" s="1" t="s">
        <v>16235</v>
      </c>
      <c r="BF808" s="2" t="str">
        <f>HYPERLINK("http://dx.doi.org/10.3389/fgene.2022.929736","http://dx.doi.org/10.3389/fgene.2022.929736")</f>
        <v>http://dx.doi.org/10.3389/fgene.2022.929736</v>
      </c>
      <c r="BG808" s="1" t="s">
        <v>74</v>
      </c>
      <c r="BH808" s="1" t="s">
        <v>74</v>
      </c>
      <c r="BI808" s="1">
        <v>12.0</v>
      </c>
      <c r="BJ808" s="1" t="s">
        <v>16236</v>
      </c>
      <c r="BK808" s="1" t="s">
        <v>149</v>
      </c>
      <c r="BL808" s="1" t="s">
        <v>16236</v>
      </c>
      <c r="BM808" s="1" t="s">
        <v>16237</v>
      </c>
      <c r="BN808" s="1">
        <v>3.5873469E7</v>
      </c>
      <c r="BO808" s="1" t="s">
        <v>1161</v>
      </c>
      <c r="BP808" s="1" t="s">
        <v>74</v>
      </c>
      <c r="BQ808" s="1" t="s">
        <v>74</v>
      </c>
      <c r="BR808" s="1" t="s">
        <v>102</v>
      </c>
      <c r="BS808" s="1" t="s">
        <v>16238</v>
      </c>
      <c r="BT808" s="1" t="str">
        <f>HYPERLINK("https%3A%2F%2Fwww.webofscience.com%2Fwos%2Fwoscc%2Ffull-record%2FWOS:000829443700001","View Full Record in Web of Science")</f>
        <v>View Full Record in Web of Science</v>
      </c>
    </row>
    <row r="809" ht="12.75" customHeight="1">
      <c r="A809" s="1" t="s">
        <v>132</v>
      </c>
      <c r="B809" s="1" t="s">
        <v>16239</v>
      </c>
      <c r="C809" s="1" t="s">
        <v>74</v>
      </c>
      <c r="D809" s="1" t="s">
        <v>74</v>
      </c>
      <c r="E809" s="1" t="s">
        <v>74</v>
      </c>
      <c r="F809" s="1" t="s">
        <v>16240</v>
      </c>
      <c r="G809" s="1" t="s">
        <v>74</v>
      </c>
      <c r="H809" s="1" t="s">
        <v>74</v>
      </c>
      <c r="I809" s="1" t="s">
        <v>16241</v>
      </c>
      <c r="J809" s="1" t="s">
        <v>16242</v>
      </c>
      <c r="K809" s="1" t="s">
        <v>74</v>
      </c>
      <c r="L809" s="1" t="s">
        <v>74</v>
      </c>
      <c r="M809" s="1" t="s">
        <v>80</v>
      </c>
      <c r="N809" s="1" t="s">
        <v>136</v>
      </c>
      <c r="O809" s="1" t="s">
        <v>74</v>
      </c>
      <c r="P809" s="1" t="s">
        <v>74</v>
      </c>
      <c r="Q809" s="1" t="s">
        <v>74</v>
      </c>
      <c r="R809" s="1" t="s">
        <v>74</v>
      </c>
      <c r="S809" s="1" t="s">
        <v>74</v>
      </c>
      <c r="T809" s="1" t="s">
        <v>16243</v>
      </c>
      <c r="U809" s="1" t="s">
        <v>16244</v>
      </c>
      <c r="V809" s="1" t="s">
        <v>16245</v>
      </c>
      <c r="W809" s="1" t="s">
        <v>16246</v>
      </c>
      <c r="X809" s="1" t="s">
        <v>16247</v>
      </c>
      <c r="Y809" s="1" t="s">
        <v>16248</v>
      </c>
      <c r="Z809" s="1" t="s">
        <v>16249</v>
      </c>
      <c r="AA809" s="1" t="s">
        <v>16250</v>
      </c>
      <c r="AB809" s="1" t="s">
        <v>16251</v>
      </c>
      <c r="AC809" s="1" t="s">
        <v>74</v>
      </c>
      <c r="AD809" s="1" t="s">
        <v>74</v>
      </c>
      <c r="AE809" s="1" t="s">
        <v>74</v>
      </c>
      <c r="AF809" s="1" t="s">
        <v>74</v>
      </c>
      <c r="AG809" s="1">
        <v>42.0</v>
      </c>
      <c r="AH809" s="1">
        <v>24.0</v>
      </c>
      <c r="AI809" s="1">
        <v>25.0</v>
      </c>
      <c r="AJ809" s="1">
        <v>15.0</v>
      </c>
      <c r="AK809" s="1">
        <v>76.0</v>
      </c>
      <c r="AL809" s="1" t="s">
        <v>4561</v>
      </c>
      <c r="AM809" s="1" t="s">
        <v>4562</v>
      </c>
      <c r="AN809" s="1" t="s">
        <v>4563</v>
      </c>
      <c r="AO809" s="1" t="s">
        <v>16252</v>
      </c>
      <c r="AP809" s="1" t="s">
        <v>16253</v>
      </c>
      <c r="AQ809" s="1" t="s">
        <v>74</v>
      </c>
      <c r="AR809" s="1" t="s">
        <v>16254</v>
      </c>
      <c r="AS809" s="1" t="s">
        <v>16255</v>
      </c>
      <c r="AT809" s="1" t="s">
        <v>1253</v>
      </c>
      <c r="AU809" s="1">
        <v>2023.0</v>
      </c>
      <c r="AV809" s="1">
        <v>231.0</v>
      </c>
      <c r="AW809" s="1" t="s">
        <v>74</v>
      </c>
      <c r="AX809" s="1" t="s">
        <v>74</v>
      </c>
      <c r="AY809" s="1" t="s">
        <v>74</v>
      </c>
      <c r="AZ809" s="1" t="s">
        <v>74</v>
      </c>
      <c r="BA809" s="1" t="s">
        <v>74</v>
      </c>
      <c r="BB809" s="1" t="s">
        <v>74</v>
      </c>
      <c r="BC809" s="1" t="s">
        <v>74</v>
      </c>
      <c r="BD809" s="1">
        <v>107358.0</v>
      </c>
      <c r="BE809" s="1" t="s">
        <v>16256</v>
      </c>
      <c r="BF809" s="2" t="str">
        <f>HYPERLINK("http://dx.doi.org/10.1016/j.cmpb.2023.107358","http://dx.doi.org/10.1016/j.cmpb.2023.107358")</f>
        <v>http://dx.doi.org/10.1016/j.cmpb.2023.107358</v>
      </c>
      <c r="BG809" s="1" t="s">
        <v>74</v>
      </c>
      <c r="BH809" s="1" t="s">
        <v>11157</v>
      </c>
      <c r="BI809" s="1">
        <v>9.0</v>
      </c>
      <c r="BJ809" s="1" t="s">
        <v>16257</v>
      </c>
      <c r="BK809" s="1" t="s">
        <v>149</v>
      </c>
      <c r="BL809" s="1" t="s">
        <v>6323</v>
      </c>
      <c r="BM809" s="1" t="s">
        <v>16258</v>
      </c>
      <c r="BN809" s="1">
        <v>3.673131E7</v>
      </c>
      <c r="BO809" s="1" t="s">
        <v>74</v>
      </c>
      <c r="BP809" s="1" t="s">
        <v>74</v>
      </c>
      <c r="BQ809" s="1" t="s">
        <v>74</v>
      </c>
      <c r="BR809" s="1" t="s">
        <v>102</v>
      </c>
      <c r="BS809" s="1" t="s">
        <v>16259</v>
      </c>
      <c r="BT809" s="1" t="str">
        <f>HYPERLINK("https%3A%2F%2Fwww.webofscience.com%2Fwos%2Fwoscc%2Ffull-record%2FWOS:000927564300001","View Full Record in Web of Science")</f>
        <v>View Full Record in Web of Science</v>
      </c>
    </row>
    <row r="810" ht="12.75" customHeight="1">
      <c r="A810" s="1" t="s">
        <v>72</v>
      </c>
      <c r="B810" s="1" t="s">
        <v>16260</v>
      </c>
      <c r="C810" s="1" t="s">
        <v>74</v>
      </c>
      <c r="D810" s="1" t="s">
        <v>16261</v>
      </c>
      <c r="E810" s="1" t="s">
        <v>74</v>
      </c>
      <c r="F810" s="1" t="s">
        <v>16262</v>
      </c>
      <c r="G810" s="1" t="s">
        <v>74</v>
      </c>
      <c r="H810" s="1" t="s">
        <v>74</v>
      </c>
      <c r="I810" s="1" t="s">
        <v>16263</v>
      </c>
      <c r="J810" s="1" t="s">
        <v>16264</v>
      </c>
      <c r="K810" s="1" t="s">
        <v>3840</v>
      </c>
      <c r="L810" s="1" t="s">
        <v>74</v>
      </c>
      <c r="M810" s="1" t="s">
        <v>80</v>
      </c>
      <c r="N810" s="1" t="s">
        <v>81</v>
      </c>
      <c r="O810" s="1" t="s">
        <v>16265</v>
      </c>
      <c r="P810" s="1" t="s">
        <v>3842</v>
      </c>
      <c r="Q810" s="1" t="s">
        <v>3843</v>
      </c>
      <c r="R810" s="1" t="s">
        <v>74</v>
      </c>
      <c r="S810" s="1" t="s">
        <v>74</v>
      </c>
      <c r="T810" s="1" t="s">
        <v>16266</v>
      </c>
      <c r="U810" s="1" t="s">
        <v>74</v>
      </c>
      <c r="V810" s="1" t="s">
        <v>16267</v>
      </c>
      <c r="W810" s="1" t="s">
        <v>16268</v>
      </c>
      <c r="X810" s="1" t="s">
        <v>11325</v>
      </c>
      <c r="Y810" s="1" t="s">
        <v>16269</v>
      </c>
      <c r="Z810" s="1" t="s">
        <v>16270</v>
      </c>
      <c r="AA810" s="1" t="s">
        <v>16271</v>
      </c>
      <c r="AB810" s="1" t="s">
        <v>74</v>
      </c>
      <c r="AC810" s="1" t="s">
        <v>74</v>
      </c>
      <c r="AD810" s="1" t="s">
        <v>74</v>
      </c>
      <c r="AE810" s="1" t="s">
        <v>74</v>
      </c>
      <c r="AF810" s="1" t="s">
        <v>74</v>
      </c>
      <c r="AG810" s="1">
        <v>26.0</v>
      </c>
      <c r="AH810" s="1">
        <v>0.0</v>
      </c>
      <c r="AI810" s="1">
        <v>0.0</v>
      </c>
      <c r="AJ810" s="1">
        <v>9.0</v>
      </c>
      <c r="AK810" s="1">
        <v>20.0</v>
      </c>
      <c r="AL810" s="1" t="s">
        <v>223</v>
      </c>
      <c r="AM810" s="1" t="s">
        <v>224</v>
      </c>
      <c r="AN810" s="1" t="s">
        <v>225</v>
      </c>
      <c r="AO810" s="1" t="s">
        <v>3852</v>
      </c>
      <c r="AP810" s="1" t="s">
        <v>942</v>
      </c>
      <c r="AQ810" s="1" t="s">
        <v>16272</v>
      </c>
      <c r="AR810" s="1" t="s">
        <v>3854</v>
      </c>
      <c r="AS810" s="1" t="s">
        <v>74</v>
      </c>
      <c r="AT810" s="1" t="s">
        <v>74</v>
      </c>
      <c r="AU810" s="1">
        <v>2023.0</v>
      </c>
      <c r="AV810" s="1">
        <v>14057.0</v>
      </c>
      <c r="AW810" s="1" t="s">
        <v>74</v>
      </c>
      <c r="AX810" s="1" t="s">
        <v>74</v>
      </c>
      <c r="AY810" s="1" t="s">
        <v>74</v>
      </c>
      <c r="AZ810" s="1" t="s">
        <v>74</v>
      </c>
      <c r="BA810" s="1" t="s">
        <v>74</v>
      </c>
      <c r="BB810" s="1">
        <v>248.0</v>
      </c>
      <c r="BC810" s="1">
        <v>263.0</v>
      </c>
      <c r="BD810" s="1" t="s">
        <v>74</v>
      </c>
      <c r="BE810" s="1" t="s">
        <v>16273</v>
      </c>
      <c r="BF810" s="2" t="str">
        <f>HYPERLINK("http://dx.doi.org/10.1007/978-3-031-48047-8_16","http://dx.doi.org/10.1007/978-3-031-48047-8_16")</f>
        <v>http://dx.doi.org/10.1007/978-3-031-48047-8_16</v>
      </c>
      <c r="BG810" s="1" t="s">
        <v>74</v>
      </c>
      <c r="BH810" s="1" t="s">
        <v>74</v>
      </c>
      <c r="BI810" s="1">
        <v>16.0</v>
      </c>
      <c r="BJ810" s="1" t="s">
        <v>16274</v>
      </c>
      <c r="BK810" s="1" t="s">
        <v>128</v>
      </c>
      <c r="BL810" s="1" t="s">
        <v>232</v>
      </c>
      <c r="BM810" s="1" t="s">
        <v>16275</v>
      </c>
      <c r="BN810" s="1" t="s">
        <v>74</v>
      </c>
      <c r="BO810" s="1" t="s">
        <v>74</v>
      </c>
      <c r="BP810" s="1" t="s">
        <v>74</v>
      </c>
      <c r="BQ810" s="1" t="s">
        <v>74</v>
      </c>
      <c r="BR810" s="1" t="s">
        <v>102</v>
      </c>
      <c r="BS810" s="1" t="s">
        <v>16276</v>
      </c>
      <c r="BT810" s="1" t="str">
        <f>HYPERLINK("https%3A%2F%2Fwww.webofscience.com%2Fwos%2Fwoscc%2Ffull-record%2FWOS:001159620100016","View Full Record in Web of Science")</f>
        <v>View Full Record in Web of Science</v>
      </c>
    </row>
    <row r="811" ht="12.75" customHeight="1">
      <c r="A811" s="1" t="s">
        <v>132</v>
      </c>
      <c r="B811" s="1" t="s">
        <v>16277</v>
      </c>
      <c r="C811" s="1" t="s">
        <v>74</v>
      </c>
      <c r="D811" s="1" t="s">
        <v>74</v>
      </c>
      <c r="E811" s="1" t="s">
        <v>74</v>
      </c>
      <c r="F811" s="1" t="s">
        <v>16278</v>
      </c>
      <c r="G811" s="1" t="s">
        <v>74</v>
      </c>
      <c r="H811" s="1" t="s">
        <v>74</v>
      </c>
      <c r="I811" s="1" t="s">
        <v>16279</v>
      </c>
      <c r="J811" s="1" t="s">
        <v>16280</v>
      </c>
      <c r="K811" s="1" t="s">
        <v>74</v>
      </c>
      <c r="L811" s="1" t="s">
        <v>74</v>
      </c>
      <c r="M811" s="1" t="s">
        <v>80</v>
      </c>
      <c r="N811" s="1" t="s">
        <v>136</v>
      </c>
      <c r="O811" s="1" t="s">
        <v>74</v>
      </c>
      <c r="P811" s="1" t="s">
        <v>74</v>
      </c>
      <c r="Q811" s="1" t="s">
        <v>74</v>
      </c>
      <c r="R811" s="1" t="s">
        <v>74</v>
      </c>
      <c r="S811" s="1" t="s">
        <v>74</v>
      </c>
      <c r="T811" s="1" t="s">
        <v>16281</v>
      </c>
      <c r="U811" s="1" t="s">
        <v>16282</v>
      </c>
      <c r="V811" s="1" t="s">
        <v>16283</v>
      </c>
      <c r="W811" s="1" t="s">
        <v>16284</v>
      </c>
      <c r="X811" s="1" t="s">
        <v>74</v>
      </c>
      <c r="Y811" s="1" t="s">
        <v>16285</v>
      </c>
      <c r="Z811" s="1" t="s">
        <v>16286</v>
      </c>
      <c r="AA811" s="1" t="s">
        <v>74</v>
      </c>
      <c r="AB811" s="1" t="s">
        <v>16287</v>
      </c>
      <c r="AC811" s="1" t="s">
        <v>74</v>
      </c>
      <c r="AD811" s="1" t="s">
        <v>74</v>
      </c>
      <c r="AE811" s="1" t="s">
        <v>74</v>
      </c>
      <c r="AF811" s="1" t="s">
        <v>74</v>
      </c>
      <c r="AG811" s="1">
        <v>32.0</v>
      </c>
      <c r="AH811" s="1">
        <v>7.0</v>
      </c>
      <c r="AI811" s="1">
        <v>7.0</v>
      </c>
      <c r="AJ811" s="1">
        <v>8.0</v>
      </c>
      <c r="AK811" s="1">
        <v>36.0</v>
      </c>
      <c r="AL811" s="1" t="s">
        <v>16288</v>
      </c>
      <c r="AM811" s="1" t="s">
        <v>16289</v>
      </c>
      <c r="AN811" s="1" t="s">
        <v>16290</v>
      </c>
      <c r="AO811" s="1" t="s">
        <v>16291</v>
      </c>
      <c r="AP811" s="1" t="s">
        <v>16292</v>
      </c>
      <c r="AQ811" s="1" t="s">
        <v>74</v>
      </c>
      <c r="AR811" s="1" t="s">
        <v>16293</v>
      </c>
      <c r="AS811" s="1" t="s">
        <v>16294</v>
      </c>
      <c r="AT811" s="1" t="s">
        <v>1027</v>
      </c>
      <c r="AU811" s="1">
        <v>2022.0</v>
      </c>
      <c r="AV811" s="1">
        <v>9.0</v>
      </c>
      <c r="AW811" s="1">
        <v>3.0</v>
      </c>
      <c r="AX811" s="1" t="s">
        <v>74</v>
      </c>
      <c r="AY811" s="1" t="s">
        <v>74</v>
      </c>
      <c r="AZ811" s="1" t="s">
        <v>74</v>
      </c>
      <c r="BA811" s="1" t="s">
        <v>74</v>
      </c>
      <c r="BB811" s="1">
        <v>257.0</v>
      </c>
      <c r="BC811" s="1">
        <v>263.0</v>
      </c>
      <c r="BD811" s="1" t="s">
        <v>74</v>
      </c>
      <c r="BE811" s="1" t="s">
        <v>16295</v>
      </c>
      <c r="BF811" s="2" t="str">
        <f>HYPERLINK("http://dx.doi.org/10.13106/jafeb.2022.vol9.no3.0257","http://dx.doi.org/10.13106/jafeb.2022.vol9.no3.0257")</f>
        <v>http://dx.doi.org/10.13106/jafeb.2022.vol9.no3.0257</v>
      </c>
      <c r="BG811" s="1" t="s">
        <v>74</v>
      </c>
      <c r="BH811" s="1" t="s">
        <v>74</v>
      </c>
      <c r="BI811" s="1">
        <v>7.0</v>
      </c>
      <c r="BJ811" s="1" t="s">
        <v>2040</v>
      </c>
      <c r="BK811" s="1" t="s">
        <v>172</v>
      </c>
      <c r="BL811" s="1" t="s">
        <v>204</v>
      </c>
      <c r="BM811" s="1" t="s">
        <v>16296</v>
      </c>
      <c r="BN811" s="1" t="s">
        <v>74</v>
      </c>
      <c r="BO811" s="1" t="s">
        <v>74</v>
      </c>
      <c r="BP811" s="1" t="s">
        <v>74</v>
      </c>
      <c r="BQ811" s="1" t="s">
        <v>74</v>
      </c>
      <c r="BR811" s="1" t="s">
        <v>102</v>
      </c>
      <c r="BS811" s="1" t="s">
        <v>16297</v>
      </c>
      <c r="BT811" s="1" t="str">
        <f>HYPERLINK("https%3A%2F%2Fwww.webofscience.com%2Fwos%2Fwoscc%2Ffull-record%2FWOS:000772891400025","View Full Record in Web of Science")</f>
        <v>View Full Record in Web of Science</v>
      </c>
    </row>
    <row r="812" ht="12.75" customHeight="1">
      <c r="A812" s="1" t="s">
        <v>5473</v>
      </c>
      <c r="B812" s="1" t="s">
        <v>16298</v>
      </c>
      <c r="C812" s="1" t="s">
        <v>74</v>
      </c>
      <c r="D812" s="1" t="s">
        <v>16299</v>
      </c>
      <c r="E812" s="1" t="s">
        <v>74</v>
      </c>
      <c r="F812" s="1" t="s">
        <v>16300</v>
      </c>
      <c r="G812" s="1" t="s">
        <v>74</v>
      </c>
      <c r="H812" s="1" t="s">
        <v>74</v>
      </c>
      <c r="I812" s="1" t="s">
        <v>16301</v>
      </c>
      <c r="J812" s="1" t="s">
        <v>16302</v>
      </c>
      <c r="K812" s="1" t="s">
        <v>16303</v>
      </c>
      <c r="L812" s="1" t="s">
        <v>74</v>
      </c>
      <c r="M812" s="1" t="s">
        <v>80</v>
      </c>
      <c r="N812" s="1" t="s">
        <v>16304</v>
      </c>
      <c r="O812" s="1" t="s">
        <v>74</v>
      </c>
      <c r="P812" s="1" t="s">
        <v>74</v>
      </c>
      <c r="Q812" s="1" t="s">
        <v>74</v>
      </c>
      <c r="R812" s="1" t="s">
        <v>74</v>
      </c>
      <c r="S812" s="1" t="s">
        <v>74</v>
      </c>
      <c r="T812" s="1" t="s">
        <v>16305</v>
      </c>
      <c r="U812" s="1" t="s">
        <v>16306</v>
      </c>
      <c r="V812" s="1" t="s">
        <v>16307</v>
      </c>
      <c r="W812" s="1" t="s">
        <v>16308</v>
      </c>
      <c r="X812" s="1" t="s">
        <v>16309</v>
      </c>
      <c r="Y812" s="1" t="s">
        <v>16310</v>
      </c>
      <c r="Z812" s="1" t="s">
        <v>16311</v>
      </c>
      <c r="AA812" s="1" t="s">
        <v>16312</v>
      </c>
      <c r="AB812" s="1" t="s">
        <v>16313</v>
      </c>
      <c r="AC812" s="1" t="s">
        <v>74</v>
      </c>
      <c r="AD812" s="1" t="s">
        <v>74</v>
      </c>
      <c r="AE812" s="1" t="s">
        <v>74</v>
      </c>
      <c r="AF812" s="1" t="s">
        <v>74</v>
      </c>
      <c r="AG812" s="1">
        <v>150.0</v>
      </c>
      <c r="AH812" s="1">
        <v>197.0</v>
      </c>
      <c r="AI812" s="1">
        <v>202.0</v>
      </c>
      <c r="AJ812" s="1">
        <v>44.0</v>
      </c>
      <c r="AK812" s="1">
        <v>607.0</v>
      </c>
      <c r="AL812" s="1" t="s">
        <v>16314</v>
      </c>
      <c r="AM812" s="1" t="s">
        <v>16315</v>
      </c>
      <c r="AN812" s="1" t="s">
        <v>16316</v>
      </c>
      <c r="AO812" s="1" t="s">
        <v>16317</v>
      </c>
      <c r="AP812" s="1" t="s">
        <v>16318</v>
      </c>
      <c r="AQ812" s="1" t="s">
        <v>16319</v>
      </c>
      <c r="AR812" s="1" t="s">
        <v>16320</v>
      </c>
      <c r="AS812" s="1" t="s">
        <v>16321</v>
      </c>
      <c r="AT812" s="1" t="s">
        <v>74</v>
      </c>
      <c r="AU812" s="1">
        <v>2020.0</v>
      </c>
      <c r="AV812" s="1">
        <v>60.0</v>
      </c>
      <c r="AW812" s="1" t="s">
        <v>74</v>
      </c>
      <c r="AX812" s="1" t="s">
        <v>74</v>
      </c>
      <c r="AY812" s="1" t="s">
        <v>74</v>
      </c>
      <c r="AZ812" s="1" t="s">
        <v>74</v>
      </c>
      <c r="BA812" s="1" t="s">
        <v>74</v>
      </c>
      <c r="BB812" s="1">
        <v>573.0</v>
      </c>
      <c r="BC812" s="1">
        <v>589.0</v>
      </c>
      <c r="BD812" s="1" t="s">
        <v>74</v>
      </c>
      <c r="BE812" s="1" t="s">
        <v>16322</v>
      </c>
      <c r="BF812" s="2" t="str">
        <f>HYPERLINK("http://dx.doi.org/10.1146/annurev-pharmtox-010919-023324","http://dx.doi.org/10.1146/annurev-pharmtox-010919-023324")</f>
        <v>http://dx.doi.org/10.1146/annurev-pharmtox-010919-023324</v>
      </c>
      <c r="BG812" s="1" t="s">
        <v>74</v>
      </c>
      <c r="BH812" s="1" t="s">
        <v>74</v>
      </c>
      <c r="BI812" s="1">
        <v>17.0</v>
      </c>
      <c r="BJ812" s="1" t="s">
        <v>16323</v>
      </c>
      <c r="BK812" s="1" t="s">
        <v>16324</v>
      </c>
      <c r="BL812" s="1" t="s">
        <v>16323</v>
      </c>
      <c r="BM812" s="1" t="s">
        <v>16325</v>
      </c>
      <c r="BN812" s="1">
        <v>3.1518513E7</v>
      </c>
      <c r="BO812" s="1" t="s">
        <v>4126</v>
      </c>
      <c r="BP812" s="1" t="s">
        <v>74</v>
      </c>
      <c r="BQ812" s="1" t="s">
        <v>74</v>
      </c>
      <c r="BR812" s="1" t="s">
        <v>102</v>
      </c>
      <c r="BS812" s="1" t="s">
        <v>16326</v>
      </c>
      <c r="BT812" s="1" t="str">
        <f>HYPERLINK("https%3A%2F%2Fwww.webofscience.com%2Fwos%2Fwoscc%2Ffull-record%2FWOS:000507470800029","View Full Record in Web of Science")</f>
        <v>View Full Record in Web of Science</v>
      </c>
    </row>
    <row r="813" ht="12.75" customHeight="1">
      <c r="A813" s="1" t="s">
        <v>132</v>
      </c>
      <c r="B813" s="1" t="s">
        <v>16327</v>
      </c>
      <c r="C813" s="1" t="s">
        <v>74</v>
      </c>
      <c r="D813" s="1" t="s">
        <v>74</v>
      </c>
      <c r="E813" s="1" t="s">
        <v>74</v>
      </c>
      <c r="F813" s="1" t="s">
        <v>16328</v>
      </c>
      <c r="G813" s="1" t="s">
        <v>74</v>
      </c>
      <c r="H813" s="1" t="s">
        <v>74</v>
      </c>
      <c r="I813" s="1" t="s">
        <v>16329</v>
      </c>
      <c r="J813" s="1" t="s">
        <v>2629</v>
      </c>
      <c r="K813" s="1" t="s">
        <v>74</v>
      </c>
      <c r="L813" s="1" t="s">
        <v>74</v>
      </c>
      <c r="M813" s="1" t="s">
        <v>80</v>
      </c>
      <c r="N813" s="1" t="s">
        <v>136</v>
      </c>
      <c r="O813" s="1" t="s">
        <v>74</v>
      </c>
      <c r="P813" s="1" t="s">
        <v>74</v>
      </c>
      <c r="Q813" s="1" t="s">
        <v>74</v>
      </c>
      <c r="R813" s="1" t="s">
        <v>74</v>
      </c>
      <c r="S813" s="1" t="s">
        <v>74</v>
      </c>
      <c r="T813" s="1" t="s">
        <v>16330</v>
      </c>
      <c r="U813" s="1" t="s">
        <v>16331</v>
      </c>
      <c r="V813" s="1" t="s">
        <v>16332</v>
      </c>
      <c r="W813" s="1" t="s">
        <v>16333</v>
      </c>
      <c r="X813" s="1" t="s">
        <v>16334</v>
      </c>
      <c r="Y813" s="1" t="s">
        <v>16335</v>
      </c>
      <c r="Z813" s="1" t="s">
        <v>16336</v>
      </c>
      <c r="AA813" s="1" t="s">
        <v>16337</v>
      </c>
      <c r="AB813" s="1" t="s">
        <v>16338</v>
      </c>
      <c r="AC813" s="1" t="s">
        <v>74</v>
      </c>
      <c r="AD813" s="1" t="s">
        <v>74</v>
      </c>
      <c r="AE813" s="1" t="s">
        <v>74</v>
      </c>
      <c r="AF813" s="1" t="s">
        <v>74</v>
      </c>
      <c r="AG813" s="1">
        <v>42.0</v>
      </c>
      <c r="AH813" s="1">
        <v>4.0</v>
      </c>
      <c r="AI813" s="1">
        <v>4.0</v>
      </c>
      <c r="AJ813" s="1">
        <v>0.0</v>
      </c>
      <c r="AK813" s="1">
        <v>6.0</v>
      </c>
      <c r="AL813" s="1" t="s">
        <v>2639</v>
      </c>
      <c r="AM813" s="1" t="s">
        <v>2640</v>
      </c>
      <c r="AN813" s="1" t="s">
        <v>2641</v>
      </c>
      <c r="AO813" s="1" t="s">
        <v>2642</v>
      </c>
      <c r="AP813" s="1" t="s">
        <v>2643</v>
      </c>
      <c r="AQ813" s="1" t="s">
        <v>74</v>
      </c>
      <c r="AR813" s="1" t="s">
        <v>2644</v>
      </c>
      <c r="AS813" s="1" t="s">
        <v>2645</v>
      </c>
      <c r="AT813" s="1" t="s">
        <v>328</v>
      </c>
      <c r="AU813" s="1">
        <v>2020.0</v>
      </c>
      <c r="AV813" s="1">
        <v>16.0</v>
      </c>
      <c r="AW813" s="1">
        <v>3.0</v>
      </c>
      <c r="AX813" s="1" t="s">
        <v>74</v>
      </c>
      <c r="AY813" s="1" t="s">
        <v>74</v>
      </c>
      <c r="AZ813" s="1" t="s">
        <v>74</v>
      </c>
      <c r="BA813" s="1" t="s">
        <v>74</v>
      </c>
      <c r="BB813" s="1">
        <v>67.0</v>
      </c>
      <c r="BC813" s="1">
        <v>77.0</v>
      </c>
      <c r="BD813" s="1" t="s">
        <v>74</v>
      </c>
      <c r="BE813" s="1" t="s">
        <v>74</v>
      </c>
      <c r="BF813" s="1" t="s">
        <v>74</v>
      </c>
      <c r="BG813" s="1" t="s">
        <v>74</v>
      </c>
      <c r="BH813" s="1" t="s">
        <v>74</v>
      </c>
      <c r="BI813" s="1">
        <v>11.0</v>
      </c>
      <c r="BJ813" s="1" t="s">
        <v>2646</v>
      </c>
      <c r="BK813" s="1" t="s">
        <v>172</v>
      </c>
      <c r="BL813" s="1" t="s">
        <v>2646</v>
      </c>
      <c r="BM813" s="1" t="s">
        <v>16339</v>
      </c>
      <c r="BN813" s="1" t="s">
        <v>74</v>
      </c>
      <c r="BO813" s="1" t="s">
        <v>74</v>
      </c>
      <c r="BP813" s="1" t="s">
        <v>74</v>
      </c>
      <c r="BQ813" s="1" t="s">
        <v>74</v>
      </c>
      <c r="BR813" s="1" t="s">
        <v>102</v>
      </c>
      <c r="BS813" s="1" t="s">
        <v>16340</v>
      </c>
      <c r="BT813" s="1" t="str">
        <f>HYPERLINK("https%3A%2F%2Fwww.webofscience.com%2Fwos%2Fwoscc%2Ffull-record%2FWOS:000541617000006","View Full Record in Web of Science")</f>
        <v>View Full Record in Web of Science</v>
      </c>
    </row>
    <row r="814" ht="12.75" customHeight="1">
      <c r="A814" s="1" t="s">
        <v>132</v>
      </c>
      <c r="B814" s="1" t="s">
        <v>16341</v>
      </c>
      <c r="C814" s="1" t="s">
        <v>74</v>
      </c>
      <c r="D814" s="1" t="s">
        <v>74</v>
      </c>
      <c r="E814" s="1" t="s">
        <v>74</v>
      </c>
      <c r="F814" s="1" t="s">
        <v>16342</v>
      </c>
      <c r="G814" s="1" t="s">
        <v>74</v>
      </c>
      <c r="H814" s="1" t="s">
        <v>74</v>
      </c>
      <c r="I814" s="1" t="s">
        <v>16343</v>
      </c>
      <c r="J814" s="1" t="s">
        <v>16344</v>
      </c>
      <c r="K814" s="1" t="s">
        <v>74</v>
      </c>
      <c r="L814" s="1" t="s">
        <v>74</v>
      </c>
      <c r="M814" s="1" t="s">
        <v>80</v>
      </c>
      <c r="N814" s="1" t="s">
        <v>136</v>
      </c>
      <c r="O814" s="1" t="s">
        <v>74</v>
      </c>
      <c r="P814" s="1" t="s">
        <v>74</v>
      </c>
      <c r="Q814" s="1" t="s">
        <v>74</v>
      </c>
      <c r="R814" s="1" t="s">
        <v>74</v>
      </c>
      <c r="S814" s="1" t="s">
        <v>74</v>
      </c>
      <c r="T814" s="1" t="s">
        <v>16345</v>
      </c>
      <c r="U814" s="1" t="s">
        <v>16346</v>
      </c>
      <c r="V814" s="1" t="s">
        <v>16347</v>
      </c>
      <c r="W814" s="1" t="s">
        <v>16348</v>
      </c>
      <c r="X814" s="1" t="s">
        <v>16349</v>
      </c>
      <c r="Y814" s="1" t="s">
        <v>16350</v>
      </c>
      <c r="Z814" s="1" t="s">
        <v>16351</v>
      </c>
      <c r="AA814" s="1" t="s">
        <v>16352</v>
      </c>
      <c r="AB814" s="1" t="s">
        <v>16353</v>
      </c>
      <c r="AC814" s="1" t="s">
        <v>16354</v>
      </c>
      <c r="AD814" s="1" t="s">
        <v>16355</v>
      </c>
      <c r="AE814" s="1" t="s">
        <v>16356</v>
      </c>
      <c r="AF814" s="1" t="s">
        <v>74</v>
      </c>
      <c r="AG814" s="1">
        <v>92.0</v>
      </c>
      <c r="AH814" s="1">
        <v>40.0</v>
      </c>
      <c r="AI814" s="1">
        <v>40.0</v>
      </c>
      <c r="AJ814" s="1">
        <v>196.0</v>
      </c>
      <c r="AK814" s="1">
        <v>542.0</v>
      </c>
      <c r="AL814" s="1" t="s">
        <v>13692</v>
      </c>
      <c r="AM814" s="1" t="s">
        <v>13693</v>
      </c>
      <c r="AN814" s="1" t="s">
        <v>13694</v>
      </c>
      <c r="AO814" s="1" t="s">
        <v>16357</v>
      </c>
      <c r="AP814" s="1" t="s">
        <v>16358</v>
      </c>
      <c r="AQ814" s="1" t="s">
        <v>74</v>
      </c>
      <c r="AR814" s="1" t="s">
        <v>16359</v>
      </c>
      <c r="AS814" s="1" t="s">
        <v>16360</v>
      </c>
      <c r="AT814" s="1" t="s">
        <v>1051</v>
      </c>
      <c r="AU814" s="1">
        <v>2023.0</v>
      </c>
      <c r="AV814" s="1">
        <v>34.0</v>
      </c>
      <c r="AW814" s="1">
        <v>4.0</v>
      </c>
      <c r="AX814" s="1" t="s">
        <v>74</v>
      </c>
      <c r="AY814" s="1" t="s">
        <v>74</v>
      </c>
      <c r="AZ814" s="1" t="s">
        <v>74</v>
      </c>
      <c r="BA814" s="1" t="s">
        <v>74</v>
      </c>
      <c r="BB814" s="1">
        <v>1582.0</v>
      </c>
      <c r="BC814" s="1">
        <v>1602.0</v>
      </c>
      <c r="BD814" s="1" t="s">
        <v>74</v>
      </c>
      <c r="BE814" s="1" t="s">
        <v>16361</v>
      </c>
      <c r="BF814" s="2" t="str">
        <f>HYPERLINK("http://dx.doi.org/10.1287/isre.2023.1199","http://dx.doi.org/10.1287/isre.2023.1199")</f>
        <v>http://dx.doi.org/10.1287/isre.2023.1199</v>
      </c>
      <c r="BG814" s="1" t="s">
        <v>74</v>
      </c>
      <c r="BH814" s="1" t="s">
        <v>330</v>
      </c>
      <c r="BI814" s="1">
        <v>22.0</v>
      </c>
      <c r="BJ814" s="1" t="s">
        <v>16362</v>
      </c>
      <c r="BK814" s="1" t="s">
        <v>203</v>
      </c>
      <c r="BL814" s="1" t="s">
        <v>16363</v>
      </c>
      <c r="BM814" s="1" t="s">
        <v>16364</v>
      </c>
      <c r="BN814" s="1" t="s">
        <v>74</v>
      </c>
      <c r="BO814" s="1" t="s">
        <v>1997</v>
      </c>
      <c r="BP814" s="1" t="s">
        <v>74</v>
      </c>
      <c r="BQ814" s="1" t="s">
        <v>74</v>
      </c>
      <c r="BR814" s="1" t="s">
        <v>102</v>
      </c>
      <c r="BS814" s="1" t="s">
        <v>16365</v>
      </c>
      <c r="BT814" s="1" t="str">
        <f>HYPERLINK("https%3A%2F%2Fwww.webofscience.com%2Fwos%2Fwoscc%2Ffull-record%2FWOS:000944351000001","View Full Record in Web of Science")</f>
        <v>View Full Record in Web of Science</v>
      </c>
    </row>
    <row r="815" ht="12.75" customHeight="1">
      <c r="A815" s="1" t="s">
        <v>132</v>
      </c>
      <c r="B815" s="1" t="s">
        <v>16366</v>
      </c>
      <c r="C815" s="1" t="s">
        <v>74</v>
      </c>
      <c r="D815" s="1" t="s">
        <v>74</v>
      </c>
      <c r="E815" s="1" t="s">
        <v>74</v>
      </c>
      <c r="F815" s="1" t="s">
        <v>16367</v>
      </c>
      <c r="G815" s="1" t="s">
        <v>74</v>
      </c>
      <c r="H815" s="1" t="s">
        <v>74</v>
      </c>
      <c r="I815" s="1" t="s">
        <v>16368</v>
      </c>
      <c r="J815" s="1" t="s">
        <v>16369</v>
      </c>
      <c r="K815" s="1" t="s">
        <v>74</v>
      </c>
      <c r="L815" s="1" t="s">
        <v>74</v>
      </c>
      <c r="M815" s="1" t="s">
        <v>80</v>
      </c>
      <c r="N815" s="1" t="s">
        <v>136</v>
      </c>
      <c r="O815" s="1" t="s">
        <v>74</v>
      </c>
      <c r="P815" s="1" t="s">
        <v>74</v>
      </c>
      <c r="Q815" s="1" t="s">
        <v>74</v>
      </c>
      <c r="R815" s="1" t="s">
        <v>74</v>
      </c>
      <c r="S815" s="1" t="s">
        <v>74</v>
      </c>
      <c r="T815" s="1" t="s">
        <v>16370</v>
      </c>
      <c r="U815" s="1" t="s">
        <v>16371</v>
      </c>
      <c r="V815" s="1" t="s">
        <v>16372</v>
      </c>
      <c r="W815" s="1" t="s">
        <v>16373</v>
      </c>
      <c r="X815" s="1" t="s">
        <v>16374</v>
      </c>
      <c r="Y815" s="1" t="s">
        <v>16375</v>
      </c>
      <c r="Z815" s="1" t="s">
        <v>16376</v>
      </c>
      <c r="AA815" s="1" t="s">
        <v>16377</v>
      </c>
      <c r="AB815" s="1" t="s">
        <v>16378</v>
      </c>
      <c r="AC815" s="1" t="s">
        <v>74</v>
      </c>
      <c r="AD815" s="1" t="s">
        <v>74</v>
      </c>
      <c r="AE815" s="1" t="s">
        <v>74</v>
      </c>
      <c r="AF815" s="1" t="s">
        <v>74</v>
      </c>
      <c r="AG815" s="1">
        <v>57.0</v>
      </c>
      <c r="AH815" s="1">
        <v>11.0</v>
      </c>
      <c r="AI815" s="1">
        <v>11.0</v>
      </c>
      <c r="AJ815" s="1">
        <v>2.0</v>
      </c>
      <c r="AK815" s="1">
        <v>8.0</v>
      </c>
      <c r="AL815" s="1" t="s">
        <v>321</v>
      </c>
      <c r="AM815" s="1" t="s">
        <v>322</v>
      </c>
      <c r="AN815" s="1" t="s">
        <v>323</v>
      </c>
      <c r="AO815" s="1" t="s">
        <v>16379</v>
      </c>
      <c r="AP815" s="1" t="s">
        <v>74</v>
      </c>
      <c r="AQ815" s="1" t="s">
        <v>74</v>
      </c>
      <c r="AR815" s="1" t="s">
        <v>16380</v>
      </c>
      <c r="AS815" s="1" t="s">
        <v>16381</v>
      </c>
      <c r="AT815" s="1" t="s">
        <v>1709</v>
      </c>
      <c r="AU815" s="1">
        <v>2022.0</v>
      </c>
      <c r="AV815" s="1">
        <v>2.0</v>
      </c>
      <c r="AW815" s="1">
        <v>3.0</v>
      </c>
      <c r="AX815" s="1" t="s">
        <v>74</v>
      </c>
      <c r="AY815" s="1" t="s">
        <v>74</v>
      </c>
      <c r="AZ815" s="1" t="s">
        <v>74</v>
      </c>
      <c r="BA815" s="1" t="s">
        <v>74</v>
      </c>
      <c r="BB815" s="1" t="s">
        <v>74</v>
      </c>
      <c r="BC815" s="1" t="s">
        <v>74</v>
      </c>
      <c r="BD815" s="1">
        <v>100164.0</v>
      </c>
      <c r="BE815" s="1" t="s">
        <v>16382</v>
      </c>
      <c r="BF815" s="2" t="str">
        <f>HYPERLINK("http://dx.doi.org/10.1016/j.xops.2022.100164","http://dx.doi.org/10.1016/j.xops.2022.100164")</f>
        <v>http://dx.doi.org/10.1016/j.xops.2022.100164</v>
      </c>
      <c r="BG815" s="1" t="s">
        <v>74</v>
      </c>
      <c r="BH815" s="1" t="s">
        <v>74</v>
      </c>
      <c r="BI815" s="1">
        <v>6.0</v>
      </c>
      <c r="BJ815" s="1" t="s">
        <v>1029</v>
      </c>
      <c r="BK815" s="1" t="s">
        <v>172</v>
      </c>
      <c r="BL815" s="1" t="s">
        <v>1029</v>
      </c>
      <c r="BM815" s="1" t="s">
        <v>16383</v>
      </c>
      <c r="BN815" s="1">
        <v>3.624575E7</v>
      </c>
      <c r="BO815" s="1" t="s">
        <v>1161</v>
      </c>
      <c r="BP815" s="1" t="s">
        <v>74</v>
      </c>
      <c r="BQ815" s="1" t="s">
        <v>74</v>
      </c>
      <c r="BR815" s="1" t="s">
        <v>102</v>
      </c>
      <c r="BS815" s="1" t="s">
        <v>16384</v>
      </c>
      <c r="BT815" s="1" t="str">
        <f>HYPERLINK("https%3A%2F%2Fwww.webofscience.com%2Fwos%2Fwoscc%2Ffull-record%2FWOS:001026142900013","View Full Record in Web of Science")</f>
        <v>View Full Record in Web of Science</v>
      </c>
    </row>
    <row r="816" ht="12.75" customHeight="1">
      <c r="A816" s="1" t="s">
        <v>72</v>
      </c>
      <c r="B816" s="1" t="s">
        <v>16385</v>
      </c>
      <c r="C816" s="1" t="s">
        <v>74</v>
      </c>
      <c r="D816" s="1" t="s">
        <v>105</v>
      </c>
      <c r="E816" s="1" t="s">
        <v>74</v>
      </c>
      <c r="F816" s="1" t="s">
        <v>16386</v>
      </c>
      <c r="G816" s="1" t="s">
        <v>74</v>
      </c>
      <c r="H816" s="1" t="s">
        <v>74</v>
      </c>
      <c r="I816" s="1" t="s">
        <v>16387</v>
      </c>
      <c r="J816" s="1" t="s">
        <v>108</v>
      </c>
      <c r="K816" s="1" t="s">
        <v>74</v>
      </c>
      <c r="L816" s="1" t="s">
        <v>74</v>
      </c>
      <c r="M816" s="1" t="s">
        <v>80</v>
      </c>
      <c r="N816" s="1" t="s">
        <v>81</v>
      </c>
      <c r="O816" s="1" t="s">
        <v>109</v>
      </c>
      <c r="P816" s="1" t="s">
        <v>110</v>
      </c>
      <c r="Q816" s="1" t="s">
        <v>111</v>
      </c>
      <c r="R816" s="1" t="s">
        <v>112</v>
      </c>
      <c r="S816" s="1" t="s">
        <v>113</v>
      </c>
      <c r="T816" s="1" t="s">
        <v>16388</v>
      </c>
      <c r="U816" s="1" t="s">
        <v>74</v>
      </c>
      <c r="V816" s="1" t="s">
        <v>16389</v>
      </c>
      <c r="W816" s="1" t="s">
        <v>16390</v>
      </c>
      <c r="X816" s="1" t="s">
        <v>16391</v>
      </c>
      <c r="Y816" s="1" t="s">
        <v>16392</v>
      </c>
      <c r="Z816" s="1" t="s">
        <v>16393</v>
      </c>
      <c r="AA816" s="1" t="s">
        <v>16394</v>
      </c>
      <c r="AB816" s="1" t="s">
        <v>16395</v>
      </c>
      <c r="AC816" s="1" t="s">
        <v>16396</v>
      </c>
      <c r="AD816" s="1" t="s">
        <v>16397</v>
      </c>
      <c r="AE816" s="1" t="s">
        <v>16398</v>
      </c>
      <c r="AF816" s="1" t="s">
        <v>74</v>
      </c>
      <c r="AG816" s="1">
        <v>32.0</v>
      </c>
      <c r="AH816" s="1">
        <v>0.0</v>
      </c>
      <c r="AI816" s="1">
        <v>0.0</v>
      </c>
      <c r="AJ816" s="1">
        <v>5.0</v>
      </c>
      <c r="AK816" s="1">
        <v>26.0</v>
      </c>
      <c r="AL816" s="1" t="s">
        <v>122</v>
      </c>
      <c r="AM816" s="1" t="s">
        <v>123</v>
      </c>
      <c r="AN816" s="1" t="s">
        <v>124</v>
      </c>
      <c r="AO816" s="1" t="s">
        <v>74</v>
      </c>
      <c r="AP816" s="1" t="s">
        <v>74</v>
      </c>
      <c r="AQ816" s="1" t="s">
        <v>125</v>
      </c>
      <c r="AR816" s="1" t="s">
        <v>74</v>
      </c>
      <c r="AS816" s="1" t="s">
        <v>74</v>
      </c>
      <c r="AT816" s="1" t="s">
        <v>74</v>
      </c>
      <c r="AU816" s="1">
        <v>2021.0</v>
      </c>
      <c r="AV816" s="1" t="s">
        <v>74</v>
      </c>
      <c r="AW816" s="1" t="s">
        <v>74</v>
      </c>
      <c r="AX816" s="1" t="s">
        <v>74</v>
      </c>
      <c r="AY816" s="1" t="s">
        <v>74</v>
      </c>
      <c r="AZ816" s="1" t="s">
        <v>74</v>
      </c>
      <c r="BA816" s="1" t="s">
        <v>74</v>
      </c>
      <c r="BB816" s="1">
        <v>19.0</v>
      </c>
      <c r="BC816" s="1">
        <v>25.0</v>
      </c>
      <c r="BD816" s="1" t="s">
        <v>74</v>
      </c>
      <c r="BE816" s="1" t="s">
        <v>16399</v>
      </c>
      <c r="BF816" s="2" t="str">
        <f>HYPERLINK("http://dx.doi.org/10.34190/EAIR.21.008","http://dx.doi.org/10.34190/EAIR.21.008")</f>
        <v>http://dx.doi.org/10.34190/EAIR.21.008</v>
      </c>
      <c r="BG816" s="1" t="s">
        <v>74</v>
      </c>
      <c r="BH816" s="1" t="s">
        <v>74</v>
      </c>
      <c r="BI816" s="1">
        <v>7.0</v>
      </c>
      <c r="BJ816" s="1" t="s">
        <v>127</v>
      </c>
      <c r="BK816" s="1" t="s">
        <v>128</v>
      </c>
      <c r="BL816" s="1" t="s">
        <v>129</v>
      </c>
      <c r="BM816" s="1" t="s">
        <v>130</v>
      </c>
      <c r="BN816" s="1" t="s">
        <v>74</v>
      </c>
      <c r="BO816" s="1" t="s">
        <v>74</v>
      </c>
      <c r="BP816" s="1" t="s">
        <v>74</v>
      </c>
      <c r="BQ816" s="1" t="s">
        <v>74</v>
      </c>
      <c r="BR816" s="1" t="s">
        <v>102</v>
      </c>
      <c r="BS816" s="1" t="s">
        <v>16400</v>
      </c>
      <c r="BT816" s="1" t="str">
        <f>HYPERLINK("https%3A%2F%2Fwww.webofscience.com%2Fwos%2Fwoscc%2Ffull-record%2FWOS:000838033200003","View Full Record in Web of Science")</f>
        <v>View Full Record in Web of Science</v>
      </c>
    </row>
    <row r="817" ht="12.75" customHeight="1">
      <c r="A817" s="1" t="s">
        <v>132</v>
      </c>
      <c r="B817" s="1" t="s">
        <v>16401</v>
      </c>
      <c r="C817" s="1" t="s">
        <v>74</v>
      </c>
      <c r="D817" s="1" t="s">
        <v>74</v>
      </c>
      <c r="E817" s="1" t="s">
        <v>74</v>
      </c>
      <c r="F817" s="1" t="s">
        <v>16402</v>
      </c>
      <c r="G817" s="1" t="s">
        <v>74</v>
      </c>
      <c r="H817" s="1" t="s">
        <v>74</v>
      </c>
      <c r="I817" s="1" t="s">
        <v>16403</v>
      </c>
      <c r="J817" s="1" t="s">
        <v>16404</v>
      </c>
      <c r="K817" s="1" t="s">
        <v>74</v>
      </c>
      <c r="L817" s="1" t="s">
        <v>74</v>
      </c>
      <c r="M817" s="1" t="s">
        <v>80</v>
      </c>
      <c r="N817" s="1" t="s">
        <v>1010</v>
      </c>
      <c r="O817" s="1" t="s">
        <v>74</v>
      </c>
      <c r="P817" s="1" t="s">
        <v>74</v>
      </c>
      <c r="Q817" s="1" t="s">
        <v>74</v>
      </c>
      <c r="R817" s="1" t="s">
        <v>74</v>
      </c>
      <c r="S817" s="1" t="s">
        <v>74</v>
      </c>
      <c r="T817" s="1" t="s">
        <v>16405</v>
      </c>
      <c r="U817" s="1" t="s">
        <v>16406</v>
      </c>
      <c r="V817" s="1" t="s">
        <v>16407</v>
      </c>
      <c r="W817" s="1" t="s">
        <v>16408</v>
      </c>
      <c r="X817" s="1" t="s">
        <v>16409</v>
      </c>
      <c r="Y817" s="1" t="s">
        <v>16410</v>
      </c>
      <c r="Z817" s="1" t="s">
        <v>16411</v>
      </c>
      <c r="AA817" s="1" t="s">
        <v>16412</v>
      </c>
      <c r="AB817" s="1" t="s">
        <v>16413</v>
      </c>
      <c r="AC817" s="1" t="s">
        <v>74</v>
      </c>
      <c r="AD817" s="1" t="s">
        <v>74</v>
      </c>
      <c r="AE817" s="1" t="s">
        <v>74</v>
      </c>
      <c r="AF817" s="1" t="s">
        <v>74</v>
      </c>
      <c r="AG817" s="1">
        <v>103.0</v>
      </c>
      <c r="AH817" s="1">
        <v>30.0</v>
      </c>
      <c r="AI817" s="1">
        <v>32.0</v>
      </c>
      <c r="AJ817" s="1">
        <v>1.0</v>
      </c>
      <c r="AK817" s="1">
        <v>7.0</v>
      </c>
      <c r="AL817" s="1" t="s">
        <v>1970</v>
      </c>
      <c r="AM817" s="1" t="s">
        <v>1658</v>
      </c>
      <c r="AN817" s="1" t="s">
        <v>1971</v>
      </c>
      <c r="AO817" s="1" t="s">
        <v>74</v>
      </c>
      <c r="AP817" s="1" t="s">
        <v>16414</v>
      </c>
      <c r="AQ817" s="1" t="s">
        <v>74</v>
      </c>
      <c r="AR817" s="1" t="s">
        <v>16404</v>
      </c>
      <c r="AS817" s="1" t="s">
        <v>16415</v>
      </c>
      <c r="AT817" s="1" t="s">
        <v>1027</v>
      </c>
      <c r="AU817" s="1">
        <v>2023.0</v>
      </c>
      <c r="AV817" s="1">
        <v>11.0</v>
      </c>
      <c r="AW817" s="1">
        <v>3.0</v>
      </c>
      <c r="AX817" s="1" t="s">
        <v>74</v>
      </c>
      <c r="AY817" s="1" t="s">
        <v>74</v>
      </c>
      <c r="AZ817" s="1" t="s">
        <v>74</v>
      </c>
      <c r="BA817" s="1" t="s">
        <v>74</v>
      </c>
      <c r="BB817" s="1" t="s">
        <v>74</v>
      </c>
      <c r="BC817" s="1" t="s">
        <v>74</v>
      </c>
      <c r="BD817" s="1">
        <v>887.0</v>
      </c>
      <c r="BE817" s="1" t="s">
        <v>16416</v>
      </c>
      <c r="BF817" s="2" t="str">
        <f>HYPERLINK("http://dx.doi.org/10.3390/biomedicines11030887","http://dx.doi.org/10.3390/biomedicines11030887")</f>
        <v>http://dx.doi.org/10.3390/biomedicines11030887</v>
      </c>
      <c r="BG817" s="1" t="s">
        <v>74</v>
      </c>
      <c r="BH817" s="1" t="s">
        <v>74</v>
      </c>
      <c r="BI817" s="1">
        <v>23.0</v>
      </c>
      <c r="BJ817" s="1" t="s">
        <v>16417</v>
      </c>
      <c r="BK817" s="1" t="s">
        <v>149</v>
      </c>
      <c r="BL817" s="1" t="s">
        <v>16418</v>
      </c>
      <c r="BM817" s="1" t="s">
        <v>16419</v>
      </c>
      <c r="BN817" s="1">
        <v>3.6979866E7</v>
      </c>
      <c r="BO817" s="1" t="s">
        <v>284</v>
      </c>
      <c r="BP817" s="1" t="s">
        <v>74</v>
      </c>
      <c r="BQ817" s="1" t="s">
        <v>74</v>
      </c>
      <c r="BR817" s="1" t="s">
        <v>102</v>
      </c>
      <c r="BS817" s="1" t="s">
        <v>16420</v>
      </c>
      <c r="BT817" s="1" t="str">
        <f>HYPERLINK("https%3A%2F%2Fwww.webofscience.com%2Fwos%2Fwoscc%2Ffull-record%2FWOS:000954312300001","View Full Record in Web of Science")</f>
        <v>View Full Record in Web of Science</v>
      </c>
    </row>
    <row r="818" ht="12.75" customHeight="1">
      <c r="A818" s="1" t="s">
        <v>132</v>
      </c>
      <c r="B818" s="1" t="s">
        <v>16421</v>
      </c>
      <c r="C818" s="1" t="s">
        <v>74</v>
      </c>
      <c r="D818" s="1" t="s">
        <v>74</v>
      </c>
      <c r="E818" s="1" t="s">
        <v>74</v>
      </c>
      <c r="F818" s="1" t="s">
        <v>16422</v>
      </c>
      <c r="G818" s="1" t="s">
        <v>74</v>
      </c>
      <c r="H818" s="1" t="s">
        <v>74</v>
      </c>
      <c r="I818" s="1" t="s">
        <v>16423</v>
      </c>
      <c r="J818" s="1" t="s">
        <v>10855</v>
      </c>
      <c r="K818" s="1" t="s">
        <v>74</v>
      </c>
      <c r="L818" s="1" t="s">
        <v>74</v>
      </c>
      <c r="M818" s="1" t="s">
        <v>80</v>
      </c>
      <c r="N818" s="1" t="s">
        <v>136</v>
      </c>
      <c r="O818" s="1" t="s">
        <v>74</v>
      </c>
      <c r="P818" s="1" t="s">
        <v>74</v>
      </c>
      <c r="Q818" s="1" t="s">
        <v>74</v>
      </c>
      <c r="R818" s="1" t="s">
        <v>74</v>
      </c>
      <c r="S818" s="1" t="s">
        <v>74</v>
      </c>
      <c r="T818" s="1" t="s">
        <v>16424</v>
      </c>
      <c r="U818" s="1" t="s">
        <v>16425</v>
      </c>
      <c r="V818" s="1" t="s">
        <v>16426</v>
      </c>
      <c r="W818" s="1" t="s">
        <v>16427</v>
      </c>
      <c r="X818" s="1" t="s">
        <v>16428</v>
      </c>
      <c r="Y818" s="1" t="s">
        <v>16429</v>
      </c>
      <c r="Z818" s="1" t="s">
        <v>12410</v>
      </c>
      <c r="AA818" s="1" t="s">
        <v>16430</v>
      </c>
      <c r="AB818" s="1" t="s">
        <v>16431</v>
      </c>
      <c r="AC818" s="1" t="s">
        <v>74</v>
      </c>
      <c r="AD818" s="1" t="s">
        <v>74</v>
      </c>
      <c r="AE818" s="1" t="s">
        <v>74</v>
      </c>
      <c r="AF818" s="1" t="s">
        <v>74</v>
      </c>
      <c r="AG818" s="1">
        <v>100.0</v>
      </c>
      <c r="AH818" s="1">
        <v>25.0</v>
      </c>
      <c r="AI818" s="1">
        <v>26.0</v>
      </c>
      <c r="AJ818" s="1">
        <v>27.0</v>
      </c>
      <c r="AK818" s="1">
        <v>152.0</v>
      </c>
      <c r="AL818" s="1" t="s">
        <v>466</v>
      </c>
      <c r="AM818" s="1" t="s">
        <v>467</v>
      </c>
      <c r="AN818" s="1" t="s">
        <v>468</v>
      </c>
      <c r="AO818" s="1" t="s">
        <v>74</v>
      </c>
      <c r="AP818" s="1" t="s">
        <v>10865</v>
      </c>
      <c r="AQ818" s="1" t="s">
        <v>74</v>
      </c>
      <c r="AR818" s="1" t="s">
        <v>10866</v>
      </c>
      <c r="AS818" s="1" t="s">
        <v>10867</v>
      </c>
      <c r="AT818" s="1" t="s">
        <v>5759</v>
      </c>
      <c r="AU818" s="1">
        <v>2023.0</v>
      </c>
      <c r="AV818" s="1">
        <v>95.0</v>
      </c>
      <c r="AW818" s="1">
        <v>1.0</v>
      </c>
      <c r="AX818" s="1" t="s">
        <v>74</v>
      </c>
      <c r="AY818" s="1" t="s">
        <v>74</v>
      </c>
      <c r="AZ818" s="1" t="s">
        <v>74</v>
      </c>
      <c r="BA818" s="1" t="s">
        <v>74</v>
      </c>
      <c r="BB818" s="1" t="s">
        <v>74</v>
      </c>
      <c r="BC818" s="1" t="s">
        <v>74</v>
      </c>
      <c r="BD818" s="1">
        <v>2168568.0</v>
      </c>
      <c r="BE818" s="1" t="s">
        <v>16432</v>
      </c>
      <c r="BF818" s="2" t="str">
        <f>HYPERLINK("http://dx.doi.org/10.1080/27685241.2023.2168568","http://dx.doi.org/10.1080/27685241.2023.2168568")</f>
        <v>http://dx.doi.org/10.1080/27685241.2023.2168568</v>
      </c>
      <c r="BG818" s="1" t="s">
        <v>74</v>
      </c>
      <c r="BH818" s="1" t="s">
        <v>74</v>
      </c>
      <c r="BI818" s="1">
        <v>31.0</v>
      </c>
      <c r="BJ818" s="1" t="s">
        <v>10869</v>
      </c>
      <c r="BK818" s="1" t="s">
        <v>149</v>
      </c>
      <c r="BL818" s="1" t="s">
        <v>10870</v>
      </c>
      <c r="BM818" s="1" t="s">
        <v>16433</v>
      </c>
      <c r="BN818" s="1" t="s">
        <v>74</v>
      </c>
      <c r="BO818" s="1" t="s">
        <v>306</v>
      </c>
      <c r="BP818" s="1" t="s">
        <v>74</v>
      </c>
      <c r="BQ818" s="1" t="s">
        <v>74</v>
      </c>
      <c r="BR818" s="1" t="s">
        <v>102</v>
      </c>
      <c r="BS818" s="1" t="s">
        <v>16434</v>
      </c>
      <c r="BT818" s="1" t="str">
        <f>HYPERLINK("https%3A%2F%2Fwww.webofscience.com%2Fwos%2Fwoscc%2Ffull-record%2FWOS:000919987700001","View Full Record in Web of Science")</f>
        <v>View Full Record in Web of Science</v>
      </c>
    </row>
    <row r="819" ht="12.75" customHeight="1">
      <c r="A819" s="1" t="s">
        <v>132</v>
      </c>
      <c r="B819" s="1" t="s">
        <v>16435</v>
      </c>
      <c r="C819" s="1" t="s">
        <v>74</v>
      </c>
      <c r="D819" s="1" t="s">
        <v>74</v>
      </c>
      <c r="E819" s="1" t="s">
        <v>74</v>
      </c>
      <c r="F819" s="1" t="s">
        <v>16436</v>
      </c>
      <c r="G819" s="1" t="s">
        <v>74</v>
      </c>
      <c r="H819" s="1" t="s">
        <v>74</v>
      </c>
      <c r="I819" s="1" t="s">
        <v>16437</v>
      </c>
      <c r="J819" s="1" t="s">
        <v>16438</v>
      </c>
      <c r="K819" s="1" t="s">
        <v>74</v>
      </c>
      <c r="L819" s="1" t="s">
        <v>74</v>
      </c>
      <c r="M819" s="1" t="s">
        <v>80</v>
      </c>
      <c r="N819" s="1" t="s">
        <v>1010</v>
      </c>
      <c r="O819" s="1" t="s">
        <v>74</v>
      </c>
      <c r="P819" s="1" t="s">
        <v>74</v>
      </c>
      <c r="Q819" s="1" t="s">
        <v>74</v>
      </c>
      <c r="R819" s="1" t="s">
        <v>74</v>
      </c>
      <c r="S819" s="1" t="s">
        <v>74</v>
      </c>
      <c r="T819" s="1" t="s">
        <v>16439</v>
      </c>
      <c r="U819" s="1" t="s">
        <v>74</v>
      </c>
      <c r="V819" s="1" t="s">
        <v>16440</v>
      </c>
      <c r="W819" s="1" t="s">
        <v>16441</v>
      </c>
      <c r="X819" s="1" t="s">
        <v>16442</v>
      </c>
      <c r="Y819" s="1" t="s">
        <v>16443</v>
      </c>
      <c r="Z819" s="1" t="s">
        <v>16444</v>
      </c>
      <c r="AA819" s="1" t="s">
        <v>16445</v>
      </c>
      <c r="AB819" s="1" t="s">
        <v>16446</v>
      </c>
      <c r="AC819" s="1" t="s">
        <v>16447</v>
      </c>
      <c r="AD819" s="1" t="s">
        <v>16448</v>
      </c>
      <c r="AE819" s="1" t="s">
        <v>16449</v>
      </c>
      <c r="AF819" s="1" t="s">
        <v>74</v>
      </c>
      <c r="AG819" s="1">
        <v>72.0</v>
      </c>
      <c r="AH819" s="1">
        <v>5.0</v>
      </c>
      <c r="AI819" s="1">
        <v>5.0</v>
      </c>
      <c r="AJ819" s="1">
        <v>8.0</v>
      </c>
      <c r="AK819" s="1">
        <v>21.0</v>
      </c>
      <c r="AL819" s="1" t="s">
        <v>16450</v>
      </c>
      <c r="AM819" s="1" t="s">
        <v>224</v>
      </c>
      <c r="AN819" s="1" t="s">
        <v>225</v>
      </c>
      <c r="AO819" s="1" t="s">
        <v>16451</v>
      </c>
      <c r="AP819" s="1" t="s">
        <v>16452</v>
      </c>
      <c r="AQ819" s="1" t="s">
        <v>74</v>
      </c>
      <c r="AR819" s="1" t="s">
        <v>16453</v>
      </c>
      <c r="AS819" s="1" t="s">
        <v>16454</v>
      </c>
      <c r="AT819" s="1" t="s">
        <v>16455</v>
      </c>
      <c r="AU819" s="1">
        <v>2024.0</v>
      </c>
      <c r="AV819" s="1">
        <v>15.0</v>
      </c>
      <c r="AW819" s="1">
        <v>1.0</v>
      </c>
      <c r="AX819" s="1" t="s">
        <v>74</v>
      </c>
      <c r="AY819" s="1" t="s">
        <v>74</v>
      </c>
      <c r="AZ819" s="1" t="s">
        <v>74</v>
      </c>
      <c r="BA819" s="1" t="s">
        <v>74</v>
      </c>
      <c r="BB819" s="1" t="s">
        <v>74</v>
      </c>
      <c r="BC819" s="1" t="s">
        <v>74</v>
      </c>
      <c r="BD819" s="1">
        <v>4.0</v>
      </c>
      <c r="BE819" s="1" t="s">
        <v>16456</v>
      </c>
      <c r="BF819" s="2" t="str">
        <f>HYPERLINK("http://dx.doi.org/10.1186/s40543-024-00416-6","http://dx.doi.org/10.1186/s40543-024-00416-6")</f>
        <v>http://dx.doi.org/10.1186/s40543-024-00416-6</v>
      </c>
      <c r="BG819" s="1" t="s">
        <v>74</v>
      </c>
      <c r="BH819" s="1" t="s">
        <v>74</v>
      </c>
      <c r="BI819" s="1">
        <v>17.0</v>
      </c>
      <c r="BJ819" s="1" t="s">
        <v>16457</v>
      </c>
      <c r="BK819" s="1" t="s">
        <v>149</v>
      </c>
      <c r="BL819" s="1" t="s">
        <v>16458</v>
      </c>
      <c r="BM819" s="1" t="s">
        <v>16459</v>
      </c>
      <c r="BN819" s="1" t="s">
        <v>74</v>
      </c>
      <c r="BO819" s="1" t="s">
        <v>174</v>
      </c>
      <c r="BP819" s="1" t="s">
        <v>74</v>
      </c>
      <c r="BQ819" s="1" t="s">
        <v>74</v>
      </c>
      <c r="BR819" s="1" t="s">
        <v>102</v>
      </c>
      <c r="BS819" s="1" t="s">
        <v>16460</v>
      </c>
      <c r="BT819" s="1" t="str">
        <f>HYPERLINK("https%3A%2F%2Fwww.webofscience.com%2Fwos%2Fwoscc%2Ffull-record%2FWOS:001159425500001","View Full Record in Web of Science")</f>
        <v>View Full Record in Web of Science</v>
      </c>
    </row>
    <row r="820" ht="12.75" customHeight="1">
      <c r="A820" s="1" t="s">
        <v>132</v>
      </c>
      <c r="B820" s="1" t="s">
        <v>16461</v>
      </c>
      <c r="C820" s="1" t="s">
        <v>74</v>
      </c>
      <c r="D820" s="1" t="s">
        <v>74</v>
      </c>
      <c r="E820" s="1" t="s">
        <v>74</v>
      </c>
      <c r="F820" s="1" t="s">
        <v>16462</v>
      </c>
      <c r="G820" s="1" t="s">
        <v>74</v>
      </c>
      <c r="H820" s="1" t="s">
        <v>74</v>
      </c>
      <c r="I820" s="1" t="s">
        <v>16463</v>
      </c>
      <c r="J820" s="1" t="s">
        <v>13840</v>
      </c>
      <c r="K820" s="1" t="s">
        <v>74</v>
      </c>
      <c r="L820" s="1" t="s">
        <v>74</v>
      </c>
      <c r="M820" s="1" t="s">
        <v>80</v>
      </c>
      <c r="N820" s="1" t="s">
        <v>136</v>
      </c>
      <c r="O820" s="1" t="s">
        <v>74</v>
      </c>
      <c r="P820" s="1" t="s">
        <v>74</v>
      </c>
      <c r="Q820" s="1" t="s">
        <v>74</v>
      </c>
      <c r="R820" s="1" t="s">
        <v>74</v>
      </c>
      <c r="S820" s="1" t="s">
        <v>74</v>
      </c>
      <c r="T820" s="1" t="s">
        <v>16464</v>
      </c>
      <c r="U820" s="1" t="s">
        <v>16465</v>
      </c>
      <c r="V820" s="1" t="s">
        <v>16466</v>
      </c>
      <c r="W820" s="1" t="s">
        <v>16467</v>
      </c>
      <c r="X820" s="1" t="s">
        <v>16468</v>
      </c>
      <c r="Y820" s="1" t="s">
        <v>16469</v>
      </c>
      <c r="Z820" s="1" t="s">
        <v>16470</v>
      </c>
      <c r="AA820" s="1" t="s">
        <v>16471</v>
      </c>
      <c r="AB820" s="1" t="s">
        <v>16472</v>
      </c>
      <c r="AC820" s="1" t="s">
        <v>16473</v>
      </c>
      <c r="AD820" s="1" t="s">
        <v>16474</v>
      </c>
      <c r="AE820" s="1" t="s">
        <v>16475</v>
      </c>
      <c r="AF820" s="1" t="s">
        <v>74</v>
      </c>
      <c r="AG820" s="1">
        <v>25.0</v>
      </c>
      <c r="AH820" s="1">
        <v>14.0</v>
      </c>
      <c r="AI820" s="1">
        <v>14.0</v>
      </c>
      <c r="AJ820" s="1">
        <v>2.0</v>
      </c>
      <c r="AK820" s="1">
        <v>7.0</v>
      </c>
      <c r="AL820" s="1" t="s">
        <v>2341</v>
      </c>
      <c r="AM820" s="1" t="s">
        <v>93</v>
      </c>
      <c r="AN820" s="1" t="s">
        <v>2342</v>
      </c>
      <c r="AO820" s="1" t="s">
        <v>13851</v>
      </c>
      <c r="AP820" s="1" t="s">
        <v>74</v>
      </c>
      <c r="AQ820" s="1" t="s">
        <v>74</v>
      </c>
      <c r="AR820" s="1" t="s">
        <v>13852</v>
      </c>
      <c r="AS820" s="1" t="s">
        <v>13853</v>
      </c>
      <c r="AT820" s="1" t="s">
        <v>1364</v>
      </c>
      <c r="AU820" s="1">
        <v>2022.0</v>
      </c>
      <c r="AV820" s="1">
        <v>103.0</v>
      </c>
      <c r="AW820" s="1">
        <v>5.0</v>
      </c>
      <c r="AX820" s="1" t="s">
        <v>74</v>
      </c>
      <c r="AY820" s="1" t="s">
        <v>74</v>
      </c>
      <c r="AZ820" s="1" t="s">
        <v>74</v>
      </c>
      <c r="BA820" s="1" t="s">
        <v>74</v>
      </c>
      <c r="BB820" s="1">
        <v>273.0</v>
      </c>
      <c r="BC820" s="1">
        <v>280.0</v>
      </c>
      <c r="BD820" s="1" t="s">
        <v>74</v>
      </c>
      <c r="BE820" s="1" t="s">
        <v>16476</v>
      </c>
      <c r="BF820" s="2" t="str">
        <f>HYPERLINK("http://dx.doi.org/10.1016/j.diii.2021.12.002","http://dx.doi.org/10.1016/j.diii.2021.12.002")</f>
        <v>http://dx.doi.org/10.1016/j.diii.2021.12.002</v>
      </c>
      <c r="BG820" s="1" t="s">
        <v>74</v>
      </c>
      <c r="BH820" s="1" t="s">
        <v>7215</v>
      </c>
      <c r="BI820" s="1">
        <v>8.0</v>
      </c>
      <c r="BJ820" s="1" t="s">
        <v>656</v>
      </c>
      <c r="BK820" s="1" t="s">
        <v>149</v>
      </c>
      <c r="BL820" s="1" t="s">
        <v>656</v>
      </c>
      <c r="BM820" s="1" t="s">
        <v>16477</v>
      </c>
      <c r="BN820" s="1">
        <v>3.4991993E7</v>
      </c>
      <c r="BO820" s="1" t="s">
        <v>3027</v>
      </c>
      <c r="BP820" s="1" t="s">
        <v>74</v>
      </c>
      <c r="BQ820" s="1" t="s">
        <v>74</v>
      </c>
      <c r="BR820" s="1" t="s">
        <v>102</v>
      </c>
      <c r="BS820" s="1" t="s">
        <v>16478</v>
      </c>
      <c r="BT820" s="1" t="str">
        <f>HYPERLINK("https%3A%2F%2Fwww.webofscience.com%2Fwos%2Fwoscc%2Ffull-record%2FWOS:000797839900006","View Full Record in Web of Science")</f>
        <v>View Full Record in Web of Science</v>
      </c>
    </row>
    <row r="821" ht="12.75" customHeight="1">
      <c r="A821" s="1" t="s">
        <v>132</v>
      </c>
      <c r="B821" s="1" t="s">
        <v>16479</v>
      </c>
      <c r="C821" s="1" t="s">
        <v>74</v>
      </c>
      <c r="D821" s="1" t="s">
        <v>74</v>
      </c>
      <c r="E821" s="1" t="s">
        <v>74</v>
      </c>
      <c r="F821" s="1" t="s">
        <v>16480</v>
      </c>
      <c r="G821" s="1" t="s">
        <v>74</v>
      </c>
      <c r="H821" s="1" t="s">
        <v>74</v>
      </c>
      <c r="I821" s="1" t="s">
        <v>16481</v>
      </c>
      <c r="J821" s="1" t="s">
        <v>16482</v>
      </c>
      <c r="K821" s="1" t="s">
        <v>74</v>
      </c>
      <c r="L821" s="1" t="s">
        <v>74</v>
      </c>
      <c r="M821" s="1" t="s">
        <v>80</v>
      </c>
      <c r="N821" s="1" t="s">
        <v>136</v>
      </c>
      <c r="O821" s="1" t="s">
        <v>74</v>
      </c>
      <c r="P821" s="1" t="s">
        <v>74</v>
      </c>
      <c r="Q821" s="1" t="s">
        <v>74</v>
      </c>
      <c r="R821" s="1" t="s">
        <v>74</v>
      </c>
      <c r="S821" s="1" t="s">
        <v>74</v>
      </c>
      <c r="T821" s="1" t="s">
        <v>16483</v>
      </c>
      <c r="U821" s="1" t="s">
        <v>16484</v>
      </c>
      <c r="V821" s="1" t="s">
        <v>16485</v>
      </c>
      <c r="W821" s="1" t="s">
        <v>16486</v>
      </c>
      <c r="X821" s="1" t="s">
        <v>16487</v>
      </c>
      <c r="Y821" s="1" t="s">
        <v>16488</v>
      </c>
      <c r="Z821" s="1" t="s">
        <v>16489</v>
      </c>
      <c r="AA821" s="1" t="s">
        <v>16490</v>
      </c>
      <c r="AB821" s="1" t="s">
        <v>16491</v>
      </c>
      <c r="AC821" s="1" t="s">
        <v>8840</v>
      </c>
      <c r="AD821" s="1" t="s">
        <v>8841</v>
      </c>
      <c r="AE821" s="1" t="s">
        <v>16492</v>
      </c>
      <c r="AF821" s="1" t="s">
        <v>74</v>
      </c>
      <c r="AG821" s="1">
        <v>45.0</v>
      </c>
      <c r="AH821" s="1">
        <v>0.0</v>
      </c>
      <c r="AI821" s="1">
        <v>0.0</v>
      </c>
      <c r="AJ821" s="1">
        <v>0.0</v>
      </c>
      <c r="AK821" s="1">
        <v>0.0</v>
      </c>
      <c r="AL821" s="1" t="s">
        <v>1571</v>
      </c>
      <c r="AM821" s="1" t="s">
        <v>1572</v>
      </c>
      <c r="AN821" s="1" t="s">
        <v>1573</v>
      </c>
      <c r="AO821" s="1" t="s">
        <v>16493</v>
      </c>
      <c r="AP821" s="1" t="s">
        <v>16494</v>
      </c>
      <c r="AQ821" s="1" t="s">
        <v>74</v>
      </c>
      <c r="AR821" s="1" t="s">
        <v>16495</v>
      </c>
      <c r="AS821" s="1" t="s">
        <v>16496</v>
      </c>
      <c r="AT821" s="1" t="s">
        <v>2469</v>
      </c>
      <c r="AU821" s="1">
        <v>2024.0</v>
      </c>
      <c r="AV821" s="1">
        <v>30.0</v>
      </c>
      <c r="AW821" s="1">
        <v>4.0</v>
      </c>
      <c r="AX821" s="1" t="s">
        <v>74</v>
      </c>
      <c r="AY821" s="1" t="s">
        <v>74</v>
      </c>
      <c r="AZ821" s="1" t="s">
        <v>74</v>
      </c>
      <c r="BA821" s="1" t="s">
        <v>74</v>
      </c>
      <c r="BB821" s="1" t="s">
        <v>74</v>
      </c>
      <c r="BC821" s="1" t="s">
        <v>74</v>
      </c>
      <c r="BD821" s="1">
        <v>1.4604582241296072E16</v>
      </c>
      <c r="BE821" s="1" t="s">
        <v>16497</v>
      </c>
      <c r="BF821" s="2" t="str">
        <f>HYPERLINK("http://dx.doi.org/10.1177/14604582241296072","http://dx.doi.org/10.1177/14604582241296072")</f>
        <v>http://dx.doi.org/10.1177/14604582241296072</v>
      </c>
      <c r="BG821" s="1" t="s">
        <v>74</v>
      </c>
      <c r="BH821" s="1" t="s">
        <v>74</v>
      </c>
      <c r="BI821" s="1">
        <v>13.0</v>
      </c>
      <c r="BJ821" s="1" t="s">
        <v>3025</v>
      </c>
      <c r="BK821" s="1" t="s">
        <v>149</v>
      </c>
      <c r="BL821" s="1" t="s">
        <v>3025</v>
      </c>
      <c r="BM821" s="1" t="s">
        <v>16498</v>
      </c>
      <c r="BN821" s="1">
        <v>3.9441895E7</v>
      </c>
      <c r="BO821" s="1" t="s">
        <v>174</v>
      </c>
      <c r="BP821" s="1" t="s">
        <v>74</v>
      </c>
      <c r="BQ821" s="1" t="s">
        <v>74</v>
      </c>
      <c r="BR821" s="1" t="s">
        <v>102</v>
      </c>
      <c r="BS821" s="1" t="s">
        <v>16499</v>
      </c>
      <c r="BT821" s="1" t="str">
        <f>HYPERLINK("https%3A%2F%2Fwww.webofscience.com%2Fwos%2Fwoscc%2Ffull-record%2FWOS:001343244100001","View Full Record in Web of Science")</f>
        <v>View Full Record in Web of Science</v>
      </c>
    </row>
    <row r="822" ht="12.75" customHeight="1">
      <c r="A822" s="1" t="s">
        <v>132</v>
      </c>
      <c r="B822" s="1" t="s">
        <v>16500</v>
      </c>
      <c r="C822" s="1" t="s">
        <v>74</v>
      </c>
      <c r="D822" s="1" t="s">
        <v>74</v>
      </c>
      <c r="E822" s="1" t="s">
        <v>74</v>
      </c>
      <c r="F822" s="1" t="s">
        <v>16501</v>
      </c>
      <c r="G822" s="1" t="s">
        <v>74</v>
      </c>
      <c r="H822" s="1" t="s">
        <v>74</v>
      </c>
      <c r="I822" s="1" t="s">
        <v>16502</v>
      </c>
      <c r="J822" s="1" t="s">
        <v>8454</v>
      </c>
      <c r="K822" s="1" t="s">
        <v>74</v>
      </c>
      <c r="L822" s="1" t="s">
        <v>74</v>
      </c>
      <c r="M822" s="1" t="s">
        <v>80</v>
      </c>
      <c r="N822" s="1" t="s">
        <v>136</v>
      </c>
      <c r="O822" s="1" t="s">
        <v>74</v>
      </c>
      <c r="P822" s="1" t="s">
        <v>74</v>
      </c>
      <c r="Q822" s="1" t="s">
        <v>74</v>
      </c>
      <c r="R822" s="1" t="s">
        <v>74</v>
      </c>
      <c r="S822" s="1" t="s">
        <v>74</v>
      </c>
      <c r="T822" s="1" t="s">
        <v>16503</v>
      </c>
      <c r="U822" s="1" t="s">
        <v>16504</v>
      </c>
      <c r="V822" s="1" t="s">
        <v>16505</v>
      </c>
      <c r="W822" s="1" t="s">
        <v>16506</v>
      </c>
      <c r="X822" s="1" t="s">
        <v>16507</v>
      </c>
      <c r="Y822" s="1" t="s">
        <v>16508</v>
      </c>
      <c r="Z822" s="1" t="s">
        <v>16509</v>
      </c>
      <c r="AA822" s="1" t="s">
        <v>74</v>
      </c>
      <c r="AB822" s="1" t="s">
        <v>74</v>
      </c>
      <c r="AC822" s="1" t="s">
        <v>74</v>
      </c>
      <c r="AD822" s="1" t="s">
        <v>74</v>
      </c>
      <c r="AE822" s="1" t="s">
        <v>74</v>
      </c>
      <c r="AF822" s="1" t="s">
        <v>74</v>
      </c>
      <c r="AG822" s="1">
        <v>124.0</v>
      </c>
      <c r="AH822" s="1">
        <v>6.0</v>
      </c>
      <c r="AI822" s="1">
        <v>6.0</v>
      </c>
      <c r="AJ822" s="1">
        <v>12.0</v>
      </c>
      <c r="AK822" s="1">
        <v>15.0</v>
      </c>
      <c r="AL822" s="1" t="s">
        <v>3800</v>
      </c>
      <c r="AM822" s="1" t="s">
        <v>349</v>
      </c>
      <c r="AN822" s="1" t="s">
        <v>3801</v>
      </c>
      <c r="AO822" s="1" t="s">
        <v>74</v>
      </c>
      <c r="AP822" s="1" t="s">
        <v>8463</v>
      </c>
      <c r="AQ822" s="1" t="s">
        <v>74</v>
      </c>
      <c r="AR822" s="1" t="s">
        <v>8464</v>
      </c>
      <c r="AS822" s="1" t="s">
        <v>8465</v>
      </c>
      <c r="AT822" s="1" t="s">
        <v>2727</v>
      </c>
      <c r="AU822" s="1">
        <v>2024.0</v>
      </c>
      <c r="AV822" s="1">
        <v>16.0</v>
      </c>
      <c r="AW822" s="1">
        <v>5.0</v>
      </c>
      <c r="AX822" s="1" t="s">
        <v>74</v>
      </c>
      <c r="AY822" s="1" t="s">
        <v>74</v>
      </c>
      <c r="AZ822" s="1" t="s">
        <v>74</v>
      </c>
      <c r="BA822" s="1" t="s">
        <v>74</v>
      </c>
      <c r="BB822" s="1" t="s">
        <v>74</v>
      </c>
      <c r="BC822" s="1" t="s">
        <v>74</v>
      </c>
      <c r="BD822" s="1" t="s">
        <v>16510</v>
      </c>
      <c r="BE822" s="1" t="s">
        <v>16511</v>
      </c>
      <c r="BF822" s="2" t="str">
        <f>HYPERLINK("http://dx.doi.org/10.7759/cureus.59747","http://dx.doi.org/10.7759/cureus.59747")</f>
        <v>http://dx.doi.org/10.7759/cureus.59747</v>
      </c>
      <c r="BG822" s="1" t="s">
        <v>74</v>
      </c>
      <c r="BH822" s="1" t="s">
        <v>74</v>
      </c>
      <c r="BI822" s="1">
        <v>17.0</v>
      </c>
      <c r="BJ822" s="1" t="s">
        <v>1158</v>
      </c>
      <c r="BK822" s="1" t="s">
        <v>172</v>
      </c>
      <c r="BL822" s="1" t="s">
        <v>1159</v>
      </c>
      <c r="BM822" s="1" t="s">
        <v>16512</v>
      </c>
      <c r="BN822" s="1">
        <v>3.8840993E7</v>
      </c>
      <c r="BO822" s="1" t="s">
        <v>1161</v>
      </c>
      <c r="BP822" s="1" t="s">
        <v>74</v>
      </c>
      <c r="BQ822" s="1" t="s">
        <v>74</v>
      </c>
      <c r="BR822" s="1" t="s">
        <v>102</v>
      </c>
      <c r="BS822" s="1" t="s">
        <v>16513</v>
      </c>
      <c r="BT822" s="1" t="str">
        <f>HYPERLINK("https%3A%2F%2Fwww.webofscience.com%2Fwos%2Fwoscc%2Ffull-record%2FWOS:001235770500022","View Full Record in Web of Science")</f>
        <v>View Full Record in Web of Science</v>
      </c>
    </row>
    <row r="823" ht="12.75" customHeight="1">
      <c r="A823" s="1" t="s">
        <v>132</v>
      </c>
      <c r="B823" s="1" t="s">
        <v>16514</v>
      </c>
      <c r="C823" s="1" t="s">
        <v>74</v>
      </c>
      <c r="D823" s="1" t="s">
        <v>74</v>
      </c>
      <c r="E823" s="1" t="s">
        <v>74</v>
      </c>
      <c r="F823" s="1" t="s">
        <v>16515</v>
      </c>
      <c r="G823" s="1" t="s">
        <v>74</v>
      </c>
      <c r="H823" s="1" t="s">
        <v>74</v>
      </c>
      <c r="I823" s="1" t="s">
        <v>16516</v>
      </c>
      <c r="J823" s="1" t="s">
        <v>16517</v>
      </c>
      <c r="K823" s="1" t="s">
        <v>74</v>
      </c>
      <c r="L823" s="1" t="s">
        <v>74</v>
      </c>
      <c r="M823" s="1" t="s">
        <v>80</v>
      </c>
      <c r="N823" s="1" t="s">
        <v>1010</v>
      </c>
      <c r="O823" s="1" t="s">
        <v>74</v>
      </c>
      <c r="P823" s="1" t="s">
        <v>74</v>
      </c>
      <c r="Q823" s="1" t="s">
        <v>74</v>
      </c>
      <c r="R823" s="1" t="s">
        <v>74</v>
      </c>
      <c r="S823" s="1" t="s">
        <v>74</v>
      </c>
      <c r="T823" s="1" t="s">
        <v>16518</v>
      </c>
      <c r="U823" s="1" t="s">
        <v>16519</v>
      </c>
      <c r="V823" s="1" t="s">
        <v>16520</v>
      </c>
      <c r="W823" s="1" t="s">
        <v>16521</v>
      </c>
      <c r="X823" s="1" t="s">
        <v>16522</v>
      </c>
      <c r="Y823" s="1" t="s">
        <v>16523</v>
      </c>
      <c r="Z823" s="1" t="s">
        <v>16524</v>
      </c>
      <c r="AA823" s="1" t="s">
        <v>74</v>
      </c>
      <c r="AB823" s="1" t="s">
        <v>74</v>
      </c>
      <c r="AC823" s="1" t="s">
        <v>16525</v>
      </c>
      <c r="AD823" s="1" t="s">
        <v>16526</v>
      </c>
      <c r="AE823" s="1" t="s">
        <v>16527</v>
      </c>
      <c r="AF823" s="1" t="s">
        <v>74</v>
      </c>
      <c r="AG823" s="1">
        <v>82.0</v>
      </c>
      <c r="AH823" s="1">
        <v>1.0</v>
      </c>
      <c r="AI823" s="1">
        <v>1.0</v>
      </c>
      <c r="AJ823" s="1">
        <v>1.0</v>
      </c>
      <c r="AK823" s="1">
        <v>3.0</v>
      </c>
      <c r="AL823" s="1" t="s">
        <v>16528</v>
      </c>
      <c r="AM823" s="1" t="s">
        <v>16529</v>
      </c>
      <c r="AN823" s="1" t="s">
        <v>16530</v>
      </c>
      <c r="AO823" s="1" t="s">
        <v>74</v>
      </c>
      <c r="AP823" s="1" t="s">
        <v>16531</v>
      </c>
      <c r="AQ823" s="1" t="s">
        <v>74</v>
      </c>
      <c r="AR823" s="1" t="s">
        <v>16532</v>
      </c>
      <c r="AS823" s="1" t="s">
        <v>16533</v>
      </c>
      <c r="AT823" s="1" t="s">
        <v>1051</v>
      </c>
      <c r="AU823" s="1">
        <v>2023.0</v>
      </c>
      <c r="AV823" s="1">
        <v>55.0</v>
      </c>
      <c r="AW823" s="1" t="s">
        <v>74</v>
      </c>
      <c r="AX823" s="1" t="s">
        <v>74</v>
      </c>
      <c r="AY823" s="1">
        <v>1.0</v>
      </c>
      <c r="AZ823" s="1" t="s">
        <v>74</v>
      </c>
      <c r="BA823" s="1" t="s">
        <v>74</v>
      </c>
      <c r="BB823" s="1" t="s">
        <v>74</v>
      </c>
      <c r="BC823" s="1" t="s">
        <v>74</v>
      </c>
      <c r="BD823" s="1" t="s">
        <v>74</v>
      </c>
      <c r="BE823" s="1" t="s">
        <v>16534</v>
      </c>
      <c r="BF823" s="2" t="str">
        <f>HYPERLINK("http://dx.doi.org/10.5152/eurasianjmed.2023.23360","http://dx.doi.org/10.5152/eurasianjmed.2023.23360")</f>
        <v>http://dx.doi.org/10.5152/eurasianjmed.2023.23360</v>
      </c>
      <c r="BG823" s="1" t="s">
        <v>74</v>
      </c>
      <c r="BH823" s="1" t="s">
        <v>74</v>
      </c>
      <c r="BI823" s="1">
        <v>174.0</v>
      </c>
      <c r="BJ823" s="1" t="s">
        <v>1158</v>
      </c>
      <c r="BK823" s="1" t="s">
        <v>172</v>
      </c>
      <c r="BL823" s="1" t="s">
        <v>1159</v>
      </c>
      <c r="BM823" s="1" t="s">
        <v>16535</v>
      </c>
      <c r="BN823" s="1">
        <v>3.9128072E7</v>
      </c>
      <c r="BO823" s="1" t="s">
        <v>1997</v>
      </c>
      <c r="BP823" s="1" t="s">
        <v>74</v>
      </c>
      <c r="BQ823" s="1" t="s">
        <v>74</v>
      </c>
      <c r="BR823" s="1" t="s">
        <v>102</v>
      </c>
      <c r="BS823" s="1" t="s">
        <v>16536</v>
      </c>
      <c r="BT823" s="1" t="str">
        <f>HYPERLINK("https%3A%2F%2Fwww.webofscience.com%2Fwos%2Fwoscc%2Ffull-record%2FWOS:001194949900016","View Full Record in Web of Science")</f>
        <v>View Full Record in Web of Science</v>
      </c>
    </row>
    <row r="824" ht="12.75" customHeight="1">
      <c r="A824" s="1" t="s">
        <v>132</v>
      </c>
      <c r="B824" s="1" t="s">
        <v>16537</v>
      </c>
      <c r="C824" s="1" t="s">
        <v>74</v>
      </c>
      <c r="D824" s="1" t="s">
        <v>74</v>
      </c>
      <c r="E824" s="1" t="s">
        <v>74</v>
      </c>
      <c r="F824" s="1" t="s">
        <v>16538</v>
      </c>
      <c r="G824" s="1" t="s">
        <v>74</v>
      </c>
      <c r="H824" s="1" t="s">
        <v>74</v>
      </c>
      <c r="I824" s="1" t="s">
        <v>16539</v>
      </c>
      <c r="J824" s="1" t="s">
        <v>16540</v>
      </c>
      <c r="K824" s="1" t="s">
        <v>74</v>
      </c>
      <c r="L824" s="1" t="s">
        <v>74</v>
      </c>
      <c r="M824" s="1" t="s">
        <v>80</v>
      </c>
      <c r="N824" s="1" t="s">
        <v>136</v>
      </c>
      <c r="O824" s="1" t="s">
        <v>74</v>
      </c>
      <c r="P824" s="1" t="s">
        <v>74</v>
      </c>
      <c r="Q824" s="1" t="s">
        <v>74</v>
      </c>
      <c r="R824" s="1" t="s">
        <v>74</v>
      </c>
      <c r="S824" s="1" t="s">
        <v>74</v>
      </c>
      <c r="T824" s="1" t="s">
        <v>16541</v>
      </c>
      <c r="U824" s="1" t="s">
        <v>217</v>
      </c>
      <c r="V824" s="1" t="s">
        <v>16542</v>
      </c>
      <c r="W824" s="1" t="s">
        <v>16543</v>
      </c>
      <c r="X824" s="1" t="s">
        <v>74</v>
      </c>
      <c r="Y824" s="1" t="s">
        <v>16544</v>
      </c>
      <c r="Z824" s="1" t="s">
        <v>16545</v>
      </c>
      <c r="AA824" s="1" t="s">
        <v>74</v>
      </c>
      <c r="AB824" s="1" t="s">
        <v>16546</v>
      </c>
      <c r="AC824" s="1" t="s">
        <v>74</v>
      </c>
      <c r="AD824" s="1" t="s">
        <v>74</v>
      </c>
      <c r="AE824" s="1" t="s">
        <v>74</v>
      </c>
      <c r="AF824" s="1" t="s">
        <v>74</v>
      </c>
      <c r="AG824" s="1">
        <v>96.0</v>
      </c>
      <c r="AH824" s="1">
        <v>2.0</v>
      </c>
      <c r="AI824" s="1">
        <v>2.0</v>
      </c>
      <c r="AJ824" s="1">
        <v>20.0</v>
      </c>
      <c r="AK824" s="1">
        <v>31.0</v>
      </c>
      <c r="AL824" s="1" t="s">
        <v>16547</v>
      </c>
      <c r="AM824" s="1" t="s">
        <v>16548</v>
      </c>
      <c r="AN824" s="1" t="s">
        <v>16549</v>
      </c>
      <c r="AO824" s="1" t="s">
        <v>16550</v>
      </c>
      <c r="AP824" s="1" t="s">
        <v>74</v>
      </c>
      <c r="AQ824" s="1" t="s">
        <v>74</v>
      </c>
      <c r="AR824" s="1" t="s">
        <v>16551</v>
      </c>
      <c r="AS824" s="1" t="s">
        <v>16552</v>
      </c>
      <c r="AT824" s="1" t="s">
        <v>328</v>
      </c>
      <c r="AU824" s="1">
        <v>2024.0</v>
      </c>
      <c r="AV824" s="1">
        <v>41.0</v>
      </c>
      <c r="AW824" s="1">
        <v>5.0</v>
      </c>
      <c r="AX824" s="1" t="s">
        <v>74</v>
      </c>
      <c r="AY824" s="1" t="s">
        <v>74</v>
      </c>
      <c r="AZ824" s="1" t="s">
        <v>74</v>
      </c>
      <c r="BA824" s="1" t="s">
        <v>74</v>
      </c>
      <c r="BB824" s="1">
        <v>393.0</v>
      </c>
      <c r="BC824" s="1">
        <v>412.0</v>
      </c>
      <c r="BD824" s="1" t="s">
        <v>74</v>
      </c>
      <c r="BE824" s="1" t="s">
        <v>16553</v>
      </c>
      <c r="BF824" s="2" t="str">
        <f>HYPERLINK("http://dx.doi.org/10.1525/MP.2024.41.5.393","http://dx.doi.org/10.1525/MP.2024.41.5.393")</f>
        <v>http://dx.doi.org/10.1525/MP.2024.41.5.393</v>
      </c>
      <c r="BG824" s="1" t="s">
        <v>74</v>
      </c>
      <c r="BH824" s="1" t="s">
        <v>74</v>
      </c>
      <c r="BI824" s="1">
        <v>20.0</v>
      </c>
      <c r="BJ824" s="1" t="s">
        <v>16554</v>
      </c>
      <c r="BK824" s="1" t="s">
        <v>10232</v>
      </c>
      <c r="BL824" s="1" t="s">
        <v>16555</v>
      </c>
      <c r="BM824" s="1" t="s">
        <v>16556</v>
      </c>
      <c r="BN824" s="1" t="s">
        <v>74</v>
      </c>
      <c r="BO824" s="1" t="s">
        <v>74</v>
      </c>
      <c r="BP824" s="1" t="s">
        <v>74</v>
      </c>
      <c r="BQ824" s="1" t="s">
        <v>74</v>
      </c>
      <c r="BR824" s="1" t="s">
        <v>102</v>
      </c>
      <c r="BS824" s="1" t="s">
        <v>16557</v>
      </c>
      <c r="BT824" s="1" t="str">
        <f>HYPERLINK("https%3A%2F%2Fwww.webofscience.com%2Fwos%2Fwoscc%2Ffull-record%2FWOS:001234473500006","View Full Record in Web of Science")</f>
        <v>View Full Record in Web of Science</v>
      </c>
    </row>
    <row r="825" ht="12.75" customHeight="1">
      <c r="A825" s="1" t="s">
        <v>132</v>
      </c>
      <c r="B825" s="1" t="s">
        <v>16558</v>
      </c>
      <c r="C825" s="1" t="s">
        <v>74</v>
      </c>
      <c r="D825" s="1" t="s">
        <v>74</v>
      </c>
      <c r="E825" s="1" t="s">
        <v>74</v>
      </c>
      <c r="F825" s="1" t="s">
        <v>16559</v>
      </c>
      <c r="G825" s="1" t="s">
        <v>74</v>
      </c>
      <c r="H825" s="1" t="s">
        <v>74</v>
      </c>
      <c r="I825" s="1" t="s">
        <v>16560</v>
      </c>
      <c r="J825" s="1" t="s">
        <v>15495</v>
      </c>
      <c r="K825" s="1" t="s">
        <v>74</v>
      </c>
      <c r="L825" s="1" t="s">
        <v>74</v>
      </c>
      <c r="M825" s="1" t="s">
        <v>638</v>
      </c>
      <c r="N825" s="1" t="s">
        <v>136</v>
      </c>
      <c r="O825" s="1" t="s">
        <v>74</v>
      </c>
      <c r="P825" s="1" t="s">
        <v>74</v>
      </c>
      <c r="Q825" s="1" t="s">
        <v>74</v>
      </c>
      <c r="R825" s="1" t="s">
        <v>74</v>
      </c>
      <c r="S825" s="1" t="s">
        <v>74</v>
      </c>
      <c r="T825" s="1" t="s">
        <v>16561</v>
      </c>
      <c r="U825" s="1" t="s">
        <v>74</v>
      </c>
      <c r="V825" s="1" t="s">
        <v>16562</v>
      </c>
      <c r="W825" s="1" t="s">
        <v>16563</v>
      </c>
      <c r="X825" s="1" t="s">
        <v>74</v>
      </c>
      <c r="Y825" s="1" t="s">
        <v>16564</v>
      </c>
      <c r="Z825" s="1" t="s">
        <v>16565</v>
      </c>
      <c r="AA825" s="1" t="s">
        <v>74</v>
      </c>
      <c r="AB825" s="1" t="s">
        <v>74</v>
      </c>
      <c r="AC825" s="1" t="s">
        <v>74</v>
      </c>
      <c r="AD825" s="1" t="s">
        <v>74</v>
      </c>
      <c r="AE825" s="1" t="s">
        <v>74</v>
      </c>
      <c r="AF825" s="1" t="s">
        <v>74</v>
      </c>
      <c r="AG825" s="1">
        <v>20.0</v>
      </c>
      <c r="AH825" s="1">
        <v>0.0</v>
      </c>
      <c r="AI825" s="1">
        <v>0.0</v>
      </c>
      <c r="AJ825" s="1">
        <v>0.0</v>
      </c>
      <c r="AK825" s="1">
        <v>0.0</v>
      </c>
      <c r="AL825" s="1" t="s">
        <v>3781</v>
      </c>
      <c r="AM825" s="1" t="s">
        <v>3782</v>
      </c>
      <c r="AN825" s="1" t="s">
        <v>3783</v>
      </c>
      <c r="AO825" s="1" t="s">
        <v>15503</v>
      </c>
      <c r="AP825" s="1" t="s">
        <v>74</v>
      </c>
      <c r="AQ825" s="1" t="s">
        <v>74</v>
      </c>
      <c r="AR825" s="1" t="s">
        <v>15504</v>
      </c>
      <c r="AS825" s="1" t="s">
        <v>15505</v>
      </c>
      <c r="AT825" s="1" t="s">
        <v>654</v>
      </c>
      <c r="AU825" s="1">
        <v>2024.0</v>
      </c>
      <c r="AV825" s="1">
        <v>20.0</v>
      </c>
      <c r="AW825" s="1">
        <v>101.0</v>
      </c>
      <c r="AX825" s="1" t="s">
        <v>74</v>
      </c>
      <c r="AY825" s="1" t="s">
        <v>74</v>
      </c>
      <c r="AZ825" s="1" t="s">
        <v>74</v>
      </c>
      <c r="BA825" s="1" t="s">
        <v>74</v>
      </c>
      <c r="BB825" s="1">
        <v>337.0</v>
      </c>
      <c r="BC825" s="1">
        <v>348.0</v>
      </c>
      <c r="BD825" s="1" t="s">
        <v>74</v>
      </c>
      <c r="BE825" s="1" t="s">
        <v>74</v>
      </c>
      <c r="BF825" s="1" t="s">
        <v>74</v>
      </c>
      <c r="BG825" s="1" t="s">
        <v>74</v>
      </c>
      <c r="BH825" s="1" t="s">
        <v>74</v>
      </c>
      <c r="BI825" s="1">
        <v>12.0</v>
      </c>
      <c r="BJ825" s="1" t="s">
        <v>171</v>
      </c>
      <c r="BK825" s="1" t="s">
        <v>172</v>
      </c>
      <c r="BL825" s="1" t="s">
        <v>171</v>
      </c>
      <c r="BM825" s="1" t="s">
        <v>16566</v>
      </c>
      <c r="BN825" s="1" t="s">
        <v>74</v>
      </c>
      <c r="BO825" s="1" t="s">
        <v>74</v>
      </c>
      <c r="BP825" s="1" t="s">
        <v>74</v>
      </c>
      <c r="BQ825" s="1" t="s">
        <v>74</v>
      </c>
      <c r="BR825" s="1" t="s">
        <v>102</v>
      </c>
      <c r="BS825" s="1" t="s">
        <v>16567</v>
      </c>
      <c r="BT825" s="1" t="str">
        <f>HYPERLINK("https%3A%2F%2Fwww.webofscience.com%2Fwos%2Fwoscc%2Ffull-record%2FWOS:001381251900008","View Full Record in Web of Science")</f>
        <v>View Full Record in Web of Science</v>
      </c>
    </row>
    <row r="826" ht="12.75" customHeight="1">
      <c r="A826" s="1" t="s">
        <v>72</v>
      </c>
      <c r="B826" s="1" t="s">
        <v>16568</v>
      </c>
      <c r="C826" s="1" t="s">
        <v>74</v>
      </c>
      <c r="D826" s="1" t="s">
        <v>16569</v>
      </c>
      <c r="E826" s="1" t="s">
        <v>74</v>
      </c>
      <c r="F826" s="1" t="s">
        <v>16570</v>
      </c>
      <c r="G826" s="1" t="s">
        <v>74</v>
      </c>
      <c r="H826" s="1" t="s">
        <v>74</v>
      </c>
      <c r="I826" s="1" t="s">
        <v>16571</v>
      </c>
      <c r="J826" s="1" t="s">
        <v>16572</v>
      </c>
      <c r="K826" s="1" t="s">
        <v>414</v>
      </c>
      <c r="L826" s="1" t="s">
        <v>74</v>
      </c>
      <c r="M826" s="1" t="s">
        <v>80</v>
      </c>
      <c r="N826" s="1" t="s">
        <v>81</v>
      </c>
      <c r="O826" s="1" t="s">
        <v>16573</v>
      </c>
      <c r="P826" s="1" t="s">
        <v>16574</v>
      </c>
      <c r="Q826" s="1" t="s">
        <v>16575</v>
      </c>
      <c r="R826" s="1" t="s">
        <v>16576</v>
      </c>
      <c r="S826" s="1" t="s">
        <v>74</v>
      </c>
      <c r="T826" s="1" t="s">
        <v>16577</v>
      </c>
      <c r="U826" s="1" t="s">
        <v>16578</v>
      </c>
      <c r="V826" s="1" t="s">
        <v>16579</v>
      </c>
      <c r="W826" s="1" t="s">
        <v>16580</v>
      </c>
      <c r="X826" s="1" t="s">
        <v>16581</v>
      </c>
      <c r="Y826" s="1" t="s">
        <v>16582</v>
      </c>
      <c r="Z826" s="1" t="s">
        <v>16583</v>
      </c>
      <c r="AA826" s="1" t="s">
        <v>16584</v>
      </c>
      <c r="AB826" s="1" t="s">
        <v>16585</v>
      </c>
      <c r="AC826" s="1" t="s">
        <v>74</v>
      </c>
      <c r="AD826" s="1" t="s">
        <v>74</v>
      </c>
      <c r="AE826" s="1" t="s">
        <v>74</v>
      </c>
      <c r="AF826" s="1" t="s">
        <v>74</v>
      </c>
      <c r="AG826" s="1">
        <v>51.0</v>
      </c>
      <c r="AH826" s="1">
        <v>0.0</v>
      </c>
      <c r="AI826" s="1">
        <v>0.0</v>
      </c>
      <c r="AJ826" s="1">
        <v>3.0</v>
      </c>
      <c r="AK826" s="1">
        <v>3.0</v>
      </c>
      <c r="AL826" s="1" t="s">
        <v>223</v>
      </c>
      <c r="AM826" s="1" t="s">
        <v>224</v>
      </c>
      <c r="AN826" s="1" t="s">
        <v>225</v>
      </c>
      <c r="AO826" s="1" t="s">
        <v>430</v>
      </c>
      <c r="AP826" s="1" t="s">
        <v>431</v>
      </c>
      <c r="AQ826" s="1" t="s">
        <v>16586</v>
      </c>
      <c r="AR826" s="1" t="s">
        <v>433</v>
      </c>
      <c r="AS826" s="1" t="s">
        <v>74</v>
      </c>
      <c r="AT826" s="1" t="s">
        <v>74</v>
      </c>
      <c r="AU826" s="1">
        <v>2024.0</v>
      </c>
      <c r="AV826" s="1">
        <v>2130.0</v>
      </c>
      <c r="AW826" s="1" t="s">
        <v>74</v>
      </c>
      <c r="AX826" s="1" t="s">
        <v>74</v>
      </c>
      <c r="AY826" s="1" t="s">
        <v>74</v>
      </c>
      <c r="AZ826" s="1" t="s">
        <v>74</v>
      </c>
      <c r="BA826" s="1" t="s">
        <v>74</v>
      </c>
      <c r="BB826" s="1">
        <v>413.0</v>
      </c>
      <c r="BC826" s="1">
        <v>424.0</v>
      </c>
      <c r="BD826" s="1" t="s">
        <v>74</v>
      </c>
      <c r="BE826" s="1" t="s">
        <v>16587</v>
      </c>
      <c r="BF826" s="2" t="str">
        <f>HYPERLINK("http://dx.doi.org/10.1007/978-3-031-63235-8_27","http://dx.doi.org/10.1007/978-3-031-63235-8_27")</f>
        <v>http://dx.doi.org/10.1007/978-3-031-63235-8_27</v>
      </c>
      <c r="BG826" s="1" t="s">
        <v>74</v>
      </c>
      <c r="BH826" s="1" t="s">
        <v>74</v>
      </c>
      <c r="BI826" s="1">
        <v>12.0</v>
      </c>
      <c r="BJ826" s="1" t="s">
        <v>171</v>
      </c>
      <c r="BK826" s="1" t="s">
        <v>99</v>
      </c>
      <c r="BL826" s="1" t="s">
        <v>171</v>
      </c>
      <c r="BM826" s="1" t="s">
        <v>16588</v>
      </c>
      <c r="BN826" s="1" t="s">
        <v>74</v>
      </c>
      <c r="BO826" s="1" t="s">
        <v>74</v>
      </c>
      <c r="BP826" s="1" t="s">
        <v>74</v>
      </c>
      <c r="BQ826" s="1" t="s">
        <v>74</v>
      </c>
      <c r="BR826" s="1" t="s">
        <v>102</v>
      </c>
      <c r="BS826" s="1" t="s">
        <v>16589</v>
      </c>
      <c r="BT826" s="1" t="str">
        <f>HYPERLINK("https%3A%2F%2Fwww.webofscience.com%2Fwos%2Fwoscc%2Ffull-record%2FWOS:001285637200027","View Full Record in Web of Science")</f>
        <v>View Full Record in Web of Science</v>
      </c>
    </row>
    <row r="827" ht="12.75" customHeight="1">
      <c r="A827" s="1" t="s">
        <v>72</v>
      </c>
      <c r="B827" s="1" t="s">
        <v>16590</v>
      </c>
      <c r="C827" s="1" t="s">
        <v>74</v>
      </c>
      <c r="D827" s="1" t="s">
        <v>11315</v>
      </c>
      <c r="E827" s="1" t="s">
        <v>74</v>
      </c>
      <c r="F827" s="1" t="s">
        <v>16591</v>
      </c>
      <c r="G827" s="1" t="s">
        <v>74</v>
      </c>
      <c r="H827" s="1" t="s">
        <v>74</v>
      </c>
      <c r="I827" s="1" t="s">
        <v>16592</v>
      </c>
      <c r="J827" s="1" t="s">
        <v>11318</v>
      </c>
      <c r="K827" s="1" t="s">
        <v>3840</v>
      </c>
      <c r="L827" s="1" t="s">
        <v>74</v>
      </c>
      <c r="M827" s="1" t="s">
        <v>80</v>
      </c>
      <c r="N827" s="1" t="s">
        <v>81</v>
      </c>
      <c r="O827" s="1" t="s">
        <v>11319</v>
      </c>
      <c r="P827" s="1" t="s">
        <v>11320</v>
      </c>
      <c r="Q827" s="1" t="s">
        <v>11321</v>
      </c>
      <c r="R827" s="1" t="s">
        <v>74</v>
      </c>
      <c r="S827" s="1" t="s">
        <v>74</v>
      </c>
      <c r="T827" s="1" t="s">
        <v>16593</v>
      </c>
      <c r="U827" s="1" t="s">
        <v>74</v>
      </c>
      <c r="V827" s="1" t="s">
        <v>16594</v>
      </c>
      <c r="W827" s="1" t="s">
        <v>16595</v>
      </c>
      <c r="X827" s="1" t="s">
        <v>11325</v>
      </c>
      <c r="Y827" s="1" t="s">
        <v>16596</v>
      </c>
      <c r="Z827" s="1" t="s">
        <v>16597</v>
      </c>
      <c r="AA827" s="1" t="s">
        <v>74</v>
      </c>
      <c r="AB827" s="1" t="s">
        <v>74</v>
      </c>
      <c r="AC827" s="1" t="s">
        <v>74</v>
      </c>
      <c r="AD827" s="1" t="s">
        <v>74</v>
      </c>
      <c r="AE827" s="1" t="s">
        <v>74</v>
      </c>
      <c r="AF827" s="1" t="s">
        <v>74</v>
      </c>
      <c r="AG827" s="1">
        <v>27.0</v>
      </c>
      <c r="AH827" s="1">
        <v>0.0</v>
      </c>
      <c r="AI827" s="1">
        <v>0.0</v>
      </c>
      <c r="AJ827" s="1">
        <v>12.0</v>
      </c>
      <c r="AK827" s="1">
        <v>12.0</v>
      </c>
      <c r="AL827" s="1" t="s">
        <v>223</v>
      </c>
      <c r="AM827" s="1" t="s">
        <v>224</v>
      </c>
      <c r="AN827" s="1" t="s">
        <v>225</v>
      </c>
      <c r="AO827" s="1" t="s">
        <v>3852</v>
      </c>
      <c r="AP827" s="1" t="s">
        <v>942</v>
      </c>
      <c r="AQ827" s="1" t="s">
        <v>11328</v>
      </c>
      <c r="AR827" s="1" t="s">
        <v>3854</v>
      </c>
      <c r="AS827" s="1" t="s">
        <v>74</v>
      </c>
      <c r="AT827" s="1" t="s">
        <v>74</v>
      </c>
      <c r="AU827" s="1">
        <v>2024.0</v>
      </c>
      <c r="AV827" s="1">
        <v>14711.0</v>
      </c>
      <c r="AW827" s="1" t="s">
        <v>74</v>
      </c>
      <c r="AX827" s="1" t="s">
        <v>74</v>
      </c>
      <c r="AY827" s="1" t="s">
        <v>74</v>
      </c>
      <c r="AZ827" s="1" t="s">
        <v>74</v>
      </c>
      <c r="BA827" s="1" t="s">
        <v>74</v>
      </c>
      <c r="BB827" s="1">
        <v>265.0</v>
      </c>
      <c r="BC827" s="1">
        <v>281.0</v>
      </c>
      <c r="BD827" s="1" t="s">
        <v>74</v>
      </c>
      <c r="BE827" s="1" t="s">
        <v>16598</v>
      </c>
      <c r="BF827" s="2" t="str">
        <f>HYPERLINK("http://dx.doi.org/10.1007/978-3-031-61066-0_16","http://dx.doi.org/10.1007/978-3-031-61066-0_16")</f>
        <v>http://dx.doi.org/10.1007/978-3-031-61066-0_16</v>
      </c>
      <c r="BG827" s="1" t="s">
        <v>74</v>
      </c>
      <c r="BH827" s="1" t="s">
        <v>74</v>
      </c>
      <c r="BI827" s="1">
        <v>17.0</v>
      </c>
      <c r="BJ827" s="1" t="s">
        <v>527</v>
      </c>
      <c r="BK827" s="1" t="s">
        <v>128</v>
      </c>
      <c r="BL827" s="1" t="s">
        <v>232</v>
      </c>
      <c r="BM827" s="1" t="s">
        <v>11330</v>
      </c>
      <c r="BN827" s="1" t="s">
        <v>74</v>
      </c>
      <c r="BO827" s="1" t="s">
        <v>74</v>
      </c>
      <c r="BP827" s="1" t="s">
        <v>74</v>
      </c>
      <c r="BQ827" s="1" t="s">
        <v>74</v>
      </c>
      <c r="BR827" s="1" t="s">
        <v>102</v>
      </c>
      <c r="BS827" s="1" t="s">
        <v>16599</v>
      </c>
      <c r="BT827" s="1" t="str">
        <f>HYPERLINK("https%3A%2F%2Fwww.webofscience.com%2Fwos%2Fwoscc%2Ffull-record%2FWOS:001283312100016","View Full Record in Web of Science")</f>
        <v>View Full Record in Web of Science</v>
      </c>
    </row>
    <row r="828" ht="12.75" customHeight="1">
      <c r="A828" s="1" t="s">
        <v>132</v>
      </c>
      <c r="B828" s="1" t="s">
        <v>16600</v>
      </c>
      <c r="C828" s="1" t="s">
        <v>74</v>
      </c>
      <c r="D828" s="1" t="s">
        <v>74</v>
      </c>
      <c r="E828" s="1" t="s">
        <v>74</v>
      </c>
      <c r="F828" s="1" t="s">
        <v>16601</v>
      </c>
      <c r="G828" s="1" t="s">
        <v>74</v>
      </c>
      <c r="H828" s="1" t="s">
        <v>74</v>
      </c>
      <c r="I828" s="1" t="s">
        <v>16602</v>
      </c>
      <c r="J828" s="1" t="s">
        <v>16603</v>
      </c>
      <c r="K828" s="1" t="s">
        <v>74</v>
      </c>
      <c r="L828" s="1" t="s">
        <v>74</v>
      </c>
      <c r="M828" s="1" t="s">
        <v>80</v>
      </c>
      <c r="N828" s="1" t="s">
        <v>136</v>
      </c>
      <c r="O828" s="1" t="s">
        <v>74</v>
      </c>
      <c r="P828" s="1" t="s">
        <v>74</v>
      </c>
      <c r="Q828" s="1" t="s">
        <v>74</v>
      </c>
      <c r="R828" s="1" t="s">
        <v>74</v>
      </c>
      <c r="S828" s="1" t="s">
        <v>74</v>
      </c>
      <c r="T828" s="1" t="s">
        <v>16604</v>
      </c>
      <c r="U828" s="1" t="s">
        <v>16605</v>
      </c>
      <c r="V828" s="1" t="s">
        <v>16606</v>
      </c>
      <c r="W828" s="1" t="s">
        <v>16607</v>
      </c>
      <c r="X828" s="1" t="s">
        <v>16608</v>
      </c>
      <c r="Y828" s="1" t="s">
        <v>16609</v>
      </c>
      <c r="Z828" s="1" t="s">
        <v>16610</v>
      </c>
      <c r="AA828" s="1" t="s">
        <v>16611</v>
      </c>
      <c r="AB828" s="1" t="s">
        <v>74</v>
      </c>
      <c r="AC828" s="1" t="s">
        <v>74</v>
      </c>
      <c r="AD828" s="1" t="s">
        <v>74</v>
      </c>
      <c r="AE828" s="1" t="s">
        <v>74</v>
      </c>
      <c r="AF828" s="1" t="s">
        <v>74</v>
      </c>
      <c r="AG828" s="1">
        <v>72.0</v>
      </c>
      <c r="AH828" s="1">
        <v>3.0</v>
      </c>
      <c r="AI828" s="1">
        <v>3.0</v>
      </c>
      <c r="AJ828" s="1">
        <v>111.0</v>
      </c>
      <c r="AK828" s="1">
        <v>111.0</v>
      </c>
      <c r="AL828" s="1" t="s">
        <v>321</v>
      </c>
      <c r="AM828" s="1" t="s">
        <v>322</v>
      </c>
      <c r="AN828" s="1" t="s">
        <v>323</v>
      </c>
      <c r="AO828" s="1" t="s">
        <v>16612</v>
      </c>
      <c r="AP828" s="1" t="s">
        <v>16613</v>
      </c>
      <c r="AQ828" s="1" t="s">
        <v>74</v>
      </c>
      <c r="AR828" s="1" t="s">
        <v>16614</v>
      </c>
      <c r="AS828" s="1" t="s">
        <v>16615</v>
      </c>
      <c r="AT828" s="1" t="s">
        <v>199</v>
      </c>
      <c r="AU828" s="1">
        <v>2024.0</v>
      </c>
      <c r="AV828" s="1">
        <v>96.0</v>
      </c>
      <c r="AW828" s="1" t="s">
        <v>74</v>
      </c>
      <c r="AX828" s="1" t="s">
        <v>3347</v>
      </c>
      <c r="AY828" s="1" t="s">
        <v>74</v>
      </c>
      <c r="AZ828" s="1" t="s">
        <v>74</v>
      </c>
      <c r="BA828" s="1" t="s">
        <v>74</v>
      </c>
      <c r="BB828" s="1" t="s">
        <v>74</v>
      </c>
      <c r="BC828" s="1" t="s">
        <v>74</v>
      </c>
      <c r="BD828" s="1">
        <v>103649.0</v>
      </c>
      <c r="BE828" s="1" t="s">
        <v>16616</v>
      </c>
      <c r="BF828" s="2" t="str">
        <f>HYPERLINK("http://dx.doi.org/10.1016/j.iref.2024.103649","http://dx.doi.org/10.1016/j.iref.2024.103649")</f>
        <v>http://dx.doi.org/10.1016/j.iref.2024.103649</v>
      </c>
      <c r="BG828" s="1" t="s">
        <v>74</v>
      </c>
      <c r="BH828" s="1" t="s">
        <v>1883</v>
      </c>
      <c r="BI828" s="1">
        <v>13.0</v>
      </c>
      <c r="BJ828" s="1" t="s">
        <v>16617</v>
      </c>
      <c r="BK828" s="1" t="s">
        <v>203</v>
      </c>
      <c r="BL828" s="1" t="s">
        <v>204</v>
      </c>
      <c r="BM828" s="1" t="s">
        <v>16618</v>
      </c>
      <c r="BN828" s="1" t="s">
        <v>74</v>
      </c>
      <c r="BO828" s="1" t="s">
        <v>74</v>
      </c>
      <c r="BP828" s="1" t="s">
        <v>74</v>
      </c>
      <c r="BQ828" s="1" t="s">
        <v>74</v>
      </c>
      <c r="BR828" s="1" t="s">
        <v>102</v>
      </c>
      <c r="BS828" s="1" t="s">
        <v>16619</v>
      </c>
      <c r="BT828" s="1" t="str">
        <f>HYPERLINK("https%3A%2F%2Fwww.webofscience.com%2Fwos%2Fwoscc%2Ffull-record%2FWOS:001324372100001","View Full Record in Web of Science")</f>
        <v>View Full Record in Web of Science</v>
      </c>
    </row>
    <row r="829" ht="12.75" customHeight="1">
      <c r="A829" s="1" t="s">
        <v>132</v>
      </c>
      <c r="B829" s="1" t="s">
        <v>16620</v>
      </c>
      <c r="C829" s="1" t="s">
        <v>74</v>
      </c>
      <c r="D829" s="1" t="s">
        <v>74</v>
      </c>
      <c r="E829" s="1" t="s">
        <v>74</v>
      </c>
      <c r="F829" s="1" t="s">
        <v>16621</v>
      </c>
      <c r="G829" s="1" t="s">
        <v>74</v>
      </c>
      <c r="H829" s="1" t="s">
        <v>74</v>
      </c>
      <c r="I829" s="1" t="s">
        <v>16622</v>
      </c>
      <c r="J829" s="1" t="s">
        <v>5018</v>
      </c>
      <c r="K829" s="1" t="s">
        <v>74</v>
      </c>
      <c r="L829" s="1" t="s">
        <v>74</v>
      </c>
      <c r="M829" s="1" t="s">
        <v>80</v>
      </c>
      <c r="N829" s="1" t="s">
        <v>1010</v>
      </c>
      <c r="O829" s="1" t="s">
        <v>74</v>
      </c>
      <c r="P829" s="1" t="s">
        <v>74</v>
      </c>
      <c r="Q829" s="1" t="s">
        <v>74</v>
      </c>
      <c r="R829" s="1" t="s">
        <v>74</v>
      </c>
      <c r="S829" s="1" t="s">
        <v>74</v>
      </c>
      <c r="T829" s="1" t="s">
        <v>16623</v>
      </c>
      <c r="U829" s="1" t="s">
        <v>16624</v>
      </c>
      <c r="V829" s="1" t="s">
        <v>16625</v>
      </c>
      <c r="W829" s="1" t="s">
        <v>16626</v>
      </c>
      <c r="X829" s="1" t="s">
        <v>16627</v>
      </c>
      <c r="Y829" s="1" t="s">
        <v>16628</v>
      </c>
      <c r="Z829" s="1" t="s">
        <v>16629</v>
      </c>
      <c r="AA829" s="1" t="s">
        <v>16630</v>
      </c>
      <c r="AB829" s="1" t="s">
        <v>16631</v>
      </c>
      <c r="AC829" s="1" t="s">
        <v>74</v>
      </c>
      <c r="AD829" s="1" t="s">
        <v>74</v>
      </c>
      <c r="AE829" s="1" t="s">
        <v>74</v>
      </c>
      <c r="AF829" s="1" t="s">
        <v>74</v>
      </c>
      <c r="AG829" s="1">
        <v>105.0</v>
      </c>
      <c r="AH829" s="1">
        <v>7.0</v>
      </c>
      <c r="AI829" s="1">
        <v>7.0</v>
      </c>
      <c r="AJ829" s="1">
        <v>13.0</v>
      </c>
      <c r="AK829" s="1">
        <v>46.0</v>
      </c>
      <c r="AL829" s="1" t="s">
        <v>1970</v>
      </c>
      <c r="AM829" s="1" t="s">
        <v>1658</v>
      </c>
      <c r="AN829" s="1" t="s">
        <v>1971</v>
      </c>
      <c r="AO829" s="1" t="s">
        <v>74</v>
      </c>
      <c r="AP829" s="1" t="s">
        <v>5029</v>
      </c>
      <c r="AQ829" s="1" t="s">
        <v>74</v>
      </c>
      <c r="AR829" s="1" t="s">
        <v>5030</v>
      </c>
      <c r="AS829" s="1" t="s">
        <v>5031</v>
      </c>
      <c r="AT829" s="1" t="s">
        <v>302</v>
      </c>
      <c r="AU829" s="1">
        <v>2023.0</v>
      </c>
      <c r="AV829" s="1">
        <v>15.0</v>
      </c>
      <c r="AW829" s="1">
        <v>16.0</v>
      </c>
      <c r="AX829" s="1" t="s">
        <v>74</v>
      </c>
      <c r="AY829" s="1" t="s">
        <v>74</v>
      </c>
      <c r="AZ829" s="1" t="s">
        <v>74</v>
      </c>
      <c r="BA829" s="1" t="s">
        <v>74</v>
      </c>
      <c r="BB829" s="1" t="s">
        <v>74</v>
      </c>
      <c r="BC829" s="1" t="s">
        <v>74</v>
      </c>
      <c r="BD829" s="1">
        <v>12176.0</v>
      </c>
      <c r="BE829" s="1" t="s">
        <v>16632</v>
      </c>
      <c r="BF829" s="2" t="str">
        <f>HYPERLINK("http://dx.doi.org/10.3390/su151612176","http://dx.doi.org/10.3390/su151612176")</f>
        <v>http://dx.doi.org/10.3390/su151612176</v>
      </c>
      <c r="BG829" s="1" t="s">
        <v>74</v>
      </c>
      <c r="BH829" s="1" t="s">
        <v>74</v>
      </c>
      <c r="BI829" s="1">
        <v>18.0</v>
      </c>
      <c r="BJ829" s="1" t="s">
        <v>5033</v>
      </c>
      <c r="BK829" s="1" t="s">
        <v>783</v>
      </c>
      <c r="BL829" s="1" t="s">
        <v>3612</v>
      </c>
      <c r="BM829" s="1" t="s">
        <v>16633</v>
      </c>
      <c r="BN829" s="1" t="s">
        <v>74</v>
      </c>
      <c r="BO829" s="1" t="s">
        <v>174</v>
      </c>
      <c r="BP829" s="1" t="s">
        <v>74</v>
      </c>
      <c r="BQ829" s="1" t="s">
        <v>74</v>
      </c>
      <c r="BR829" s="1" t="s">
        <v>102</v>
      </c>
      <c r="BS829" s="1" t="s">
        <v>16634</v>
      </c>
      <c r="BT829" s="1" t="str">
        <f>HYPERLINK("https%3A%2F%2Fwww.webofscience.com%2Fwos%2Fwoscc%2Ffull-record%2FWOS:001057662700001","View Full Record in Web of Science")</f>
        <v>View Full Record in Web of Science</v>
      </c>
    </row>
    <row r="830" ht="12.75" customHeight="1">
      <c r="A830" s="1" t="s">
        <v>72</v>
      </c>
      <c r="B830" s="1" t="s">
        <v>16635</v>
      </c>
      <c r="C830" s="1" t="s">
        <v>74</v>
      </c>
      <c r="D830" s="1" t="s">
        <v>74</v>
      </c>
      <c r="E830" s="1" t="s">
        <v>74</v>
      </c>
      <c r="F830" s="1" t="s">
        <v>16636</v>
      </c>
      <c r="G830" s="1" t="s">
        <v>74</v>
      </c>
      <c r="H830" s="1" t="s">
        <v>74</v>
      </c>
      <c r="I830" s="1" t="s">
        <v>16637</v>
      </c>
      <c r="J830" s="1" t="s">
        <v>7718</v>
      </c>
      <c r="K830" s="1" t="s">
        <v>74</v>
      </c>
      <c r="L830" s="1" t="s">
        <v>74</v>
      </c>
      <c r="M830" s="1" t="s">
        <v>80</v>
      </c>
      <c r="N830" s="1" t="s">
        <v>81</v>
      </c>
      <c r="O830" s="1" t="s">
        <v>16638</v>
      </c>
      <c r="P830" s="1" t="s">
        <v>16639</v>
      </c>
      <c r="Q830" s="1" t="s">
        <v>16640</v>
      </c>
      <c r="R830" s="1" t="s">
        <v>74</v>
      </c>
      <c r="S830" s="1" t="s">
        <v>16641</v>
      </c>
      <c r="T830" s="1" t="s">
        <v>16642</v>
      </c>
      <c r="U830" s="1" t="s">
        <v>5627</v>
      </c>
      <c r="V830" s="1" t="s">
        <v>16643</v>
      </c>
      <c r="W830" s="1" t="s">
        <v>16644</v>
      </c>
      <c r="X830" s="1" t="s">
        <v>16645</v>
      </c>
      <c r="Y830" s="1" t="s">
        <v>16646</v>
      </c>
      <c r="Z830" s="1" t="s">
        <v>16647</v>
      </c>
      <c r="AA830" s="1" t="s">
        <v>74</v>
      </c>
      <c r="AB830" s="1" t="s">
        <v>16648</v>
      </c>
      <c r="AC830" s="1" t="s">
        <v>74</v>
      </c>
      <c r="AD830" s="1" t="s">
        <v>74</v>
      </c>
      <c r="AE830" s="1" t="s">
        <v>74</v>
      </c>
      <c r="AF830" s="1" t="s">
        <v>74</v>
      </c>
      <c r="AG830" s="1">
        <v>38.0</v>
      </c>
      <c r="AH830" s="1">
        <v>8.0</v>
      </c>
      <c r="AI830" s="1">
        <v>8.0</v>
      </c>
      <c r="AJ830" s="1">
        <v>4.0</v>
      </c>
      <c r="AK830" s="1">
        <v>26.0</v>
      </c>
      <c r="AL830" s="1" t="s">
        <v>321</v>
      </c>
      <c r="AM830" s="1" t="s">
        <v>322</v>
      </c>
      <c r="AN830" s="1" t="s">
        <v>323</v>
      </c>
      <c r="AO830" s="1" t="s">
        <v>7729</v>
      </c>
      <c r="AP830" s="1" t="s">
        <v>74</v>
      </c>
      <c r="AQ830" s="1" t="s">
        <v>74</v>
      </c>
      <c r="AR830" s="1" t="s">
        <v>7730</v>
      </c>
      <c r="AS830" s="1" t="s">
        <v>7731</v>
      </c>
      <c r="AT830" s="1" t="s">
        <v>74</v>
      </c>
      <c r="AU830" s="1">
        <v>2022.0</v>
      </c>
      <c r="AV830" s="1">
        <v>58.0</v>
      </c>
      <c r="AW830" s="1" t="s">
        <v>74</v>
      </c>
      <c r="AX830" s="1">
        <v>1.0</v>
      </c>
      <c r="AY830" s="1" t="s">
        <v>74</v>
      </c>
      <c r="AZ830" s="1" t="s">
        <v>474</v>
      </c>
      <c r="BA830" s="1" t="s">
        <v>74</v>
      </c>
      <c r="BB830" s="1">
        <v>461.0</v>
      </c>
      <c r="BC830" s="1">
        <v>465.0</v>
      </c>
      <c r="BD830" s="1" t="s">
        <v>74</v>
      </c>
      <c r="BE830" s="1" t="s">
        <v>16649</v>
      </c>
      <c r="BF830" s="2" t="str">
        <f>HYPERLINK("http://dx.doi.org/10.1016/j.matpr.2022.02.485","http://dx.doi.org/10.1016/j.matpr.2022.02.485")</f>
        <v>http://dx.doi.org/10.1016/j.matpr.2022.02.485</v>
      </c>
      <c r="BG830" s="1" t="s">
        <v>74</v>
      </c>
      <c r="BH830" s="1" t="s">
        <v>1366</v>
      </c>
      <c r="BI830" s="1">
        <v>5.0</v>
      </c>
      <c r="BJ830" s="1" t="s">
        <v>7733</v>
      </c>
      <c r="BK830" s="1" t="s">
        <v>128</v>
      </c>
      <c r="BL830" s="1" t="s">
        <v>7734</v>
      </c>
      <c r="BM830" s="1" t="s">
        <v>16650</v>
      </c>
      <c r="BN830" s="1" t="s">
        <v>74</v>
      </c>
      <c r="BO830" s="1" t="s">
        <v>74</v>
      </c>
      <c r="BP830" s="1" t="s">
        <v>74</v>
      </c>
      <c r="BQ830" s="1" t="s">
        <v>74</v>
      </c>
      <c r="BR830" s="1" t="s">
        <v>102</v>
      </c>
      <c r="BS830" s="1" t="s">
        <v>16651</v>
      </c>
      <c r="BT830" s="1" t="str">
        <f>HYPERLINK("https%3A%2F%2Fwww.webofscience.com%2Fwos%2Fwoscc%2Ffull-record%2FWOS:000804070100016","View Full Record in Web of Science")</f>
        <v>View Full Record in Web of Science</v>
      </c>
    </row>
    <row r="831" ht="12.75" customHeight="1">
      <c r="A831" s="1" t="s">
        <v>132</v>
      </c>
      <c r="B831" s="1" t="s">
        <v>16652</v>
      </c>
      <c r="C831" s="1" t="s">
        <v>74</v>
      </c>
      <c r="D831" s="1" t="s">
        <v>74</v>
      </c>
      <c r="E831" s="1" t="s">
        <v>74</v>
      </c>
      <c r="F831" s="1" t="s">
        <v>16653</v>
      </c>
      <c r="G831" s="1" t="s">
        <v>74</v>
      </c>
      <c r="H831" s="1" t="s">
        <v>74</v>
      </c>
      <c r="I831" s="1" t="s">
        <v>16654</v>
      </c>
      <c r="J831" s="1" t="s">
        <v>16655</v>
      </c>
      <c r="K831" s="1" t="s">
        <v>74</v>
      </c>
      <c r="L831" s="1" t="s">
        <v>74</v>
      </c>
      <c r="M831" s="1" t="s">
        <v>80</v>
      </c>
      <c r="N831" s="1" t="s">
        <v>1010</v>
      </c>
      <c r="O831" s="1" t="s">
        <v>74</v>
      </c>
      <c r="P831" s="1" t="s">
        <v>74</v>
      </c>
      <c r="Q831" s="1" t="s">
        <v>74</v>
      </c>
      <c r="R831" s="1" t="s">
        <v>74</v>
      </c>
      <c r="S831" s="1" t="s">
        <v>74</v>
      </c>
      <c r="T831" s="1" t="s">
        <v>16656</v>
      </c>
      <c r="U831" s="1" t="s">
        <v>74</v>
      </c>
      <c r="V831" s="1" t="s">
        <v>16657</v>
      </c>
      <c r="W831" s="1" t="s">
        <v>16658</v>
      </c>
      <c r="X831" s="1" t="s">
        <v>16659</v>
      </c>
      <c r="Y831" s="1" t="s">
        <v>16660</v>
      </c>
      <c r="Z831" s="1" t="s">
        <v>16661</v>
      </c>
      <c r="AA831" s="1" t="s">
        <v>16662</v>
      </c>
      <c r="AB831" s="1" t="s">
        <v>16663</v>
      </c>
      <c r="AC831" s="1" t="s">
        <v>16664</v>
      </c>
      <c r="AD831" s="1" t="s">
        <v>16665</v>
      </c>
      <c r="AE831" s="1" t="s">
        <v>16666</v>
      </c>
      <c r="AF831" s="1" t="s">
        <v>74</v>
      </c>
      <c r="AG831" s="1">
        <v>41.0</v>
      </c>
      <c r="AH831" s="1">
        <v>3.0</v>
      </c>
      <c r="AI831" s="1">
        <v>3.0</v>
      </c>
      <c r="AJ831" s="1">
        <v>6.0</v>
      </c>
      <c r="AK831" s="1">
        <v>9.0</v>
      </c>
      <c r="AL831" s="1" t="s">
        <v>3551</v>
      </c>
      <c r="AM831" s="1" t="s">
        <v>193</v>
      </c>
      <c r="AN831" s="1" t="s">
        <v>3552</v>
      </c>
      <c r="AO831" s="1" t="s">
        <v>16667</v>
      </c>
      <c r="AP831" s="1" t="s">
        <v>16668</v>
      </c>
      <c r="AQ831" s="1" t="s">
        <v>74</v>
      </c>
      <c r="AR831" s="1" t="s">
        <v>16669</v>
      </c>
      <c r="AS831" s="1" t="s">
        <v>16670</v>
      </c>
      <c r="AT831" s="1" t="s">
        <v>328</v>
      </c>
      <c r="AU831" s="1">
        <v>2023.0</v>
      </c>
      <c r="AV831" s="1">
        <v>20.0</v>
      </c>
      <c r="AW831" s="1">
        <v>6.0</v>
      </c>
      <c r="AX831" s="1" t="s">
        <v>74</v>
      </c>
      <c r="AY831" s="1" t="s">
        <v>74</v>
      </c>
      <c r="AZ831" s="1" t="s">
        <v>74</v>
      </c>
      <c r="BA831" s="1" t="s">
        <v>74</v>
      </c>
      <c r="BB831" s="1">
        <v>561.0</v>
      </c>
      <c r="BC831" s="1">
        <v>569.0</v>
      </c>
      <c r="BD831" s="1" t="s">
        <v>74</v>
      </c>
      <c r="BE831" s="1" t="s">
        <v>16671</v>
      </c>
      <c r="BF831" s="2" t="str">
        <f>HYPERLINK("http://dx.doi.org/10.1016/j.jacr.2023.02.031","http://dx.doi.org/10.1016/j.jacr.2023.02.031")</f>
        <v>http://dx.doi.org/10.1016/j.jacr.2023.02.031</v>
      </c>
      <c r="BG831" s="1" t="s">
        <v>74</v>
      </c>
      <c r="BH831" s="1" t="s">
        <v>4124</v>
      </c>
      <c r="BI831" s="1">
        <v>9.0</v>
      </c>
      <c r="BJ831" s="1" t="s">
        <v>656</v>
      </c>
      <c r="BK831" s="1" t="s">
        <v>149</v>
      </c>
      <c r="BL831" s="1" t="s">
        <v>656</v>
      </c>
      <c r="BM831" s="1" t="s">
        <v>16672</v>
      </c>
      <c r="BN831" s="1">
        <v>3.7127217E7</v>
      </c>
      <c r="BO831" s="1" t="s">
        <v>74</v>
      </c>
      <c r="BP831" s="1" t="s">
        <v>74</v>
      </c>
      <c r="BQ831" s="1" t="s">
        <v>74</v>
      </c>
      <c r="BR831" s="1" t="s">
        <v>102</v>
      </c>
      <c r="BS831" s="1" t="s">
        <v>16673</v>
      </c>
      <c r="BT831" s="1" t="str">
        <f>HYPERLINK("https%3A%2F%2Fwww.webofscience.com%2Fwos%2Fwoscc%2Ffull-record%2FWOS:001023832700001","View Full Record in Web of Science")</f>
        <v>View Full Record in Web of Science</v>
      </c>
    </row>
    <row r="832" ht="12.75" customHeight="1">
      <c r="A832" s="1" t="s">
        <v>132</v>
      </c>
      <c r="B832" s="1" t="s">
        <v>16674</v>
      </c>
      <c r="C832" s="1" t="s">
        <v>74</v>
      </c>
      <c r="D832" s="1" t="s">
        <v>74</v>
      </c>
      <c r="E832" s="1" t="s">
        <v>74</v>
      </c>
      <c r="F832" s="1" t="s">
        <v>16675</v>
      </c>
      <c r="G832" s="1" t="s">
        <v>74</v>
      </c>
      <c r="H832" s="1" t="s">
        <v>74</v>
      </c>
      <c r="I832" s="1" t="s">
        <v>16676</v>
      </c>
      <c r="J832" s="1" t="s">
        <v>16677</v>
      </c>
      <c r="K832" s="1" t="s">
        <v>74</v>
      </c>
      <c r="L832" s="1" t="s">
        <v>74</v>
      </c>
      <c r="M832" s="1" t="s">
        <v>3863</v>
      </c>
      <c r="N832" s="1" t="s">
        <v>136</v>
      </c>
      <c r="O832" s="1" t="s">
        <v>74</v>
      </c>
      <c r="P832" s="1" t="s">
        <v>74</v>
      </c>
      <c r="Q832" s="1" t="s">
        <v>74</v>
      </c>
      <c r="R832" s="1" t="s">
        <v>74</v>
      </c>
      <c r="S832" s="1" t="s">
        <v>74</v>
      </c>
      <c r="T832" s="1" t="s">
        <v>16678</v>
      </c>
      <c r="U832" s="1" t="s">
        <v>74</v>
      </c>
      <c r="V832" s="1" t="s">
        <v>16679</v>
      </c>
      <c r="W832" s="1" t="s">
        <v>16680</v>
      </c>
      <c r="X832" s="1" t="s">
        <v>16681</v>
      </c>
      <c r="Y832" s="1" t="s">
        <v>16682</v>
      </c>
      <c r="Z832" s="1" t="s">
        <v>16683</v>
      </c>
      <c r="AA832" s="1" t="s">
        <v>16684</v>
      </c>
      <c r="AB832" s="1" t="s">
        <v>74</v>
      </c>
      <c r="AC832" s="1" t="s">
        <v>74</v>
      </c>
      <c r="AD832" s="1" t="s">
        <v>74</v>
      </c>
      <c r="AE832" s="1" t="s">
        <v>74</v>
      </c>
      <c r="AF832" s="1" t="s">
        <v>74</v>
      </c>
      <c r="AG832" s="1">
        <v>35.0</v>
      </c>
      <c r="AH832" s="1">
        <v>0.0</v>
      </c>
      <c r="AI832" s="1">
        <v>0.0</v>
      </c>
      <c r="AJ832" s="1">
        <v>1.0</v>
      </c>
      <c r="AK832" s="1">
        <v>1.0</v>
      </c>
      <c r="AL832" s="1" t="s">
        <v>16685</v>
      </c>
      <c r="AM832" s="1" t="s">
        <v>3872</v>
      </c>
      <c r="AN832" s="1" t="s">
        <v>16686</v>
      </c>
      <c r="AO832" s="1" t="s">
        <v>16687</v>
      </c>
      <c r="AP832" s="1" t="s">
        <v>74</v>
      </c>
      <c r="AQ832" s="1" t="s">
        <v>74</v>
      </c>
      <c r="AR832" s="1" t="s">
        <v>16688</v>
      </c>
      <c r="AS832" s="1" t="s">
        <v>16689</v>
      </c>
      <c r="AT832" s="1" t="s">
        <v>74</v>
      </c>
      <c r="AU832" s="1">
        <v>2024.0</v>
      </c>
      <c r="AV832" s="1" t="s">
        <v>74</v>
      </c>
      <c r="AW832" s="1">
        <v>9.0</v>
      </c>
      <c r="AX832" s="1" t="s">
        <v>74</v>
      </c>
      <c r="AY832" s="1" t="s">
        <v>74</v>
      </c>
      <c r="AZ832" s="1" t="s">
        <v>74</v>
      </c>
      <c r="BA832" s="1" t="s">
        <v>74</v>
      </c>
      <c r="BB832" s="1" t="s">
        <v>74</v>
      </c>
      <c r="BC832" s="1" t="s">
        <v>74</v>
      </c>
      <c r="BD832" s="1" t="s">
        <v>74</v>
      </c>
      <c r="BE832" s="1" t="s">
        <v>16690</v>
      </c>
      <c r="BF832" s="2" t="str">
        <f>HYPERLINK("http://dx.doi.org/10.21146/0042-8744-2024-9-177-189","http://dx.doi.org/10.21146/0042-8744-2024-9-177-189")</f>
        <v>http://dx.doi.org/10.21146/0042-8744-2024-9-177-189</v>
      </c>
      <c r="BG832" s="1" t="s">
        <v>74</v>
      </c>
      <c r="BH832" s="1" t="s">
        <v>74</v>
      </c>
      <c r="BI832" s="1">
        <v>225.0</v>
      </c>
      <c r="BJ832" s="1" t="s">
        <v>3709</v>
      </c>
      <c r="BK832" s="1" t="s">
        <v>3391</v>
      </c>
      <c r="BL832" s="1" t="s">
        <v>3709</v>
      </c>
      <c r="BM832" s="1" t="s">
        <v>16691</v>
      </c>
      <c r="BN832" s="1" t="s">
        <v>74</v>
      </c>
      <c r="BO832" s="1" t="s">
        <v>74</v>
      </c>
      <c r="BP832" s="1" t="s">
        <v>74</v>
      </c>
      <c r="BQ832" s="1" t="s">
        <v>74</v>
      </c>
      <c r="BR832" s="1" t="s">
        <v>102</v>
      </c>
      <c r="BS832" s="1" t="s">
        <v>16692</v>
      </c>
      <c r="BT832" s="1" t="str">
        <f>HYPERLINK("https%3A%2F%2Fwww.webofscience.com%2Fwos%2Fwoscc%2Ffull-record%2FWOS:001338270700014","View Full Record in Web of Science")</f>
        <v>View Full Record in Web of Science</v>
      </c>
    </row>
    <row r="833" ht="12.75" customHeight="1">
      <c r="A833" s="1" t="s">
        <v>132</v>
      </c>
      <c r="B833" s="1" t="s">
        <v>16693</v>
      </c>
      <c r="C833" s="1" t="s">
        <v>74</v>
      </c>
      <c r="D833" s="1" t="s">
        <v>74</v>
      </c>
      <c r="E833" s="1" t="s">
        <v>74</v>
      </c>
      <c r="F833" s="1" t="s">
        <v>16694</v>
      </c>
      <c r="G833" s="1" t="s">
        <v>74</v>
      </c>
      <c r="H833" s="1" t="s">
        <v>74</v>
      </c>
      <c r="I833" s="1" t="s">
        <v>16695</v>
      </c>
      <c r="J833" s="1" t="s">
        <v>12403</v>
      </c>
      <c r="K833" s="1" t="s">
        <v>74</v>
      </c>
      <c r="L833" s="1" t="s">
        <v>74</v>
      </c>
      <c r="M833" s="1" t="s">
        <v>80</v>
      </c>
      <c r="N833" s="1" t="s">
        <v>136</v>
      </c>
      <c r="O833" s="1" t="s">
        <v>74</v>
      </c>
      <c r="P833" s="1" t="s">
        <v>74</v>
      </c>
      <c r="Q833" s="1" t="s">
        <v>74</v>
      </c>
      <c r="R833" s="1" t="s">
        <v>74</v>
      </c>
      <c r="S833" s="1" t="s">
        <v>74</v>
      </c>
      <c r="T833" s="1" t="s">
        <v>16696</v>
      </c>
      <c r="U833" s="1" t="s">
        <v>74</v>
      </c>
      <c r="V833" s="1" t="s">
        <v>16697</v>
      </c>
      <c r="W833" s="1" t="s">
        <v>16698</v>
      </c>
      <c r="X833" s="1" t="s">
        <v>8131</v>
      </c>
      <c r="Y833" s="1" t="s">
        <v>16699</v>
      </c>
      <c r="Z833" s="1" t="s">
        <v>16700</v>
      </c>
      <c r="AA833" s="1" t="s">
        <v>16701</v>
      </c>
      <c r="AB833" s="1" t="s">
        <v>8135</v>
      </c>
      <c r="AC833" s="1" t="s">
        <v>16702</v>
      </c>
      <c r="AD833" s="1" t="s">
        <v>16703</v>
      </c>
      <c r="AE833" s="1" t="s">
        <v>8138</v>
      </c>
      <c r="AF833" s="1" t="s">
        <v>74</v>
      </c>
      <c r="AG833" s="1">
        <v>45.0</v>
      </c>
      <c r="AH833" s="1">
        <v>29.0</v>
      </c>
      <c r="AI833" s="1">
        <v>29.0</v>
      </c>
      <c r="AJ833" s="1">
        <v>15.0</v>
      </c>
      <c r="AK833" s="1">
        <v>91.0</v>
      </c>
      <c r="AL833" s="1" t="s">
        <v>192</v>
      </c>
      <c r="AM833" s="1" t="s">
        <v>193</v>
      </c>
      <c r="AN833" s="1" t="s">
        <v>194</v>
      </c>
      <c r="AO833" s="1" t="s">
        <v>12414</v>
      </c>
      <c r="AP833" s="1" t="s">
        <v>12415</v>
      </c>
      <c r="AQ833" s="1" t="s">
        <v>74</v>
      </c>
      <c r="AR833" s="1" t="s">
        <v>12416</v>
      </c>
      <c r="AS833" s="1" t="s">
        <v>12417</v>
      </c>
      <c r="AT833" s="1" t="s">
        <v>1027</v>
      </c>
      <c r="AU833" s="1">
        <v>2022.0</v>
      </c>
      <c r="AV833" s="1">
        <v>37.0</v>
      </c>
      <c r="AW833" s="1">
        <v>1.0</v>
      </c>
      <c r="AX833" s="1" t="s">
        <v>74</v>
      </c>
      <c r="AY833" s="1" t="s">
        <v>74</v>
      </c>
      <c r="AZ833" s="1" t="s">
        <v>74</v>
      </c>
      <c r="BA833" s="1" t="s">
        <v>74</v>
      </c>
      <c r="BB833" s="1">
        <v>283.0</v>
      </c>
      <c r="BC833" s="1">
        <v>290.0</v>
      </c>
      <c r="BD833" s="1" t="s">
        <v>74</v>
      </c>
      <c r="BE833" s="1" t="s">
        <v>16704</v>
      </c>
      <c r="BF833" s="2" t="str">
        <f>HYPERLINK("http://dx.doi.org/10.1007/s00146-021-01168-2","http://dx.doi.org/10.1007/s00146-021-01168-2")</f>
        <v>http://dx.doi.org/10.1007/s00146-021-01168-2</v>
      </c>
      <c r="BG833" s="1" t="s">
        <v>74</v>
      </c>
      <c r="BH833" s="1" t="s">
        <v>6321</v>
      </c>
      <c r="BI833" s="1">
        <v>8.0</v>
      </c>
      <c r="BJ833" s="1" t="s">
        <v>1214</v>
      </c>
      <c r="BK833" s="1" t="s">
        <v>172</v>
      </c>
      <c r="BL833" s="1" t="s">
        <v>232</v>
      </c>
      <c r="BM833" s="1" t="s">
        <v>16705</v>
      </c>
      <c r="BN833" s="1" t="s">
        <v>74</v>
      </c>
      <c r="BO833" s="1" t="s">
        <v>74</v>
      </c>
      <c r="BP833" s="1" t="s">
        <v>74</v>
      </c>
      <c r="BQ833" s="1" t="s">
        <v>74</v>
      </c>
      <c r="BR833" s="1" t="s">
        <v>102</v>
      </c>
      <c r="BS833" s="1" t="s">
        <v>16706</v>
      </c>
      <c r="BT833" s="1" t="str">
        <f>HYPERLINK("https%3A%2F%2Fwww.webofscience.com%2Fwos%2Fwoscc%2Ffull-record%2FWOS:000627211000001","View Full Record in Web of Science")</f>
        <v>View Full Record in Web of Science</v>
      </c>
    </row>
    <row r="834" ht="12.75" customHeight="1">
      <c r="A834" s="1" t="s">
        <v>132</v>
      </c>
      <c r="B834" s="1" t="s">
        <v>16707</v>
      </c>
      <c r="C834" s="1" t="s">
        <v>74</v>
      </c>
      <c r="D834" s="1" t="s">
        <v>74</v>
      </c>
      <c r="E834" s="1" t="s">
        <v>74</v>
      </c>
      <c r="F834" s="1" t="s">
        <v>16708</v>
      </c>
      <c r="G834" s="1" t="s">
        <v>74</v>
      </c>
      <c r="H834" s="1" t="s">
        <v>74</v>
      </c>
      <c r="I834" s="1" t="s">
        <v>16709</v>
      </c>
      <c r="J834" s="1" t="s">
        <v>4554</v>
      </c>
      <c r="K834" s="1" t="s">
        <v>74</v>
      </c>
      <c r="L834" s="1" t="s">
        <v>74</v>
      </c>
      <c r="M834" s="1" t="s">
        <v>80</v>
      </c>
      <c r="N834" s="1" t="s">
        <v>136</v>
      </c>
      <c r="O834" s="1" t="s">
        <v>74</v>
      </c>
      <c r="P834" s="1" t="s">
        <v>74</v>
      </c>
      <c r="Q834" s="1" t="s">
        <v>74</v>
      </c>
      <c r="R834" s="1" t="s">
        <v>74</v>
      </c>
      <c r="S834" s="1" t="s">
        <v>74</v>
      </c>
      <c r="T834" s="1" t="s">
        <v>16710</v>
      </c>
      <c r="U834" s="1" t="s">
        <v>16711</v>
      </c>
      <c r="V834" s="1" t="s">
        <v>16712</v>
      </c>
      <c r="W834" s="1" t="s">
        <v>16713</v>
      </c>
      <c r="X834" s="1" t="s">
        <v>16714</v>
      </c>
      <c r="Y834" s="1" t="s">
        <v>16715</v>
      </c>
      <c r="Z834" s="1" t="s">
        <v>16716</v>
      </c>
      <c r="AA834" s="1" t="s">
        <v>16717</v>
      </c>
      <c r="AB834" s="1" t="s">
        <v>16718</v>
      </c>
      <c r="AC834" s="1" t="s">
        <v>74</v>
      </c>
      <c r="AD834" s="1" t="s">
        <v>74</v>
      </c>
      <c r="AE834" s="1" t="s">
        <v>74</v>
      </c>
      <c r="AF834" s="1" t="s">
        <v>74</v>
      </c>
      <c r="AG834" s="1">
        <v>27.0</v>
      </c>
      <c r="AH834" s="1">
        <v>1.0</v>
      </c>
      <c r="AI834" s="1">
        <v>1.0</v>
      </c>
      <c r="AJ834" s="1">
        <v>0.0</v>
      </c>
      <c r="AK834" s="1">
        <v>2.0</v>
      </c>
      <c r="AL834" s="1" t="s">
        <v>4561</v>
      </c>
      <c r="AM834" s="1" t="s">
        <v>4562</v>
      </c>
      <c r="AN834" s="1" t="s">
        <v>4563</v>
      </c>
      <c r="AO834" s="1" t="s">
        <v>4564</v>
      </c>
      <c r="AP834" s="1" t="s">
        <v>4565</v>
      </c>
      <c r="AQ834" s="1" t="s">
        <v>74</v>
      </c>
      <c r="AR834" s="1" t="s">
        <v>4566</v>
      </c>
      <c r="AS834" s="1" t="s">
        <v>4567</v>
      </c>
      <c r="AT834" s="1" t="s">
        <v>328</v>
      </c>
      <c r="AU834" s="1">
        <v>2024.0</v>
      </c>
      <c r="AV834" s="1">
        <v>175.0</v>
      </c>
      <c r="AW834" s="1" t="s">
        <v>74</v>
      </c>
      <c r="AX834" s="1" t="s">
        <v>74</v>
      </c>
      <c r="AY834" s="1" t="s">
        <v>74</v>
      </c>
      <c r="AZ834" s="1" t="s">
        <v>74</v>
      </c>
      <c r="BA834" s="1" t="s">
        <v>74</v>
      </c>
      <c r="BB834" s="1" t="s">
        <v>74</v>
      </c>
      <c r="BC834" s="1" t="s">
        <v>74</v>
      </c>
      <c r="BD834" s="1">
        <v>111428.0</v>
      </c>
      <c r="BE834" s="1" t="s">
        <v>16719</v>
      </c>
      <c r="BF834" s="2" t="str">
        <f>HYPERLINK("http://dx.doi.org/10.1016/j.ejrad.2024.111428","http://dx.doi.org/10.1016/j.ejrad.2024.111428")</f>
        <v>http://dx.doi.org/10.1016/j.ejrad.2024.111428</v>
      </c>
      <c r="BG834" s="1" t="s">
        <v>74</v>
      </c>
      <c r="BH834" s="1" t="s">
        <v>2958</v>
      </c>
      <c r="BI834" s="1">
        <v>5.0</v>
      </c>
      <c r="BJ834" s="1" t="s">
        <v>656</v>
      </c>
      <c r="BK834" s="1" t="s">
        <v>149</v>
      </c>
      <c r="BL834" s="1" t="s">
        <v>656</v>
      </c>
      <c r="BM834" s="1" t="s">
        <v>16720</v>
      </c>
      <c r="BN834" s="1">
        <v>3.8492508E7</v>
      </c>
      <c r="BO834" s="1" t="s">
        <v>74</v>
      </c>
      <c r="BP834" s="1" t="s">
        <v>74</v>
      </c>
      <c r="BQ834" s="1" t="s">
        <v>74</v>
      </c>
      <c r="BR834" s="1" t="s">
        <v>102</v>
      </c>
      <c r="BS834" s="1" t="s">
        <v>16721</v>
      </c>
      <c r="BT834" s="1" t="str">
        <f>HYPERLINK("https%3A%2F%2Fwww.webofscience.com%2Fwos%2Fwoscc%2Ffull-record%2FWOS:001208239300001","View Full Record in Web of Science")</f>
        <v>View Full Record in Web of Science</v>
      </c>
    </row>
    <row r="835" ht="12.75" customHeight="1">
      <c r="A835" s="1" t="s">
        <v>132</v>
      </c>
      <c r="B835" s="1" t="s">
        <v>16722</v>
      </c>
      <c r="C835" s="1" t="s">
        <v>74</v>
      </c>
      <c r="D835" s="1" t="s">
        <v>74</v>
      </c>
      <c r="E835" s="1" t="s">
        <v>74</v>
      </c>
      <c r="F835" s="1" t="s">
        <v>16723</v>
      </c>
      <c r="G835" s="1" t="s">
        <v>74</v>
      </c>
      <c r="H835" s="1" t="s">
        <v>74</v>
      </c>
      <c r="I835" s="1" t="s">
        <v>16724</v>
      </c>
      <c r="J835" s="1" t="s">
        <v>16725</v>
      </c>
      <c r="K835" s="1" t="s">
        <v>74</v>
      </c>
      <c r="L835" s="1" t="s">
        <v>74</v>
      </c>
      <c r="M835" s="1" t="s">
        <v>80</v>
      </c>
      <c r="N835" s="1" t="s">
        <v>136</v>
      </c>
      <c r="O835" s="1" t="s">
        <v>74</v>
      </c>
      <c r="P835" s="1" t="s">
        <v>74</v>
      </c>
      <c r="Q835" s="1" t="s">
        <v>74</v>
      </c>
      <c r="R835" s="1" t="s">
        <v>74</v>
      </c>
      <c r="S835" s="1" t="s">
        <v>74</v>
      </c>
      <c r="T835" s="1" t="s">
        <v>16726</v>
      </c>
      <c r="U835" s="1" t="s">
        <v>16727</v>
      </c>
      <c r="V835" s="1" t="s">
        <v>16728</v>
      </c>
      <c r="W835" s="1" t="s">
        <v>16729</v>
      </c>
      <c r="X835" s="1" t="s">
        <v>16730</v>
      </c>
      <c r="Y835" s="1" t="s">
        <v>16731</v>
      </c>
      <c r="Z835" s="1" t="s">
        <v>16732</v>
      </c>
      <c r="AA835" s="1" t="s">
        <v>16733</v>
      </c>
      <c r="AB835" s="1" t="s">
        <v>16734</v>
      </c>
      <c r="AC835" s="1" t="s">
        <v>74</v>
      </c>
      <c r="AD835" s="1" t="s">
        <v>74</v>
      </c>
      <c r="AE835" s="1" t="s">
        <v>74</v>
      </c>
      <c r="AF835" s="1" t="s">
        <v>74</v>
      </c>
      <c r="AG835" s="1">
        <v>63.0</v>
      </c>
      <c r="AH835" s="1">
        <v>1.0</v>
      </c>
      <c r="AI835" s="1">
        <v>1.0</v>
      </c>
      <c r="AJ835" s="1">
        <v>15.0</v>
      </c>
      <c r="AK835" s="1">
        <v>38.0</v>
      </c>
      <c r="AL835" s="1" t="s">
        <v>595</v>
      </c>
      <c r="AM835" s="1" t="s">
        <v>467</v>
      </c>
      <c r="AN835" s="1" t="s">
        <v>596</v>
      </c>
      <c r="AO835" s="1" t="s">
        <v>16735</v>
      </c>
      <c r="AP835" s="1" t="s">
        <v>16736</v>
      </c>
      <c r="AQ835" s="1" t="s">
        <v>74</v>
      </c>
      <c r="AR835" s="1" t="s">
        <v>16737</v>
      </c>
      <c r="AS835" s="1" t="s">
        <v>16738</v>
      </c>
      <c r="AT835" s="1" t="s">
        <v>12256</v>
      </c>
      <c r="AU835" s="1">
        <v>2024.0</v>
      </c>
      <c r="AV835" s="1">
        <v>27.0</v>
      </c>
      <c r="AW835" s="1">
        <v>6.0</v>
      </c>
      <c r="AX835" s="1" t="s">
        <v>74</v>
      </c>
      <c r="AY835" s="1" t="s">
        <v>74</v>
      </c>
      <c r="AZ835" s="1" t="s">
        <v>74</v>
      </c>
      <c r="BA835" s="1" t="s">
        <v>74</v>
      </c>
      <c r="BB835" s="1">
        <v>1126.0</v>
      </c>
      <c r="BC835" s="1">
        <v>1141.0</v>
      </c>
      <c r="BD835" s="1" t="s">
        <v>74</v>
      </c>
      <c r="BE835" s="1" t="s">
        <v>16739</v>
      </c>
      <c r="BF835" s="2" t="str">
        <f>HYPERLINK("http://dx.doi.org/10.1080/1369118X.2023.2239322","http://dx.doi.org/10.1080/1369118X.2023.2239322")</f>
        <v>http://dx.doi.org/10.1080/1369118X.2023.2239322</v>
      </c>
      <c r="BG835" s="1" t="s">
        <v>74</v>
      </c>
      <c r="BH835" s="1" t="s">
        <v>3074</v>
      </c>
      <c r="BI835" s="1">
        <v>16.0</v>
      </c>
      <c r="BJ835" s="1" t="s">
        <v>16740</v>
      </c>
      <c r="BK835" s="1" t="s">
        <v>203</v>
      </c>
      <c r="BL835" s="1" t="s">
        <v>16740</v>
      </c>
      <c r="BM835" s="1" t="s">
        <v>16741</v>
      </c>
      <c r="BN835" s="1" t="s">
        <v>74</v>
      </c>
      <c r="BO835" s="1" t="s">
        <v>74</v>
      </c>
      <c r="BP835" s="1" t="s">
        <v>74</v>
      </c>
      <c r="BQ835" s="1" t="s">
        <v>74</v>
      </c>
      <c r="BR835" s="1" t="s">
        <v>102</v>
      </c>
      <c r="BS835" s="1" t="s">
        <v>16742</v>
      </c>
      <c r="BT835" s="1" t="str">
        <f>HYPERLINK("https%3A%2F%2Fwww.webofscience.com%2Fwos%2Fwoscc%2Ffull-record%2FWOS:001044915700001","View Full Record in Web of Science")</f>
        <v>View Full Record in Web of Science</v>
      </c>
    </row>
    <row r="836" ht="12.75" customHeight="1">
      <c r="A836" s="1" t="s">
        <v>132</v>
      </c>
      <c r="B836" s="1" t="s">
        <v>16743</v>
      </c>
      <c r="C836" s="1" t="s">
        <v>74</v>
      </c>
      <c r="D836" s="1" t="s">
        <v>74</v>
      </c>
      <c r="E836" s="1" t="s">
        <v>74</v>
      </c>
      <c r="F836" s="1" t="s">
        <v>16744</v>
      </c>
      <c r="G836" s="1" t="s">
        <v>74</v>
      </c>
      <c r="H836" s="1" t="s">
        <v>74</v>
      </c>
      <c r="I836" s="1" t="s">
        <v>16745</v>
      </c>
      <c r="J836" s="1" t="s">
        <v>16746</v>
      </c>
      <c r="K836" s="1" t="s">
        <v>74</v>
      </c>
      <c r="L836" s="1" t="s">
        <v>74</v>
      </c>
      <c r="M836" s="1" t="s">
        <v>80</v>
      </c>
      <c r="N836" s="1" t="s">
        <v>136</v>
      </c>
      <c r="O836" s="1" t="s">
        <v>74</v>
      </c>
      <c r="P836" s="1" t="s">
        <v>74</v>
      </c>
      <c r="Q836" s="1" t="s">
        <v>74</v>
      </c>
      <c r="R836" s="1" t="s">
        <v>74</v>
      </c>
      <c r="S836" s="1" t="s">
        <v>74</v>
      </c>
      <c r="T836" s="1" t="s">
        <v>16747</v>
      </c>
      <c r="U836" s="1" t="s">
        <v>74</v>
      </c>
      <c r="V836" s="1" t="s">
        <v>16748</v>
      </c>
      <c r="W836" s="1" t="s">
        <v>16749</v>
      </c>
      <c r="X836" s="1" t="s">
        <v>74</v>
      </c>
      <c r="Y836" s="1" t="s">
        <v>16750</v>
      </c>
      <c r="Z836" s="1" t="s">
        <v>16751</v>
      </c>
      <c r="AA836" s="1" t="s">
        <v>16752</v>
      </c>
      <c r="AB836" s="1" t="s">
        <v>16753</v>
      </c>
      <c r="AC836" s="1" t="s">
        <v>74</v>
      </c>
      <c r="AD836" s="1" t="s">
        <v>74</v>
      </c>
      <c r="AE836" s="1" t="s">
        <v>74</v>
      </c>
      <c r="AF836" s="1" t="s">
        <v>74</v>
      </c>
      <c r="AG836" s="1">
        <v>37.0</v>
      </c>
      <c r="AH836" s="1">
        <v>0.0</v>
      </c>
      <c r="AI836" s="1">
        <v>0.0</v>
      </c>
      <c r="AJ836" s="1">
        <v>1.0</v>
      </c>
      <c r="AK836" s="1">
        <v>1.0</v>
      </c>
      <c r="AL836" s="1" t="s">
        <v>16754</v>
      </c>
      <c r="AM836" s="1" t="s">
        <v>16755</v>
      </c>
      <c r="AN836" s="1" t="s">
        <v>16756</v>
      </c>
      <c r="AO836" s="1" t="s">
        <v>16757</v>
      </c>
      <c r="AP836" s="1" t="s">
        <v>16758</v>
      </c>
      <c r="AQ836" s="1" t="s">
        <v>74</v>
      </c>
      <c r="AR836" s="1" t="s">
        <v>16746</v>
      </c>
      <c r="AS836" s="1" t="s">
        <v>16759</v>
      </c>
      <c r="AT836" s="1" t="s">
        <v>870</v>
      </c>
      <c r="AU836" s="1">
        <v>2025.0</v>
      </c>
      <c r="AV836" s="1">
        <v>16.0</v>
      </c>
      <c r="AW836" s="1">
        <v>1.0</v>
      </c>
      <c r="AX836" s="1" t="s">
        <v>74</v>
      </c>
      <c r="AY836" s="1" t="s">
        <v>74</v>
      </c>
      <c r="AZ836" s="1" t="s">
        <v>74</v>
      </c>
      <c r="BA836" s="1" t="s">
        <v>74</v>
      </c>
      <c r="BB836" s="1">
        <v>61.0</v>
      </c>
      <c r="BC836" s="1">
        <v>71.0</v>
      </c>
      <c r="BD836" s="1" t="s">
        <v>74</v>
      </c>
      <c r="BE836" s="1" t="s">
        <v>16760</v>
      </c>
      <c r="BF836" s="2" t="str">
        <f>HYPERLINK("http://dx.doi.org/10.36253/jlis.it-626","http://dx.doi.org/10.36253/jlis.it-626")</f>
        <v>http://dx.doi.org/10.36253/jlis.it-626</v>
      </c>
      <c r="BG836" s="1" t="s">
        <v>74</v>
      </c>
      <c r="BH836" s="1" t="s">
        <v>74</v>
      </c>
      <c r="BI836" s="1">
        <v>11.0</v>
      </c>
      <c r="BJ836" s="1" t="s">
        <v>358</v>
      </c>
      <c r="BK836" s="1" t="s">
        <v>172</v>
      </c>
      <c r="BL836" s="1" t="s">
        <v>358</v>
      </c>
      <c r="BM836" s="1" t="s">
        <v>16761</v>
      </c>
      <c r="BN836" s="1" t="s">
        <v>74</v>
      </c>
      <c r="BO836" s="1" t="s">
        <v>174</v>
      </c>
      <c r="BP836" s="1" t="s">
        <v>74</v>
      </c>
      <c r="BQ836" s="1" t="s">
        <v>74</v>
      </c>
      <c r="BR836" s="1" t="s">
        <v>102</v>
      </c>
      <c r="BS836" s="1" t="s">
        <v>16762</v>
      </c>
      <c r="BT836" s="1" t="str">
        <f>HYPERLINK("https%3A%2F%2Fwww.webofscience.com%2Fwos%2Fwoscc%2Ffull-record%2FWOS:001399012800005","View Full Record in Web of Science")</f>
        <v>View Full Record in Web of Science</v>
      </c>
    </row>
    <row r="837" ht="12.75" customHeight="1">
      <c r="A837" s="1" t="s">
        <v>132</v>
      </c>
      <c r="B837" s="1" t="s">
        <v>16763</v>
      </c>
      <c r="C837" s="1" t="s">
        <v>74</v>
      </c>
      <c r="D837" s="1" t="s">
        <v>74</v>
      </c>
      <c r="E837" s="1" t="s">
        <v>74</v>
      </c>
      <c r="F837" s="1" t="s">
        <v>16764</v>
      </c>
      <c r="G837" s="1" t="s">
        <v>74</v>
      </c>
      <c r="H837" s="1" t="s">
        <v>74</v>
      </c>
      <c r="I837" s="1" t="s">
        <v>16765</v>
      </c>
      <c r="J837" s="1" t="s">
        <v>5766</v>
      </c>
      <c r="K837" s="1" t="s">
        <v>74</v>
      </c>
      <c r="L837" s="1" t="s">
        <v>74</v>
      </c>
      <c r="M837" s="1" t="s">
        <v>80</v>
      </c>
      <c r="N837" s="1" t="s">
        <v>136</v>
      </c>
      <c r="O837" s="1" t="s">
        <v>74</v>
      </c>
      <c r="P837" s="1" t="s">
        <v>74</v>
      </c>
      <c r="Q837" s="1" t="s">
        <v>74</v>
      </c>
      <c r="R837" s="1" t="s">
        <v>74</v>
      </c>
      <c r="S837" s="1" t="s">
        <v>74</v>
      </c>
      <c r="T837" s="1" t="s">
        <v>16766</v>
      </c>
      <c r="U837" s="1" t="s">
        <v>6762</v>
      </c>
      <c r="V837" s="1" t="s">
        <v>16767</v>
      </c>
      <c r="W837" s="1" t="s">
        <v>16768</v>
      </c>
      <c r="X837" s="1" t="s">
        <v>16769</v>
      </c>
      <c r="Y837" s="1" t="s">
        <v>16770</v>
      </c>
      <c r="Z837" s="1" t="s">
        <v>16771</v>
      </c>
      <c r="AA837" s="1" t="s">
        <v>16772</v>
      </c>
      <c r="AB837" s="1" t="s">
        <v>16773</v>
      </c>
      <c r="AC837" s="1" t="s">
        <v>16774</v>
      </c>
      <c r="AD837" s="1" t="s">
        <v>16775</v>
      </c>
      <c r="AE837" s="1" t="s">
        <v>16776</v>
      </c>
      <c r="AF837" s="1" t="s">
        <v>74</v>
      </c>
      <c r="AG837" s="1">
        <v>47.0</v>
      </c>
      <c r="AH837" s="1">
        <v>7.0</v>
      </c>
      <c r="AI837" s="1">
        <v>7.0</v>
      </c>
      <c r="AJ837" s="1">
        <v>18.0</v>
      </c>
      <c r="AK837" s="1">
        <v>48.0</v>
      </c>
      <c r="AL837" s="1" t="s">
        <v>1970</v>
      </c>
      <c r="AM837" s="1" t="s">
        <v>1658</v>
      </c>
      <c r="AN837" s="1" t="s">
        <v>1971</v>
      </c>
      <c r="AO837" s="1" t="s">
        <v>74</v>
      </c>
      <c r="AP837" s="1" t="s">
        <v>5778</v>
      </c>
      <c r="AQ837" s="1" t="s">
        <v>74</v>
      </c>
      <c r="AR837" s="1" t="s">
        <v>5779</v>
      </c>
      <c r="AS837" s="1" t="s">
        <v>5780</v>
      </c>
      <c r="AT837" s="1" t="s">
        <v>870</v>
      </c>
      <c r="AU837" s="1">
        <v>2023.0</v>
      </c>
      <c r="AV837" s="1">
        <v>11.0</v>
      </c>
      <c r="AW837" s="1">
        <v>1.0</v>
      </c>
      <c r="AX837" s="1" t="s">
        <v>74</v>
      </c>
      <c r="AY837" s="1" t="s">
        <v>74</v>
      </c>
      <c r="AZ837" s="1" t="s">
        <v>74</v>
      </c>
      <c r="BA837" s="1" t="s">
        <v>74</v>
      </c>
      <c r="BB837" s="1" t="s">
        <v>74</v>
      </c>
      <c r="BC837" s="1" t="s">
        <v>74</v>
      </c>
      <c r="BD837" s="1">
        <v>110.0</v>
      </c>
      <c r="BE837" s="1" t="s">
        <v>16777</v>
      </c>
      <c r="BF837" s="2" t="str">
        <f>HYPERLINK("http://dx.doi.org/10.3390/healthcare11010110","http://dx.doi.org/10.3390/healthcare11010110")</f>
        <v>http://dx.doi.org/10.3390/healthcare11010110</v>
      </c>
      <c r="BG837" s="1" t="s">
        <v>74</v>
      </c>
      <c r="BH837" s="1" t="s">
        <v>74</v>
      </c>
      <c r="BI837" s="1">
        <v>13.0</v>
      </c>
      <c r="BJ837" s="1" t="s">
        <v>5782</v>
      </c>
      <c r="BK837" s="1" t="s">
        <v>783</v>
      </c>
      <c r="BL837" s="1" t="s">
        <v>5783</v>
      </c>
      <c r="BM837" s="1" t="s">
        <v>16778</v>
      </c>
      <c r="BN837" s="1">
        <v>3.661157E7</v>
      </c>
      <c r="BO837" s="1" t="s">
        <v>284</v>
      </c>
      <c r="BP837" s="1" t="s">
        <v>74</v>
      </c>
      <c r="BQ837" s="1" t="s">
        <v>74</v>
      </c>
      <c r="BR837" s="1" t="s">
        <v>102</v>
      </c>
      <c r="BS837" s="1" t="s">
        <v>16779</v>
      </c>
      <c r="BT837" s="1" t="str">
        <f>HYPERLINK("https%3A%2F%2Fwww.webofscience.com%2Fwos%2Fwoscc%2Ffull-record%2FWOS:000909195500001","View Full Record in Web of Science")</f>
        <v>View Full Record in Web of Science</v>
      </c>
    </row>
    <row r="838" ht="12.75" customHeight="1">
      <c r="A838" s="1" t="s">
        <v>132</v>
      </c>
      <c r="B838" s="1" t="s">
        <v>16780</v>
      </c>
      <c r="C838" s="1" t="s">
        <v>74</v>
      </c>
      <c r="D838" s="1" t="s">
        <v>74</v>
      </c>
      <c r="E838" s="1" t="s">
        <v>74</v>
      </c>
      <c r="F838" s="1" t="s">
        <v>16781</v>
      </c>
      <c r="G838" s="1" t="s">
        <v>74</v>
      </c>
      <c r="H838" s="1" t="s">
        <v>74</v>
      </c>
      <c r="I838" s="1" t="s">
        <v>16782</v>
      </c>
      <c r="J838" s="1" t="s">
        <v>4596</v>
      </c>
      <c r="K838" s="1" t="s">
        <v>74</v>
      </c>
      <c r="L838" s="1" t="s">
        <v>74</v>
      </c>
      <c r="M838" s="1" t="s">
        <v>80</v>
      </c>
      <c r="N838" s="1" t="s">
        <v>136</v>
      </c>
      <c r="O838" s="1" t="s">
        <v>74</v>
      </c>
      <c r="P838" s="1" t="s">
        <v>74</v>
      </c>
      <c r="Q838" s="1" t="s">
        <v>74</v>
      </c>
      <c r="R838" s="1" t="s">
        <v>74</v>
      </c>
      <c r="S838" s="1" t="s">
        <v>74</v>
      </c>
      <c r="T838" s="1" t="s">
        <v>16783</v>
      </c>
      <c r="U838" s="1" t="s">
        <v>16784</v>
      </c>
      <c r="V838" s="1" t="s">
        <v>16785</v>
      </c>
      <c r="W838" s="1" t="s">
        <v>16786</v>
      </c>
      <c r="X838" s="1" t="s">
        <v>16787</v>
      </c>
      <c r="Y838" s="1" t="s">
        <v>16788</v>
      </c>
      <c r="Z838" s="1" t="s">
        <v>16789</v>
      </c>
      <c r="AA838" s="1" t="s">
        <v>16790</v>
      </c>
      <c r="AB838" s="1" t="s">
        <v>74</v>
      </c>
      <c r="AC838" s="1" t="s">
        <v>74</v>
      </c>
      <c r="AD838" s="1" t="s">
        <v>74</v>
      </c>
      <c r="AE838" s="1" t="s">
        <v>74</v>
      </c>
      <c r="AF838" s="1" t="s">
        <v>74</v>
      </c>
      <c r="AG838" s="1">
        <v>98.0</v>
      </c>
      <c r="AH838" s="1">
        <v>51.0</v>
      </c>
      <c r="AI838" s="1">
        <v>51.0</v>
      </c>
      <c r="AJ838" s="1">
        <v>28.0</v>
      </c>
      <c r="AK838" s="1">
        <v>162.0</v>
      </c>
      <c r="AL838" s="1" t="s">
        <v>3551</v>
      </c>
      <c r="AM838" s="1" t="s">
        <v>193</v>
      </c>
      <c r="AN838" s="1" t="s">
        <v>3552</v>
      </c>
      <c r="AO838" s="1" t="s">
        <v>4608</v>
      </c>
      <c r="AP838" s="1" t="s">
        <v>4609</v>
      </c>
      <c r="AQ838" s="1" t="s">
        <v>74</v>
      </c>
      <c r="AR838" s="1" t="s">
        <v>4610</v>
      </c>
      <c r="AS838" s="1" t="s">
        <v>4611</v>
      </c>
      <c r="AT838" s="1" t="s">
        <v>870</v>
      </c>
      <c r="AU838" s="1">
        <v>2023.0</v>
      </c>
      <c r="AV838" s="1">
        <v>186.0</v>
      </c>
      <c r="AW838" s="1" t="s">
        <v>74</v>
      </c>
      <c r="AX838" s="1" t="s">
        <v>3347</v>
      </c>
      <c r="AY838" s="1" t="s">
        <v>74</v>
      </c>
      <c r="AZ838" s="1" t="s">
        <v>74</v>
      </c>
      <c r="BA838" s="1" t="s">
        <v>74</v>
      </c>
      <c r="BB838" s="1" t="s">
        <v>74</v>
      </c>
      <c r="BC838" s="1" t="s">
        <v>74</v>
      </c>
      <c r="BD838" s="1">
        <v>122152.0</v>
      </c>
      <c r="BE838" s="1" t="s">
        <v>16791</v>
      </c>
      <c r="BF838" s="2" t="str">
        <f>HYPERLINK("http://dx.doi.org/10.1016/j.techfore.2022.122152","http://dx.doi.org/10.1016/j.techfore.2022.122152")</f>
        <v>http://dx.doi.org/10.1016/j.techfore.2022.122152</v>
      </c>
      <c r="BG838" s="1" t="s">
        <v>74</v>
      </c>
      <c r="BH838" s="1" t="s">
        <v>3050</v>
      </c>
      <c r="BI838" s="1">
        <v>9.0</v>
      </c>
      <c r="BJ838" s="1" t="s">
        <v>4614</v>
      </c>
      <c r="BK838" s="1" t="s">
        <v>203</v>
      </c>
      <c r="BL838" s="1" t="s">
        <v>4615</v>
      </c>
      <c r="BM838" s="1" t="s">
        <v>16792</v>
      </c>
      <c r="BN838" s="1" t="s">
        <v>74</v>
      </c>
      <c r="BO838" s="1" t="s">
        <v>74</v>
      </c>
      <c r="BP838" s="1" t="s">
        <v>74</v>
      </c>
      <c r="BQ838" s="1" t="s">
        <v>74</v>
      </c>
      <c r="BR838" s="1" t="s">
        <v>102</v>
      </c>
      <c r="BS838" s="1" t="s">
        <v>16793</v>
      </c>
      <c r="BT838" s="1" t="str">
        <f>HYPERLINK("https%3A%2F%2Fwww.webofscience.com%2Fwos%2Fwoscc%2Ffull-record%2FWOS:001035810900001","View Full Record in Web of Science")</f>
        <v>View Full Record in Web of Science</v>
      </c>
    </row>
    <row r="839" ht="12.75" customHeight="1">
      <c r="A839" s="1" t="s">
        <v>132</v>
      </c>
      <c r="B839" s="1" t="s">
        <v>16794</v>
      </c>
      <c r="C839" s="1" t="s">
        <v>74</v>
      </c>
      <c r="D839" s="1" t="s">
        <v>74</v>
      </c>
      <c r="E839" s="1" t="s">
        <v>74</v>
      </c>
      <c r="F839" s="1" t="s">
        <v>16795</v>
      </c>
      <c r="G839" s="1" t="s">
        <v>74</v>
      </c>
      <c r="H839" s="1" t="s">
        <v>74</v>
      </c>
      <c r="I839" s="1" t="s">
        <v>16796</v>
      </c>
      <c r="J839" s="1" t="s">
        <v>3159</v>
      </c>
      <c r="K839" s="1" t="s">
        <v>74</v>
      </c>
      <c r="L839" s="1" t="s">
        <v>74</v>
      </c>
      <c r="M839" s="1" t="s">
        <v>80</v>
      </c>
      <c r="N839" s="1" t="s">
        <v>136</v>
      </c>
      <c r="O839" s="1" t="s">
        <v>74</v>
      </c>
      <c r="P839" s="1" t="s">
        <v>74</v>
      </c>
      <c r="Q839" s="1" t="s">
        <v>74</v>
      </c>
      <c r="R839" s="1" t="s">
        <v>74</v>
      </c>
      <c r="S839" s="1" t="s">
        <v>74</v>
      </c>
      <c r="T839" s="1" t="s">
        <v>16797</v>
      </c>
      <c r="U839" s="1" t="s">
        <v>16798</v>
      </c>
      <c r="V839" s="1" t="s">
        <v>16799</v>
      </c>
      <c r="W839" s="1" t="s">
        <v>16800</v>
      </c>
      <c r="X839" s="1" t="s">
        <v>16801</v>
      </c>
      <c r="Y839" s="1" t="s">
        <v>16802</v>
      </c>
      <c r="Z839" s="1" t="s">
        <v>16803</v>
      </c>
      <c r="AA839" s="1" t="s">
        <v>16804</v>
      </c>
      <c r="AB839" s="1" t="s">
        <v>16805</v>
      </c>
      <c r="AC839" s="1" t="s">
        <v>16806</v>
      </c>
      <c r="AD839" s="1" t="s">
        <v>16807</v>
      </c>
      <c r="AE839" s="1" t="s">
        <v>16808</v>
      </c>
      <c r="AF839" s="1" t="s">
        <v>74</v>
      </c>
      <c r="AG839" s="1">
        <v>272.0</v>
      </c>
      <c r="AH839" s="1">
        <v>41.0</v>
      </c>
      <c r="AI839" s="1">
        <v>42.0</v>
      </c>
      <c r="AJ839" s="1">
        <v>9.0</v>
      </c>
      <c r="AK839" s="1">
        <v>32.0</v>
      </c>
      <c r="AL839" s="1" t="s">
        <v>192</v>
      </c>
      <c r="AM839" s="1" t="s">
        <v>864</v>
      </c>
      <c r="AN839" s="1" t="s">
        <v>865</v>
      </c>
      <c r="AO839" s="1" t="s">
        <v>3172</v>
      </c>
      <c r="AP839" s="1" t="s">
        <v>3173</v>
      </c>
      <c r="AQ839" s="1" t="s">
        <v>74</v>
      </c>
      <c r="AR839" s="1" t="s">
        <v>3174</v>
      </c>
      <c r="AS839" s="1" t="s">
        <v>3175</v>
      </c>
      <c r="AT839" s="1" t="s">
        <v>1709</v>
      </c>
      <c r="AU839" s="1">
        <v>2023.0</v>
      </c>
      <c r="AV839" s="1">
        <v>56.0</v>
      </c>
      <c r="AW839" s="1">
        <v>9.0</v>
      </c>
      <c r="AX839" s="1" t="s">
        <v>74</v>
      </c>
      <c r="AY839" s="1" t="s">
        <v>74</v>
      </c>
      <c r="AZ839" s="1" t="s">
        <v>74</v>
      </c>
      <c r="BA839" s="1" t="s">
        <v>74</v>
      </c>
      <c r="BB839" s="1">
        <v>10557.0</v>
      </c>
      <c r="BC839" s="1">
        <v>10611.0</v>
      </c>
      <c r="BD839" s="1" t="s">
        <v>74</v>
      </c>
      <c r="BE839" s="1" t="s">
        <v>16809</v>
      </c>
      <c r="BF839" s="2" t="str">
        <f>HYPERLINK("http://dx.doi.org/10.1007/s10462-023-10410-w","http://dx.doi.org/10.1007/s10462-023-10410-w")</f>
        <v>http://dx.doi.org/10.1007/s10462-023-10410-w</v>
      </c>
      <c r="BG839" s="1" t="s">
        <v>74</v>
      </c>
      <c r="BH839" s="1" t="s">
        <v>16810</v>
      </c>
      <c r="BI839" s="1">
        <v>55.0</v>
      </c>
      <c r="BJ839" s="1" t="s">
        <v>1214</v>
      </c>
      <c r="BK839" s="1" t="s">
        <v>149</v>
      </c>
      <c r="BL839" s="1" t="s">
        <v>232</v>
      </c>
      <c r="BM839" s="1" t="s">
        <v>16811</v>
      </c>
      <c r="BN839" s="1" t="s">
        <v>74</v>
      </c>
      <c r="BO839" s="1" t="s">
        <v>306</v>
      </c>
      <c r="BP839" s="1" t="s">
        <v>74</v>
      </c>
      <c r="BQ839" s="1" t="s">
        <v>74</v>
      </c>
      <c r="BR839" s="1" t="s">
        <v>102</v>
      </c>
      <c r="BS839" s="1" t="s">
        <v>16812</v>
      </c>
      <c r="BT839" s="1" t="str">
        <f>HYPERLINK("https%3A%2F%2Fwww.webofscience.com%2Fwos%2Fwoscc%2Ffull-record%2FWOS:000939351900001","View Full Record in Web of Science")</f>
        <v>View Full Record in Web of Science</v>
      </c>
    </row>
    <row r="840" ht="12.75" customHeight="1">
      <c r="A840" s="1" t="s">
        <v>132</v>
      </c>
      <c r="B840" s="1" t="s">
        <v>16813</v>
      </c>
      <c r="C840" s="1" t="s">
        <v>74</v>
      </c>
      <c r="D840" s="1" t="s">
        <v>74</v>
      </c>
      <c r="E840" s="1" t="s">
        <v>74</v>
      </c>
      <c r="F840" s="1" t="s">
        <v>16814</v>
      </c>
      <c r="G840" s="1" t="s">
        <v>74</v>
      </c>
      <c r="H840" s="1" t="s">
        <v>74</v>
      </c>
      <c r="I840" s="1" t="s">
        <v>16815</v>
      </c>
      <c r="J840" s="1" t="s">
        <v>16816</v>
      </c>
      <c r="K840" s="1" t="s">
        <v>74</v>
      </c>
      <c r="L840" s="1" t="s">
        <v>74</v>
      </c>
      <c r="M840" s="1" t="s">
        <v>80</v>
      </c>
      <c r="N840" s="1" t="s">
        <v>338</v>
      </c>
      <c r="O840" s="1" t="s">
        <v>74</v>
      </c>
      <c r="P840" s="1" t="s">
        <v>74</v>
      </c>
      <c r="Q840" s="1" t="s">
        <v>74</v>
      </c>
      <c r="R840" s="1" t="s">
        <v>74</v>
      </c>
      <c r="S840" s="1" t="s">
        <v>74</v>
      </c>
      <c r="T840" s="1" t="s">
        <v>16817</v>
      </c>
      <c r="U840" s="1" t="s">
        <v>74</v>
      </c>
      <c r="V840" s="1" t="s">
        <v>16818</v>
      </c>
      <c r="W840" s="1" t="s">
        <v>16819</v>
      </c>
      <c r="X840" s="1" t="s">
        <v>16820</v>
      </c>
      <c r="Y840" s="1" t="s">
        <v>16821</v>
      </c>
      <c r="Z840" s="1" t="s">
        <v>16822</v>
      </c>
      <c r="AA840" s="1" t="s">
        <v>74</v>
      </c>
      <c r="AB840" s="1" t="s">
        <v>74</v>
      </c>
      <c r="AC840" s="1" t="s">
        <v>74</v>
      </c>
      <c r="AD840" s="1" t="s">
        <v>74</v>
      </c>
      <c r="AE840" s="1" t="s">
        <v>74</v>
      </c>
      <c r="AF840" s="1" t="s">
        <v>74</v>
      </c>
      <c r="AG840" s="1">
        <v>69.0</v>
      </c>
      <c r="AH840" s="1">
        <v>2.0</v>
      </c>
      <c r="AI840" s="1">
        <v>2.0</v>
      </c>
      <c r="AJ840" s="1">
        <v>51.0</v>
      </c>
      <c r="AK840" s="1">
        <v>67.0</v>
      </c>
      <c r="AL840" s="1" t="s">
        <v>571</v>
      </c>
      <c r="AM840" s="1" t="s">
        <v>572</v>
      </c>
      <c r="AN840" s="1" t="s">
        <v>573</v>
      </c>
      <c r="AO840" s="1" t="s">
        <v>16823</v>
      </c>
      <c r="AP840" s="1" t="s">
        <v>74</v>
      </c>
      <c r="AQ840" s="1" t="s">
        <v>74</v>
      </c>
      <c r="AR840" s="1" t="s">
        <v>16824</v>
      </c>
      <c r="AS840" s="1" t="s">
        <v>16825</v>
      </c>
      <c r="AT840" s="1" t="s">
        <v>16826</v>
      </c>
      <c r="AU840" s="1">
        <v>2024.0</v>
      </c>
      <c r="AV840" s="1" t="s">
        <v>74</v>
      </c>
      <c r="AW840" s="1" t="s">
        <v>74</v>
      </c>
      <c r="AX840" s="1" t="s">
        <v>74</v>
      </c>
      <c r="AY840" s="1" t="s">
        <v>74</v>
      </c>
      <c r="AZ840" s="1" t="s">
        <v>74</v>
      </c>
      <c r="BA840" s="1" t="s">
        <v>74</v>
      </c>
      <c r="BB840" s="1" t="s">
        <v>74</v>
      </c>
      <c r="BC840" s="1" t="s">
        <v>74</v>
      </c>
      <c r="BD840" s="1" t="s">
        <v>74</v>
      </c>
      <c r="BE840" s="1" t="s">
        <v>16827</v>
      </c>
      <c r="BF840" s="2" t="str">
        <f>HYPERLINK("http://dx.doi.org/10.1108/IDD-11-2023-0143","http://dx.doi.org/10.1108/IDD-11-2023-0143")</f>
        <v>http://dx.doi.org/10.1108/IDD-11-2023-0143</v>
      </c>
      <c r="BG840" s="1" t="s">
        <v>74</v>
      </c>
      <c r="BH840" s="1" t="s">
        <v>5364</v>
      </c>
      <c r="BI840" s="1">
        <v>14.0</v>
      </c>
      <c r="BJ840" s="1" t="s">
        <v>358</v>
      </c>
      <c r="BK840" s="1" t="s">
        <v>172</v>
      </c>
      <c r="BL840" s="1" t="s">
        <v>358</v>
      </c>
      <c r="BM840" s="1" t="s">
        <v>16828</v>
      </c>
      <c r="BN840" s="1" t="s">
        <v>74</v>
      </c>
      <c r="BO840" s="1" t="s">
        <v>74</v>
      </c>
      <c r="BP840" s="1" t="s">
        <v>74</v>
      </c>
      <c r="BQ840" s="1" t="s">
        <v>74</v>
      </c>
      <c r="BR840" s="1" t="s">
        <v>102</v>
      </c>
      <c r="BS840" s="1" t="s">
        <v>16829</v>
      </c>
      <c r="BT840" s="1" t="str">
        <f>HYPERLINK("https%3A%2F%2Fwww.webofscience.com%2Fwos%2Fwoscc%2Ffull-record%2FWOS:001250355100001","View Full Record in Web of Science")</f>
        <v>View Full Record in Web of Science</v>
      </c>
    </row>
    <row r="841" ht="12.75" customHeight="1">
      <c r="A841" s="1" t="s">
        <v>132</v>
      </c>
      <c r="B841" s="1" t="s">
        <v>16830</v>
      </c>
      <c r="C841" s="1" t="s">
        <v>74</v>
      </c>
      <c r="D841" s="1" t="s">
        <v>74</v>
      </c>
      <c r="E841" s="1" t="s">
        <v>74</v>
      </c>
      <c r="F841" s="1" t="s">
        <v>16831</v>
      </c>
      <c r="G841" s="1" t="s">
        <v>74</v>
      </c>
      <c r="H841" s="1" t="s">
        <v>74</v>
      </c>
      <c r="I841" s="1" t="s">
        <v>16832</v>
      </c>
      <c r="J841" s="1" t="s">
        <v>16833</v>
      </c>
      <c r="K841" s="1" t="s">
        <v>74</v>
      </c>
      <c r="L841" s="1" t="s">
        <v>74</v>
      </c>
      <c r="M841" s="1" t="s">
        <v>80</v>
      </c>
      <c r="N841" s="1" t="s">
        <v>136</v>
      </c>
      <c r="O841" s="1" t="s">
        <v>74</v>
      </c>
      <c r="P841" s="1" t="s">
        <v>74</v>
      </c>
      <c r="Q841" s="1" t="s">
        <v>74</v>
      </c>
      <c r="R841" s="1" t="s">
        <v>74</v>
      </c>
      <c r="S841" s="1" t="s">
        <v>74</v>
      </c>
      <c r="T841" s="1" t="s">
        <v>16834</v>
      </c>
      <c r="U841" s="1" t="s">
        <v>74</v>
      </c>
      <c r="V841" s="1" t="s">
        <v>16835</v>
      </c>
      <c r="W841" s="1" t="s">
        <v>16836</v>
      </c>
      <c r="X841" s="1" t="s">
        <v>16837</v>
      </c>
      <c r="Y841" s="1" t="s">
        <v>16838</v>
      </c>
      <c r="Z841" s="1" t="s">
        <v>16839</v>
      </c>
      <c r="AA841" s="1" t="s">
        <v>16840</v>
      </c>
      <c r="AB841" s="1" t="s">
        <v>16841</v>
      </c>
      <c r="AC841" s="1" t="s">
        <v>74</v>
      </c>
      <c r="AD841" s="1" t="s">
        <v>74</v>
      </c>
      <c r="AE841" s="1" t="s">
        <v>74</v>
      </c>
      <c r="AF841" s="1" t="s">
        <v>74</v>
      </c>
      <c r="AG841" s="1">
        <v>43.0</v>
      </c>
      <c r="AH841" s="1">
        <v>6.0</v>
      </c>
      <c r="AI841" s="1">
        <v>6.0</v>
      </c>
      <c r="AJ841" s="1">
        <v>36.0</v>
      </c>
      <c r="AK841" s="1">
        <v>73.0</v>
      </c>
      <c r="AL841" s="1" t="s">
        <v>348</v>
      </c>
      <c r="AM841" s="1" t="s">
        <v>349</v>
      </c>
      <c r="AN841" s="1" t="s">
        <v>350</v>
      </c>
      <c r="AO841" s="1" t="s">
        <v>16842</v>
      </c>
      <c r="AP841" s="1" t="s">
        <v>16843</v>
      </c>
      <c r="AQ841" s="1" t="s">
        <v>74</v>
      </c>
      <c r="AR841" s="1" t="s">
        <v>16844</v>
      </c>
      <c r="AS841" s="1" t="s">
        <v>16845</v>
      </c>
      <c r="AT841" s="1" t="s">
        <v>1709</v>
      </c>
      <c r="AU841" s="1">
        <v>2024.0</v>
      </c>
      <c r="AV841" s="1">
        <v>31.0</v>
      </c>
      <c r="AW841" s="1">
        <v>6.0</v>
      </c>
      <c r="AX841" s="1" t="s">
        <v>74</v>
      </c>
      <c r="AY841" s="1" t="s">
        <v>74</v>
      </c>
      <c r="AZ841" s="1" t="s">
        <v>474</v>
      </c>
      <c r="BA841" s="1" t="s">
        <v>74</v>
      </c>
      <c r="BB841" s="1">
        <v>1021.0</v>
      </c>
      <c r="BC841" s="1">
        <v>1030.0</v>
      </c>
      <c r="BD841" s="1" t="s">
        <v>74</v>
      </c>
      <c r="BE841" s="1" t="s">
        <v>16846</v>
      </c>
      <c r="BF841" s="2" t="str">
        <f>HYPERLINK("http://dx.doi.org/10.1177/09697330231201901","http://dx.doi.org/10.1177/09697330231201901")</f>
        <v>http://dx.doi.org/10.1177/09697330231201901</v>
      </c>
      <c r="BG841" s="1" t="s">
        <v>74</v>
      </c>
      <c r="BH841" s="1" t="s">
        <v>6939</v>
      </c>
      <c r="BI841" s="1">
        <v>10.0</v>
      </c>
      <c r="BJ841" s="1" t="s">
        <v>16847</v>
      </c>
      <c r="BK841" s="1" t="s">
        <v>783</v>
      </c>
      <c r="BL841" s="1" t="s">
        <v>16848</v>
      </c>
      <c r="BM841" s="1" t="s">
        <v>16849</v>
      </c>
      <c r="BN841" s="1">
        <v>3.780381E7</v>
      </c>
      <c r="BO841" s="1" t="s">
        <v>74</v>
      </c>
      <c r="BP841" s="1" t="s">
        <v>74</v>
      </c>
      <c r="BQ841" s="1" t="s">
        <v>74</v>
      </c>
      <c r="BR841" s="1" t="s">
        <v>102</v>
      </c>
      <c r="BS841" s="1" t="s">
        <v>16850</v>
      </c>
      <c r="BT841" s="1" t="str">
        <f>HYPERLINK("https%3A%2F%2Fwww.webofscience.com%2Fwos%2Fwoscc%2Ffull-record%2FWOS:001092122400001","View Full Record in Web of Science")</f>
        <v>View Full Record in Web of Science</v>
      </c>
    </row>
    <row r="842" ht="12.75" customHeight="1">
      <c r="A842" s="1" t="s">
        <v>132</v>
      </c>
      <c r="B842" s="1" t="s">
        <v>16851</v>
      </c>
      <c r="C842" s="1" t="s">
        <v>74</v>
      </c>
      <c r="D842" s="1" t="s">
        <v>74</v>
      </c>
      <c r="E842" s="1" t="s">
        <v>74</v>
      </c>
      <c r="F842" s="1" t="s">
        <v>16852</v>
      </c>
      <c r="G842" s="1" t="s">
        <v>74</v>
      </c>
      <c r="H842" s="1" t="s">
        <v>74</v>
      </c>
      <c r="I842" s="1" t="s">
        <v>16853</v>
      </c>
      <c r="J842" s="1" t="s">
        <v>8174</v>
      </c>
      <c r="K842" s="1" t="s">
        <v>74</v>
      </c>
      <c r="L842" s="1" t="s">
        <v>74</v>
      </c>
      <c r="M842" s="1" t="s">
        <v>80</v>
      </c>
      <c r="N842" s="1" t="s">
        <v>136</v>
      </c>
      <c r="O842" s="1" t="s">
        <v>74</v>
      </c>
      <c r="P842" s="1" t="s">
        <v>74</v>
      </c>
      <c r="Q842" s="1" t="s">
        <v>74</v>
      </c>
      <c r="R842" s="1" t="s">
        <v>74</v>
      </c>
      <c r="S842" s="1" t="s">
        <v>74</v>
      </c>
      <c r="T842" s="1" t="s">
        <v>16854</v>
      </c>
      <c r="U842" s="1" t="s">
        <v>16855</v>
      </c>
      <c r="V842" s="1" t="s">
        <v>16856</v>
      </c>
      <c r="W842" s="1" t="s">
        <v>16857</v>
      </c>
      <c r="X842" s="1" t="s">
        <v>6572</v>
      </c>
      <c r="Y842" s="1" t="s">
        <v>16858</v>
      </c>
      <c r="Z842" s="1" t="s">
        <v>16859</v>
      </c>
      <c r="AA842" s="1" t="s">
        <v>74</v>
      </c>
      <c r="AB842" s="1" t="s">
        <v>74</v>
      </c>
      <c r="AC842" s="1" t="s">
        <v>16860</v>
      </c>
      <c r="AD842" s="1" t="s">
        <v>16861</v>
      </c>
      <c r="AE842" s="1" t="s">
        <v>16862</v>
      </c>
      <c r="AF842" s="1" t="s">
        <v>74</v>
      </c>
      <c r="AG842" s="1">
        <v>99.0</v>
      </c>
      <c r="AH842" s="1">
        <v>0.0</v>
      </c>
      <c r="AI842" s="1">
        <v>0.0</v>
      </c>
      <c r="AJ842" s="1">
        <v>14.0</v>
      </c>
      <c r="AK842" s="1">
        <v>14.0</v>
      </c>
      <c r="AL842" s="1" t="s">
        <v>321</v>
      </c>
      <c r="AM842" s="1" t="s">
        <v>322</v>
      </c>
      <c r="AN842" s="1" t="s">
        <v>323</v>
      </c>
      <c r="AO842" s="1" t="s">
        <v>8184</v>
      </c>
      <c r="AP842" s="1" t="s">
        <v>8185</v>
      </c>
      <c r="AQ842" s="1" t="s">
        <v>74</v>
      </c>
      <c r="AR842" s="1" t="s">
        <v>8186</v>
      </c>
      <c r="AS842" s="1" t="s">
        <v>8187</v>
      </c>
      <c r="AT842" s="1" t="s">
        <v>870</v>
      </c>
      <c r="AU842" s="1">
        <v>2025.0</v>
      </c>
      <c r="AV842" s="1">
        <v>141.0</v>
      </c>
      <c r="AW842" s="1" t="s">
        <v>74</v>
      </c>
      <c r="AX842" s="1" t="s">
        <v>74</v>
      </c>
      <c r="AY842" s="1" t="s">
        <v>74</v>
      </c>
      <c r="AZ842" s="1" t="s">
        <v>74</v>
      </c>
      <c r="BA842" s="1" t="s">
        <v>74</v>
      </c>
      <c r="BB842" s="1" t="s">
        <v>74</v>
      </c>
      <c r="BC842" s="1" t="s">
        <v>74</v>
      </c>
      <c r="BD842" s="1">
        <v>108136.0</v>
      </c>
      <c r="BE842" s="1" t="s">
        <v>16863</v>
      </c>
      <c r="BF842" s="2" t="str">
        <f>HYPERLINK("http://dx.doi.org/10.1016/j.eneco.2024.108136","http://dx.doi.org/10.1016/j.eneco.2024.108136")</f>
        <v>http://dx.doi.org/10.1016/j.eneco.2024.108136</v>
      </c>
      <c r="BG842" s="1" t="s">
        <v>74</v>
      </c>
      <c r="BH842" s="1" t="s">
        <v>2788</v>
      </c>
      <c r="BI842" s="1">
        <v>16.0</v>
      </c>
      <c r="BJ842" s="1" t="s">
        <v>202</v>
      </c>
      <c r="BK842" s="1" t="s">
        <v>203</v>
      </c>
      <c r="BL842" s="1" t="s">
        <v>204</v>
      </c>
      <c r="BM842" s="1" t="s">
        <v>16864</v>
      </c>
      <c r="BN842" s="1" t="s">
        <v>74</v>
      </c>
      <c r="BO842" s="1" t="s">
        <v>74</v>
      </c>
      <c r="BP842" s="1" t="s">
        <v>74</v>
      </c>
      <c r="BQ842" s="1" t="s">
        <v>74</v>
      </c>
      <c r="BR842" s="1" t="s">
        <v>102</v>
      </c>
      <c r="BS842" s="1" t="s">
        <v>16865</v>
      </c>
      <c r="BT842" s="1" t="str">
        <f>HYPERLINK("https%3A%2F%2Fwww.webofscience.com%2Fwos%2Fwoscc%2Ffull-record%2FWOS:001391330000001","View Full Record in Web of Science")</f>
        <v>View Full Record in Web of Science</v>
      </c>
    </row>
    <row r="843" ht="12.75" customHeight="1">
      <c r="A843" s="1" t="s">
        <v>132</v>
      </c>
      <c r="B843" s="1" t="s">
        <v>16866</v>
      </c>
      <c r="C843" s="1" t="s">
        <v>74</v>
      </c>
      <c r="D843" s="1" t="s">
        <v>74</v>
      </c>
      <c r="E843" s="1" t="s">
        <v>74</v>
      </c>
      <c r="F843" s="1" t="s">
        <v>16867</v>
      </c>
      <c r="G843" s="1" t="s">
        <v>74</v>
      </c>
      <c r="H843" s="1" t="s">
        <v>74</v>
      </c>
      <c r="I843" s="1" t="s">
        <v>16868</v>
      </c>
      <c r="J843" s="1" t="s">
        <v>3815</v>
      </c>
      <c r="K843" s="1" t="s">
        <v>74</v>
      </c>
      <c r="L843" s="1" t="s">
        <v>74</v>
      </c>
      <c r="M843" s="1" t="s">
        <v>80</v>
      </c>
      <c r="N843" s="1" t="s">
        <v>136</v>
      </c>
      <c r="O843" s="1" t="s">
        <v>74</v>
      </c>
      <c r="P843" s="1" t="s">
        <v>74</v>
      </c>
      <c r="Q843" s="1" t="s">
        <v>74</v>
      </c>
      <c r="R843" s="1" t="s">
        <v>74</v>
      </c>
      <c r="S843" s="1" t="s">
        <v>74</v>
      </c>
      <c r="T843" s="1" t="s">
        <v>16869</v>
      </c>
      <c r="U843" s="1" t="s">
        <v>16870</v>
      </c>
      <c r="V843" s="1" t="s">
        <v>16871</v>
      </c>
      <c r="W843" s="1" t="s">
        <v>16872</v>
      </c>
      <c r="X843" s="1" t="s">
        <v>16873</v>
      </c>
      <c r="Y843" s="1" t="s">
        <v>16874</v>
      </c>
      <c r="Z843" s="1" t="s">
        <v>16875</v>
      </c>
      <c r="AA843" s="1" t="s">
        <v>16876</v>
      </c>
      <c r="AB843" s="1" t="s">
        <v>16877</v>
      </c>
      <c r="AC843" s="1" t="s">
        <v>74</v>
      </c>
      <c r="AD843" s="1" t="s">
        <v>74</v>
      </c>
      <c r="AE843" s="1" t="s">
        <v>74</v>
      </c>
      <c r="AF843" s="1" t="s">
        <v>74</v>
      </c>
      <c r="AG843" s="1">
        <v>42.0</v>
      </c>
      <c r="AH843" s="1">
        <v>0.0</v>
      </c>
      <c r="AI843" s="1">
        <v>0.0</v>
      </c>
      <c r="AJ843" s="1">
        <v>2.0</v>
      </c>
      <c r="AK843" s="1">
        <v>2.0</v>
      </c>
      <c r="AL843" s="1" t="s">
        <v>3825</v>
      </c>
      <c r="AM843" s="1" t="s">
        <v>3826</v>
      </c>
      <c r="AN843" s="1" t="s">
        <v>3827</v>
      </c>
      <c r="AO843" s="1" t="s">
        <v>3828</v>
      </c>
      <c r="AP843" s="1" t="s">
        <v>3829</v>
      </c>
      <c r="AQ843" s="1" t="s">
        <v>74</v>
      </c>
      <c r="AR843" s="1" t="s">
        <v>3830</v>
      </c>
      <c r="AS843" s="1" t="s">
        <v>3831</v>
      </c>
      <c r="AT843" s="1" t="s">
        <v>74</v>
      </c>
      <c r="AU843" s="1">
        <v>2024.0</v>
      </c>
      <c r="AV843" s="1">
        <v>6.0</v>
      </c>
      <c r="AW843" s="1">
        <v>59.0</v>
      </c>
      <c r="AX843" s="1" t="s">
        <v>74</v>
      </c>
      <c r="AY843" s="1" t="s">
        <v>74</v>
      </c>
      <c r="AZ843" s="1" t="s">
        <v>74</v>
      </c>
      <c r="BA843" s="1" t="s">
        <v>74</v>
      </c>
      <c r="BB843" s="1">
        <v>180.0</v>
      </c>
      <c r="BC843" s="1">
        <v>193.0</v>
      </c>
      <c r="BD843" s="1" t="s">
        <v>74</v>
      </c>
      <c r="BE843" s="1" t="s">
        <v>16878</v>
      </c>
      <c r="BF843" s="2" t="str">
        <f>HYPERLINK("http://dx.doi.org/10.55643/fcaptp.6.59.2024.4522","http://dx.doi.org/10.55643/fcaptp.6.59.2024.4522")</f>
        <v>http://dx.doi.org/10.55643/fcaptp.6.59.2024.4522</v>
      </c>
      <c r="BG843" s="1" t="s">
        <v>74</v>
      </c>
      <c r="BH843" s="1" t="s">
        <v>74</v>
      </c>
      <c r="BI843" s="1">
        <v>14.0</v>
      </c>
      <c r="BJ843" s="1" t="s">
        <v>3350</v>
      </c>
      <c r="BK843" s="1" t="s">
        <v>172</v>
      </c>
      <c r="BL843" s="1" t="s">
        <v>204</v>
      </c>
      <c r="BM843" s="1" t="s">
        <v>3833</v>
      </c>
      <c r="BN843" s="1" t="s">
        <v>74</v>
      </c>
      <c r="BO843" s="1" t="s">
        <v>174</v>
      </c>
      <c r="BP843" s="1" t="s">
        <v>74</v>
      </c>
      <c r="BQ843" s="1" t="s">
        <v>74</v>
      </c>
      <c r="BR843" s="1" t="s">
        <v>102</v>
      </c>
      <c r="BS843" s="1" t="s">
        <v>16879</v>
      </c>
      <c r="BT843" s="1" t="str">
        <f>HYPERLINK("https%3A%2F%2Fwww.webofscience.com%2Fwos%2Fwoscc%2Ffull-record%2FWOS:001386934400014","View Full Record in Web of Science")</f>
        <v>View Full Record in Web of Science</v>
      </c>
    </row>
    <row r="844" ht="12.75" customHeight="1">
      <c r="A844" s="1" t="s">
        <v>132</v>
      </c>
      <c r="B844" s="1" t="s">
        <v>16880</v>
      </c>
      <c r="C844" s="1" t="s">
        <v>74</v>
      </c>
      <c r="D844" s="1" t="s">
        <v>74</v>
      </c>
      <c r="E844" s="1" t="s">
        <v>74</v>
      </c>
      <c r="F844" s="1" t="s">
        <v>16881</v>
      </c>
      <c r="G844" s="1" t="s">
        <v>74</v>
      </c>
      <c r="H844" s="1" t="s">
        <v>74</v>
      </c>
      <c r="I844" s="1" t="s">
        <v>16882</v>
      </c>
      <c r="J844" s="1" t="s">
        <v>16883</v>
      </c>
      <c r="K844" s="1" t="s">
        <v>74</v>
      </c>
      <c r="L844" s="1" t="s">
        <v>74</v>
      </c>
      <c r="M844" s="1" t="s">
        <v>80</v>
      </c>
      <c r="N844" s="1" t="s">
        <v>136</v>
      </c>
      <c r="O844" s="1" t="s">
        <v>74</v>
      </c>
      <c r="P844" s="1" t="s">
        <v>74</v>
      </c>
      <c r="Q844" s="1" t="s">
        <v>74</v>
      </c>
      <c r="R844" s="1" t="s">
        <v>74</v>
      </c>
      <c r="S844" s="1" t="s">
        <v>74</v>
      </c>
      <c r="T844" s="1" t="s">
        <v>16884</v>
      </c>
      <c r="U844" s="1" t="s">
        <v>74</v>
      </c>
      <c r="V844" s="1" t="s">
        <v>16885</v>
      </c>
      <c r="W844" s="1" t="s">
        <v>16886</v>
      </c>
      <c r="X844" s="1" t="s">
        <v>16887</v>
      </c>
      <c r="Y844" s="1" t="s">
        <v>16888</v>
      </c>
      <c r="Z844" s="1" t="s">
        <v>16889</v>
      </c>
      <c r="AA844" s="1" t="s">
        <v>16890</v>
      </c>
      <c r="AB844" s="1" t="s">
        <v>74</v>
      </c>
      <c r="AC844" s="1" t="s">
        <v>74</v>
      </c>
      <c r="AD844" s="1" t="s">
        <v>74</v>
      </c>
      <c r="AE844" s="1" t="s">
        <v>74</v>
      </c>
      <c r="AF844" s="1" t="s">
        <v>74</v>
      </c>
      <c r="AG844" s="1">
        <v>64.0</v>
      </c>
      <c r="AH844" s="1">
        <v>1.0</v>
      </c>
      <c r="AI844" s="1">
        <v>1.0</v>
      </c>
      <c r="AJ844" s="1">
        <v>8.0</v>
      </c>
      <c r="AK844" s="1">
        <v>39.0</v>
      </c>
      <c r="AL844" s="1" t="s">
        <v>16891</v>
      </c>
      <c r="AM844" s="1" t="s">
        <v>16892</v>
      </c>
      <c r="AN844" s="1" t="s">
        <v>16893</v>
      </c>
      <c r="AO844" s="1" t="s">
        <v>16894</v>
      </c>
      <c r="AP844" s="1" t="s">
        <v>16895</v>
      </c>
      <c r="AQ844" s="1" t="s">
        <v>74</v>
      </c>
      <c r="AR844" s="1" t="s">
        <v>16896</v>
      </c>
      <c r="AS844" s="1" t="s">
        <v>16897</v>
      </c>
      <c r="AT844" s="1" t="s">
        <v>74</v>
      </c>
      <c r="AU844" s="1">
        <v>2022.0</v>
      </c>
      <c r="AV844" s="1">
        <v>14.0</v>
      </c>
      <c r="AW844" s="1">
        <v>1.0</v>
      </c>
      <c r="AX844" s="1" t="s">
        <v>74</v>
      </c>
      <c r="AY844" s="1" t="s">
        <v>74</v>
      </c>
      <c r="AZ844" s="1" t="s">
        <v>74</v>
      </c>
      <c r="BA844" s="1" t="s">
        <v>74</v>
      </c>
      <c r="BB844" s="1">
        <v>108.0</v>
      </c>
      <c r="BC844" s="1">
        <v>126.0</v>
      </c>
      <c r="BD844" s="1" t="s">
        <v>74</v>
      </c>
      <c r="BE844" s="1" t="s">
        <v>16898</v>
      </c>
      <c r="BF844" s="2" t="str">
        <f>HYPERLINK("http://dx.doi.org/10.17835/2076-6297.2022.14.1.108-126","http://dx.doi.org/10.17835/2076-6297.2022.14.1.108-126")</f>
        <v>http://dx.doi.org/10.17835/2076-6297.2022.14.1.108-126</v>
      </c>
      <c r="BG844" s="1" t="s">
        <v>74</v>
      </c>
      <c r="BH844" s="1" t="s">
        <v>74</v>
      </c>
      <c r="BI844" s="1">
        <v>19.0</v>
      </c>
      <c r="BJ844" s="1" t="s">
        <v>202</v>
      </c>
      <c r="BK844" s="1" t="s">
        <v>172</v>
      </c>
      <c r="BL844" s="1" t="s">
        <v>204</v>
      </c>
      <c r="BM844" s="1" t="s">
        <v>16899</v>
      </c>
      <c r="BN844" s="1" t="s">
        <v>74</v>
      </c>
      <c r="BO844" s="1" t="s">
        <v>174</v>
      </c>
      <c r="BP844" s="1" t="s">
        <v>74</v>
      </c>
      <c r="BQ844" s="1" t="s">
        <v>74</v>
      </c>
      <c r="BR844" s="1" t="s">
        <v>102</v>
      </c>
      <c r="BS844" s="1" t="s">
        <v>16900</v>
      </c>
      <c r="BT844" s="1" t="str">
        <f>HYPERLINK("https%3A%2F%2Fwww.webofscience.com%2Fwos%2Fwoscc%2Ffull-record%2FWOS:000777030200005","View Full Record in Web of Science")</f>
        <v>View Full Record in Web of Science</v>
      </c>
    </row>
    <row r="845" ht="12.75" customHeight="1">
      <c r="A845" s="1" t="s">
        <v>132</v>
      </c>
      <c r="B845" s="1" t="s">
        <v>16901</v>
      </c>
      <c r="C845" s="1" t="s">
        <v>74</v>
      </c>
      <c r="D845" s="1" t="s">
        <v>74</v>
      </c>
      <c r="E845" s="1" t="s">
        <v>74</v>
      </c>
      <c r="F845" s="1" t="s">
        <v>16902</v>
      </c>
      <c r="G845" s="1" t="s">
        <v>74</v>
      </c>
      <c r="H845" s="1" t="s">
        <v>74</v>
      </c>
      <c r="I845" s="1" t="s">
        <v>16903</v>
      </c>
      <c r="J845" s="1" t="s">
        <v>2122</v>
      </c>
      <c r="K845" s="1" t="s">
        <v>74</v>
      </c>
      <c r="L845" s="1" t="s">
        <v>74</v>
      </c>
      <c r="M845" s="1" t="s">
        <v>80</v>
      </c>
      <c r="N845" s="1" t="s">
        <v>1010</v>
      </c>
      <c r="O845" s="1" t="s">
        <v>74</v>
      </c>
      <c r="P845" s="1" t="s">
        <v>74</v>
      </c>
      <c r="Q845" s="1" t="s">
        <v>74</v>
      </c>
      <c r="R845" s="1" t="s">
        <v>74</v>
      </c>
      <c r="S845" s="1" t="s">
        <v>74</v>
      </c>
      <c r="T845" s="1" t="s">
        <v>16904</v>
      </c>
      <c r="U845" s="1" t="s">
        <v>16905</v>
      </c>
      <c r="V845" s="1" t="s">
        <v>16906</v>
      </c>
      <c r="W845" s="1" t="s">
        <v>16907</v>
      </c>
      <c r="X845" s="1" t="s">
        <v>16908</v>
      </c>
      <c r="Y845" s="1" t="s">
        <v>16909</v>
      </c>
      <c r="Z845" s="1" t="s">
        <v>16910</v>
      </c>
      <c r="AA845" s="1" t="s">
        <v>16911</v>
      </c>
      <c r="AB845" s="1" t="s">
        <v>16912</v>
      </c>
      <c r="AC845" s="1" t="s">
        <v>16913</v>
      </c>
      <c r="AD845" s="1" t="s">
        <v>16913</v>
      </c>
      <c r="AE845" s="1" t="s">
        <v>16914</v>
      </c>
      <c r="AF845" s="1" t="s">
        <v>74</v>
      </c>
      <c r="AG845" s="1">
        <v>50.0</v>
      </c>
      <c r="AH845" s="1">
        <v>70.0</v>
      </c>
      <c r="AI845" s="1">
        <v>71.0</v>
      </c>
      <c r="AJ845" s="1">
        <v>143.0</v>
      </c>
      <c r="AK845" s="1">
        <v>411.0</v>
      </c>
      <c r="AL845" s="1" t="s">
        <v>192</v>
      </c>
      <c r="AM845" s="1" t="s">
        <v>864</v>
      </c>
      <c r="AN845" s="1" t="s">
        <v>865</v>
      </c>
      <c r="AO845" s="1" t="s">
        <v>2134</v>
      </c>
      <c r="AP845" s="1" t="s">
        <v>2135</v>
      </c>
      <c r="AQ845" s="1" t="s">
        <v>74</v>
      </c>
      <c r="AR845" s="1" t="s">
        <v>2136</v>
      </c>
      <c r="AS845" s="1" t="s">
        <v>2137</v>
      </c>
      <c r="AT845" s="1" t="s">
        <v>302</v>
      </c>
      <c r="AU845" s="1">
        <v>2023.0</v>
      </c>
      <c r="AV845" s="1">
        <v>86.0</v>
      </c>
      <c r="AW845" s="1">
        <v>2.0</v>
      </c>
      <c r="AX845" s="1" t="s">
        <v>74</v>
      </c>
      <c r="AY845" s="1" t="s">
        <v>74</v>
      </c>
      <c r="AZ845" s="1" t="s">
        <v>74</v>
      </c>
      <c r="BA845" s="1" t="s">
        <v>74</v>
      </c>
      <c r="BB845" s="1">
        <v>369.0</v>
      </c>
      <c r="BC845" s="1">
        <v>385.0</v>
      </c>
      <c r="BD845" s="1" t="s">
        <v>74</v>
      </c>
      <c r="BE845" s="1" t="s">
        <v>16915</v>
      </c>
      <c r="BF845" s="2" t="str">
        <f>HYPERLINK("http://dx.doi.org/10.1007/s10734-022-00937-2","http://dx.doi.org/10.1007/s10734-022-00937-2")</f>
        <v>http://dx.doi.org/10.1007/s10734-022-00937-2</v>
      </c>
      <c r="BG845" s="1" t="s">
        <v>74</v>
      </c>
      <c r="BH845" s="1" t="s">
        <v>9035</v>
      </c>
      <c r="BI845" s="1">
        <v>17.0</v>
      </c>
      <c r="BJ845" s="1" t="s">
        <v>171</v>
      </c>
      <c r="BK845" s="1" t="s">
        <v>203</v>
      </c>
      <c r="BL845" s="1" t="s">
        <v>171</v>
      </c>
      <c r="BM845" s="1" t="s">
        <v>16916</v>
      </c>
      <c r="BN845" s="1" t="s">
        <v>74</v>
      </c>
      <c r="BO845" s="1" t="s">
        <v>306</v>
      </c>
      <c r="BP845" s="1" t="s">
        <v>74</v>
      </c>
      <c r="BQ845" s="1" t="s">
        <v>74</v>
      </c>
      <c r="BR845" s="1" t="s">
        <v>102</v>
      </c>
      <c r="BS845" s="1" t="s">
        <v>16917</v>
      </c>
      <c r="BT845" s="1" t="str">
        <f>HYPERLINK("https%3A%2F%2Fwww.webofscience.com%2Fwos%2Fwoscc%2Ffull-record%2FWOS:000871513000001","View Full Record in Web of Science")</f>
        <v>View Full Record in Web of Science</v>
      </c>
    </row>
    <row r="846" ht="12.75" customHeight="1">
      <c r="A846" s="1" t="s">
        <v>132</v>
      </c>
      <c r="B846" s="1" t="s">
        <v>16918</v>
      </c>
      <c r="C846" s="1" t="s">
        <v>74</v>
      </c>
      <c r="D846" s="1" t="s">
        <v>74</v>
      </c>
      <c r="E846" s="1" t="s">
        <v>74</v>
      </c>
      <c r="F846" s="1" t="s">
        <v>16919</v>
      </c>
      <c r="G846" s="1" t="s">
        <v>74</v>
      </c>
      <c r="H846" s="1" t="s">
        <v>74</v>
      </c>
      <c r="I846" s="1" t="s">
        <v>16920</v>
      </c>
      <c r="J846" s="1" t="s">
        <v>3543</v>
      </c>
      <c r="K846" s="1" t="s">
        <v>74</v>
      </c>
      <c r="L846" s="1" t="s">
        <v>74</v>
      </c>
      <c r="M846" s="1" t="s">
        <v>80</v>
      </c>
      <c r="N846" s="1" t="s">
        <v>1010</v>
      </c>
      <c r="O846" s="1" t="s">
        <v>74</v>
      </c>
      <c r="P846" s="1" t="s">
        <v>74</v>
      </c>
      <c r="Q846" s="1" t="s">
        <v>74</v>
      </c>
      <c r="R846" s="1" t="s">
        <v>74</v>
      </c>
      <c r="S846" s="1" t="s">
        <v>74</v>
      </c>
      <c r="T846" s="1" t="s">
        <v>16921</v>
      </c>
      <c r="U846" s="1" t="s">
        <v>16922</v>
      </c>
      <c r="V846" s="1" t="s">
        <v>16923</v>
      </c>
      <c r="W846" s="1" t="s">
        <v>16924</v>
      </c>
      <c r="X846" s="1" t="s">
        <v>16925</v>
      </c>
      <c r="Y846" s="1" t="s">
        <v>16926</v>
      </c>
      <c r="Z846" s="1" t="s">
        <v>16927</v>
      </c>
      <c r="AA846" s="1" t="s">
        <v>74</v>
      </c>
      <c r="AB846" s="1" t="s">
        <v>74</v>
      </c>
      <c r="AC846" s="1" t="s">
        <v>74</v>
      </c>
      <c r="AD846" s="1" t="s">
        <v>74</v>
      </c>
      <c r="AE846" s="1" t="s">
        <v>74</v>
      </c>
      <c r="AF846" s="1" t="s">
        <v>74</v>
      </c>
      <c r="AG846" s="1">
        <v>34.0</v>
      </c>
      <c r="AH846" s="1">
        <v>12.0</v>
      </c>
      <c r="AI846" s="1">
        <v>12.0</v>
      </c>
      <c r="AJ846" s="1">
        <v>0.0</v>
      </c>
      <c r="AK846" s="1">
        <v>21.0</v>
      </c>
      <c r="AL846" s="1" t="s">
        <v>3551</v>
      </c>
      <c r="AM846" s="1" t="s">
        <v>193</v>
      </c>
      <c r="AN846" s="1" t="s">
        <v>16928</v>
      </c>
      <c r="AO846" s="1" t="s">
        <v>3553</v>
      </c>
      <c r="AP846" s="1" t="s">
        <v>3554</v>
      </c>
      <c r="AQ846" s="1" t="s">
        <v>74</v>
      </c>
      <c r="AR846" s="1" t="s">
        <v>3555</v>
      </c>
      <c r="AS846" s="1" t="s">
        <v>3556</v>
      </c>
      <c r="AT846" s="1" t="s">
        <v>302</v>
      </c>
      <c r="AU846" s="1">
        <v>2018.0</v>
      </c>
      <c r="AV846" s="1">
        <v>25.0</v>
      </c>
      <c r="AW846" s="1">
        <v>8.0</v>
      </c>
      <c r="AX846" s="1" t="s">
        <v>74</v>
      </c>
      <c r="AY846" s="1" t="s">
        <v>74</v>
      </c>
      <c r="AZ846" s="1" t="s">
        <v>74</v>
      </c>
      <c r="BA846" s="1" t="s">
        <v>74</v>
      </c>
      <c r="BB846" s="1">
        <v>967.0</v>
      </c>
      <c r="BC846" s="1">
        <v>972.0</v>
      </c>
      <c r="BD846" s="1" t="s">
        <v>74</v>
      </c>
      <c r="BE846" s="1" t="s">
        <v>16929</v>
      </c>
      <c r="BF846" s="2" t="str">
        <f>HYPERLINK("http://dx.doi.org/10.1016/j.acra.2017.12.027","http://dx.doi.org/10.1016/j.acra.2017.12.027")</f>
        <v>http://dx.doi.org/10.1016/j.acra.2017.12.027</v>
      </c>
      <c r="BG846" s="1" t="s">
        <v>74</v>
      </c>
      <c r="BH846" s="1" t="s">
        <v>74</v>
      </c>
      <c r="BI846" s="1">
        <v>6.0</v>
      </c>
      <c r="BJ846" s="1" t="s">
        <v>656</v>
      </c>
      <c r="BK846" s="1" t="s">
        <v>149</v>
      </c>
      <c r="BL846" s="1" t="s">
        <v>656</v>
      </c>
      <c r="BM846" s="1" t="s">
        <v>16930</v>
      </c>
      <c r="BN846" s="1" t="s">
        <v>74</v>
      </c>
      <c r="BO846" s="1" t="s">
        <v>74</v>
      </c>
      <c r="BP846" s="1" t="s">
        <v>74</v>
      </c>
      <c r="BQ846" s="1" t="s">
        <v>74</v>
      </c>
      <c r="BR846" s="1" t="s">
        <v>102</v>
      </c>
      <c r="BS846" s="1" t="s">
        <v>16931</v>
      </c>
      <c r="BT846" s="1" t="str">
        <f>HYPERLINK("https%3A%2F%2Fwww.webofscience.com%2Fwos%2Fwoscc%2Ffull-record%2FWOS:000439744500002","View Full Record in Web of Science")</f>
        <v>View Full Record in Web of Science</v>
      </c>
    </row>
    <row r="847" ht="12.75" customHeight="1">
      <c r="A847" s="1" t="s">
        <v>72</v>
      </c>
      <c r="B847" s="1" t="s">
        <v>16932</v>
      </c>
      <c r="C847" s="1" t="s">
        <v>74</v>
      </c>
      <c r="D847" s="1" t="s">
        <v>74</v>
      </c>
      <c r="E847" s="1" t="s">
        <v>236</v>
      </c>
      <c r="F847" s="1" t="s">
        <v>16933</v>
      </c>
      <c r="G847" s="1" t="s">
        <v>74</v>
      </c>
      <c r="H847" s="1" t="s">
        <v>74</v>
      </c>
      <c r="I847" s="1" t="s">
        <v>16934</v>
      </c>
      <c r="J847" s="1" t="s">
        <v>16935</v>
      </c>
      <c r="K847" s="1" t="s">
        <v>74</v>
      </c>
      <c r="L847" s="1" t="s">
        <v>74</v>
      </c>
      <c r="M847" s="1" t="s">
        <v>80</v>
      </c>
      <c r="N847" s="1" t="s">
        <v>81</v>
      </c>
      <c r="O847" s="1" t="s">
        <v>16936</v>
      </c>
      <c r="P847" s="1" t="s">
        <v>16937</v>
      </c>
      <c r="Q847" s="1" t="s">
        <v>16938</v>
      </c>
      <c r="R847" s="1" t="s">
        <v>16939</v>
      </c>
      <c r="S847" s="1" t="s">
        <v>74</v>
      </c>
      <c r="T847" s="1" t="s">
        <v>16940</v>
      </c>
      <c r="U847" s="1" t="s">
        <v>74</v>
      </c>
      <c r="V847" s="1" t="s">
        <v>16941</v>
      </c>
      <c r="W847" s="1" t="s">
        <v>16942</v>
      </c>
      <c r="X847" s="1" t="s">
        <v>16943</v>
      </c>
      <c r="Y847" s="1" t="s">
        <v>16944</v>
      </c>
      <c r="Z847" s="1" t="s">
        <v>16945</v>
      </c>
      <c r="AA847" s="1" t="s">
        <v>16946</v>
      </c>
      <c r="AB847" s="1" t="s">
        <v>74</v>
      </c>
      <c r="AC847" s="1" t="s">
        <v>74</v>
      </c>
      <c r="AD847" s="1" t="s">
        <v>74</v>
      </c>
      <c r="AE847" s="1" t="s">
        <v>74</v>
      </c>
      <c r="AF847" s="1" t="s">
        <v>74</v>
      </c>
      <c r="AG847" s="1">
        <v>8.0</v>
      </c>
      <c r="AH847" s="1">
        <v>0.0</v>
      </c>
      <c r="AI847" s="1">
        <v>0.0</v>
      </c>
      <c r="AJ847" s="1">
        <v>0.0</v>
      </c>
      <c r="AK847" s="1">
        <v>1.0</v>
      </c>
      <c r="AL847" s="1" t="s">
        <v>236</v>
      </c>
      <c r="AM847" s="1" t="s">
        <v>193</v>
      </c>
      <c r="AN847" s="1" t="s">
        <v>252</v>
      </c>
      <c r="AO847" s="1" t="s">
        <v>74</v>
      </c>
      <c r="AP847" s="1" t="s">
        <v>74</v>
      </c>
      <c r="AQ847" s="1" t="s">
        <v>16947</v>
      </c>
      <c r="AR847" s="1" t="s">
        <v>74</v>
      </c>
      <c r="AS847" s="1" t="s">
        <v>74</v>
      </c>
      <c r="AT847" s="1" t="s">
        <v>74</v>
      </c>
      <c r="AU847" s="1">
        <v>2017.0</v>
      </c>
      <c r="AV847" s="1" t="s">
        <v>74</v>
      </c>
      <c r="AW847" s="1" t="s">
        <v>74</v>
      </c>
      <c r="AX847" s="1" t="s">
        <v>74</v>
      </c>
      <c r="AY847" s="1" t="s">
        <v>74</v>
      </c>
      <c r="AZ847" s="1" t="s">
        <v>74</v>
      </c>
      <c r="BA847" s="1" t="s">
        <v>74</v>
      </c>
      <c r="BB847" s="1">
        <v>99.0</v>
      </c>
      <c r="BC847" s="1">
        <v>106.0</v>
      </c>
      <c r="BD847" s="1" t="s">
        <v>74</v>
      </c>
      <c r="BE847" s="1" t="s">
        <v>74</v>
      </c>
      <c r="BF847" s="1" t="s">
        <v>74</v>
      </c>
      <c r="BG847" s="1" t="s">
        <v>74</v>
      </c>
      <c r="BH847" s="1" t="s">
        <v>74</v>
      </c>
      <c r="BI847" s="1">
        <v>8.0</v>
      </c>
      <c r="BJ847" s="1" t="s">
        <v>5735</v>
      </c>
      <c r="BK847" s="1" t="s">
        <v>128</v>
      </c>
      <c r="BL847" s="1" t="s">
        <v>5736</v>
      </c>
      <c r="BM847" s="1" t="s">
        <v>16948</v>
      </c>
      <c r="BN847" s="1" t="s">
        <v>74</v>
      </c>
      <c r="BO847" s="1" t="s">
        <v>74</v>
      </c>
      <c r="BP847" s="1" t="s">
        <v>74</v>
      </c>
      <c r="BQ847" s="1" t="s">
        <v>74</v>
      </c>
      <c r="BR847" s="1" t="s">
        <v>102</v>
      </c>
      <c r="BS847" s="1" t="s">
        <v>16949</v>
      </c>
      <c r="BT847" s="1" t="str">
        <f>HYPERLINK("https%3A%2F%2Fwww.webofscience.com%2Fwos%2Fwoscc%2Ffull-record%2FWOS:000427727100023","View Full Record in Web of Science")</f>
        <v>View Full Record in Web of Science</v>
      </c>
    </row>
    <row r="848" ht="12.75" customHeight="1">
      <c r="A848" s="1" t="s">
        <v>72</v>
      </c>
      <c r="B848" s="1" t="s">
        <v>16950</v>
      </c>
      <c r="C848" s="1" t="s">
        <v>74</v>
      </c>
      <c r="D848" s="1" t="s">
        <v>14539</v>
      </c>
      <c r="E848" s="1" t="s">
        <v>74</v>
      </c>
      <c r="F848" s="1" t="s">
        <v>16951</v>
      </c>
      <c r="G848" s="1" t="s">
        <v>74</v>
      </c>
      <c r="H848" s="1" t="s">
        <v>74</v>
      </c>
      <c r="I848" s="1" t="s">
        <v>16952</v>
      </c>
      <c r="J848" s="1" t="s">
        <v>14542</v>
      </c>
      <c r="K848" s="1" t="s">
        <v>3840</v>
      </c>
      <c r="L848" s="1" t="s">
        <v>74</v>
      </c>
      <c r="M848" s="1" t="s">
        <v>80</v>
      </c>
      <c r="N848" s="1" t="s">
        <v>81</v>
      </c>
      <c r="O848" s="1" t="s">
        <v>14543</v>
      </c>
      <c r="P848" s="1" t="s">
        <v>14544</v>
      </c>
      <c r="Q848" s="1" t="s">
        <v>14545</v>
      </c>
      <c r="R848" s="1" t="s">
        <v>14546</v>
      </c>
      <c r="S848" s="1" t="s">
        <v>14547</v>
      </c>
      <c r="T848" s="1" t="s">
        <v>16953</v>
      </c>
      <c r="U848" s="1" t="s">
        <v>16954</v>
      </c>
      <c r="V848" s="1" t="s">
        <v>16955</v>
      </c>
      <c r="W848" s="1" t="s">
        <v>16956</v>
      </c>
      <c r="X848" s="1" t="s">
        <v>16957</v>
      </c>
      <c r="Y848" s="1" t="s">
        <v>16958</v>
      </c>
      <c r="Z848" s="1" t="s">
        <v>16959</v>
      </c>
      <c r="AA848" s="1" t="s">
        <v>74</v>
      </c>
      <c r="AB848" s="1" t="s">
        <v>74</v>
      </c>
      <c r="AC848" s="1" t="s">
        <v>74</v>
      </c>
      <c r="AD848" s="1" t="s">
        <v>74</v>
      </c>
      <c r="AE848" s="1" t="s">
        <v>74</v>
      </c>
      <c r="AF848" s="1" t="s">
        <v>74</v>
      </c>
      <c r="AG848" s="1">
        <v>41.0</v>
      </c>
      <c r="AH848" s="1">
        <v>0.0</v>
      </c>
      <c r="AI848" s="1">
        <v>0.0</v>
      </c>
      <c r="AJ848" s="1">
        <v>2.0</v>
      </c>
      <c r="AK848" s="1">
        <v>2.0</v>
      </c>
      <c r="AL848" s="1" t="s">
        <v>223</v>
      </c>
      <c r="AM848" s="1" t="s">
        <v>224</v>
      </c>
      <c r="AN848" s="1" t="s">
        <v>225</v>
      </c>
      <c r="AO848" s="1" t="s">
        <v>3852</v>
      </c>
      <c r="AP848" s="1" t="s">
        <v>942</v>
      </c>
      <c r="AQ848" s="1" t="s">
        <v>14555</v>
      </c>
      <c r="AR848" s="1" t="s">
        <v>3854</v>
      </c>
      <c r="AS848" s="1" t="s">
        <v>74</v>
      </c>
      <c r="AT848" s="1" t="s">
        <v>74</v>
      </c>
      <c r="AU848" s="1">
        <v>2024.0</v>
      </c>
      <c r="AV848" s="1">
        <v>14907.0</v>
      </c>
      <c r="AW848" s="1" t="s">
        <v>74</v>
      </c>
      <c r="AX848" s="1" t="s">
        <v>74</v>
      </c>
      <c r="AY848" s="1" t="s">
        <v>74</v>
      </c>
      <c r="AZ848" s="1" t="s">
        <v>74</v>
      </c>
      <c r="BA848" s="1" t="s">
        <v>74</v>
      </c>
      <c r="BB848" s="1">
        <v>29.0</v>
      </c>
      <c r="BC848" s="1">
        <v>40.0</v>
      </c>
      <c r="BD848" s="1" t="s">
        <v>74</v>
      </c>
      <c r="BE848" s="1" t="s">
        <v>16960</v>
      </c>
      <c r="BF848" s="2" t="str">
        <f>HYPERLINK("http://dx.doi.org/10.1007/978-3-031-72234-9_3","http://dx.doi.org/10.1007/978-3-031-72234-9_3")</f>
        <v>http://dx.doi.org/10.1007/978-3-031-72234-9_3</v>
      </c>
      <c r="BG848" s="1" t="s">
        <v>74</v>
      </c>
      <c r="BH848" s="1" t="s">
        <v>74</v>
      </c>
      <c r="BI848" s="1">
        <v>12.0</v>
      </c>
      <c r="BJ848" s="1" t="s">
        <v>527</v>
      </c>
      <c r="BK848" s="1" t="s">
        <v>128</v>
      </c>
      <c r="BL848" s="1" t="s">
        <v>232</v>
      </c>
      <c r="BM848" s="1" t="s">
        <v>14557</v>
      </c>
      <c r="BN848" s="1" t="s">
        <v>74</v>
      </c>
      <c r="BO848" s="1" t="s">
        <v>74</v>
      </c>
      <c r="BP848" s="1" t="s">
        <v>74</v>
      </c>
      <c r="BQ848" s="1" t="s">
        <v>74</v>
      </c>
      <c r="BR848" s="1" t="s">
        <v>102</v>
      </c>
      <c r="BS848" s="1" t="s">
        <v>16961</v>
      </c>
      <c r="BT848" s="1" t="str">
        <f>HYPERLINK("https%3A%2F%2Fwww.webofscience.com%2Fwos%2Fwoscc%2Ffull-record%2FWOS:001336388000003","View Full Record in Web of Science")</f>
        <v>View Full Record in Web of Science</v>
      </c>
    </row>
    <row r="849" ht="12.75" customHeight="1">
      <c r="A849" s="1" t="s">
        <v>72</v>
      </c>
      <c r="B849" s="1" t="s">
        <v>16962</v>
      </c>
      <c r="C849" s="1" t="s">
        <v>74</v>
      </c>
      <c r="D849" s="1" t="s">
        <v>16963</v>
      </c>
      <c r="E849" s="1" t="s">
        <v>74</v>
      </c>
      <c r="F849" s="1" t="s">
        <v>16964</v>
      </c>
      <c r="G849" s="1" t="s">
        <v>74</v>
      </c>
      <c r="H849" s="1" t="s">
        <v>74</v>
      </c>
      <c r="I849" s="1" t="s">
        <v>16965</v>
      </c>
      <c r="J849" s="1" t="s">
        <v>16966</v>
      </c>
      <c r="K849" s="1" t="s">
        <v>74</v>
      </c>
      <c r="L849" s="1" t="s">
        <v>74</v>
      </c>
      <c r="M849" s="1" t="s">
        <v>80</v>
      </c>
      <c r="N849" s="1" t="s">
        <v>81</v>
      </c>
      <c r="O849" s="1" t="s">
        <v>16967</v>
      </c>
      <c r="P849" s="1" t="s">
        <v>16968</v>
      </c>
      <c r="Q849" s="1" t="s">
        <v>16969</v>
      </c>
      <c r="R849" s="1" t="s">
        <v>16970</v>
      </c>
      <c r="S849" s="1" t="s">
        <v>16971</v>
      </c>
      <c r="T849" s="1" t="s">
        <v>16972</v>
      </c>
      <c r="U849" s="1" t="s">
        <v>74</v>
      </c>
      <c r="V849" s="1" t="s">
        <v>16973</v>
      </c>
      <c r="W849" s="1" t="s">
        <v>16974</v>
      </c>
      <c r="X849" s="1" t="s">
        <v>74</v>
      </c>
      <c r="Y849" s="1" t="s">
        <v>16975</v>
      </c>
      <c r="Z849" s="1" t="s">
        <v>16976</v>
      </c>
      <c r="AA849" s="1" t="s">
        <v>74</v>
      </c>
      <c r="AB849" s="1" t="s">
        <v>74</v>
      </c>
      <c r="AC849" s="1" t="s">
        <v>74</v>
      </c>
      <c r="AD849" s="1" t="s">
        <v>74</v>
      </c>
      <c r="AE849" s="1" t="s">
        <v>74</v>
      </c>
      <c r="AF849" s="1" t="s">
        <v>74</v>
      </c>
      <c r="AG849" s="1">
        <v>10.0</v>
      </c>
      <c r="AH849" s="1">
        <v>2.0</v>
      </c>
      <c r="AI849" s="1">
        <v>2.0</v>
      </c>
      <c r="AJ849" s="1">
        <v>0.0</v>
      </c>
      <c r="AK849" s="1">
        <v>4.0</v>
      </c>
      <c r="AL849" s="1" t="s">
        <v>236</v>
      </c>
      <c r="AM849" s="1" t="s">
        <v>193</v>
      </c>
      <c r="AN849" s="1" t="s">
        <v>252</v>
      </c>
      <c r="AO849" s="1" t="s">
        <v>74</v>
      </c>
      <c r="AP849" s="1" t="s">
        <v>74</v>
      </c>
      <c r="AQ849" s="1" t="s">
        <v>16977</v>
      </c>
      <c r="AR849" s="1" t="s">
        <v>74</v>
      </c>
      <c r="AS849" s="1" t="s">
        <v>74</v>
      </c>
      <c r="AT849" s="1" t="s">
        <v>74</v>
      </c>
      <c r="AU849" s="1">
        <v>2019.0</v>
      </c>
      <c r="AV849" s="1" t="s">
        <v>74</v>
      </c>
      <c r="AW849" s="1" t="s">
        <v>74</v>
      </c>
      <c r="AX849" s="1" t="s">
        <v>74</v>
      </c>
      <c r="AY849" s="1" t="s">
        <v>74</v>
      </c>
      <c r="AZ849" s="1" t="s">
        <v>74</v>
      </c>
      <c r="BA849" s="1" t="s">
        <v>74</v>
      </c>
      <c r="BB849" s="1">
        <v>367.0</v>
      </c>
      <c r="BC849" s="1">
        <v>370.0</v>
      </c>
      <c r="BD849" s="1" t="s">
        <v>74</v>
      </c>
      <c r="BE849" s="1" t="s">
        <v>16978</v>
      </c>
      <c r="BF849" s="2" t="str">
        <f>HYPERLINK("http://dx.doi.org/10.1109/aicai.2019.8701337","http://dx.doi.org/10.1109/aicai.2019.8701337")</f>
        <v>http://dx.doi.org/10.1109/aicai.2019.8701337</v>
      </c>
      <c r="BG849" s="1" t="s">
        <v>74</v>
      </c>
      <c r="BH849" s="1" t="s">
        <v>74</v>
      </c>
      <c r="BI849" s="1">
        <v>4.0</v>
      </c>
      <c r="BJ849" s="1" t="s">
        <v>1214</v>
      </c>
      <c r="BK849" s="1" t="s">
        <v>128</v>
      </c>
      <c r="BL849" s="1" t="s">
        <v>232</v>
      </c>
      <c r="BM849" s="1" t="s">
        <v>16979</v>
      </c>
      <c r="BN849" s="1" t="s">
        <v>74</v>
      </c>
      <c r="BO849" s="1" t="s">
        <v>74</v>
      </c>
      <c r="BP849" s="1" t="s">
        <v>74</v>
      </c>
      <c r="BQ849" s="1" t="s">
        <v>74</v>
      </c>
      <c r="BR849" s="1" t="s">
        <v>102</v>
      </c>
      <c r="BS849" s="1" t="s">
        <v>16980</v>
      </c>
      <c r="BT849" s="1" t="str">
        <f>HYPERLINK("https%3A%2F%2Fwww.webofscience.com%2Fwos%2Fwoscc%2Ffull-record%2FWOS:000516788300072","View Full Record in Web of Science")</f>
        <v>View Full Record in Web of Science</v>
      </c>
    </row>
    <row r="850" ht="12.75" customHeight="1">
      <c r="A850" s="1" t="s">
        <v>132</v>
      </c>
      <c r="B850" s="1" t="s">
        <v>16981</v>
      </c>
      <c r="C850" s="1" t="s">
        <v>74</v>
      </c>
      <c r="D850" s="1" t="s">
        <v>74</v>
      </c>
      <c r="E850" s="1" t="s">
        <v>74</v>
      </c>
      <c r="F850" s="1" t="s">
        <v>16982</v>
      </c>
      <c r="G850" s="1" t="s">
        <v>74</v>
      </c>
      <c r="H850" s="1" t="s">
        <v>74</v>
      </c>
      <c r="I850" s="1" t="s">
        <v>16983</v>
      </c>
      <c r="J850" s="1" t="s">
        <v>16984</v>
      </c>
      <c r="K850" s="1" t="s">
        <v>74</v>
      </c>
      <c r="L850" s="1" t="s">
        <v>74</v>
      </c>
      <c r="M850" s="1" t="s">
        <v>80</v>
      </c>
      <c r="N850" s="1" t="s">
        <v>136</v>
      </c>
      <c r="O850" s="1" t="s">
        <v>74</v>
      </c>
      <c r="P850" s="1" t="s">
        <v>74</v>
      </c>
      <c r="Q850" s="1" t="s">
        <v>74</v>
      </c>
      <c r="R850" s="1" t="s">
        <v>74</v>
      </c>
      <c r="S850" s="1" t="s">
        <v>74</v>
      </c>
      <c r="T850" s="1" t="s">
        <v>16985</v>
      </c>
      <c r="U850" s="1" t="s">
        <v>16986</v>
      </c>
      <c r="V850" s="1" t="s">
        <v>16987</v>
      </c>
      <c r="W850" s="1" t="s">
        <v>16988</v>
      </c>
      <c r="X850" s="1" t="s">
        <v>16989</v>
      </c>
      <c r="Y850" s="1" t="s">
        <v>16990</v>
      </c>
      <c r="Z850" s="1" t="s">
        <v>16991</v>
      </c>
      <c r="AA850" s="1" t="s">
        <v>16992</v>
      </c>
      <c r="AB850" s="1" t="s">
        <v>16993</v>
      </c>
      <c r="AC850" s="1" t="s">
        <v>74</v>
      </c>
      <c r="AD850" s="1" t="s">
        <v>74</v>
      </c>
      <c r="AE850" s="1" t="s">
        <v>74</v>
      </c>
      <c r="AF850" s="1" t="s">
        <v>74</v>
      </c>
      <c r="AG850" s="1">
        <v>86.0</v>
      </c>
      <c r="AH850" s="1">
        <v>0.0</v>
      </c>
      <c r="AI850" s="1">
        <v>0.0</v>
      </c>
      <c r="AJ850" s="1">
        <v>13.0</v>
      </c>
      <c r="AK850" s="1">
        <v>13.0</v>
      </c>
      <c r="AL850" s="1" t="s">
        <v>16994</v>
      </c>
      <c r="AM850" s="1" t="s">
        <v>3872</v>
      </c>
      <c r="AN850" s="1" t="s">
        <v>16995</v>
      </c>
      <c r="AO850" s="1" t="s">
        <v>16996</v>
      </c>
      <c r="AP850" s="1" t="s">
        <v>74</v>
      </c>
      <c r="AQ850" s="1" t="s">
        <v>74</v>
      </c>
      <c r="AR850" s="1" t="s">
        <v>16997</v>
      </c>
      <c r="AS850" s="1" t="s">
        <v>16998</v>
      </c>
      <c r="AT850" s="1" t="s">
        <v>74</v>
      </c>
      <c r="AU850" s="1">
        <v>2024.0</v>
      </c>
      <c r="AV850" s="1">
        <v>18.0</v>
      </c>
      <c r="AW850" s="1">
        <v>3.0</v>
      </c>
      <c r="AX850" s="1" t="s">
        <v>74</v>
      </c>
      <c r="AY850" s="1" t="s">
        <v>74</v>
      </c>
      <c r="AZ850" s="1" t="s">
        <v>74</v>
      </c>
      <c r="BA850" s="1" t="s">
        <v>74</v>
      </c>
      <c r="BB850" s="1">
        <v>87.0</v>
      </c>
      <c r="BC850" s="1">
        <v>107.0</v>
      </c>
      <c r="BD850" s="1" t="s">
        <v>74</v>
      </c>
      <c r="BE850" s="1" t="s">
        <v>16999</v>
      </c>
      <c r="BF850" s="2" t="str">
        <f>HYPERLINK("http://dx.doi.org/10.17323/2587-814X.2024.3.87.107","http://dx.doi.org/10.17323/2587-814X.2024.3.87.107")</f>
        <v>http://dx.doi.org/10.17323/2587-814X.2024.3.87.107</v>
      </c>
      <c r="BG850" s="1" t="s">
        <v>74</v>
      </c>
      <c r="BH850" s="1" t="s">
        <v>74</v>
      </c>
      <c r="BI850" s="1">
        <v>21.0</v>
      </c>
      <c r="BJ850" s="1" t="s">
        <v>2040</v>
      </c>
      <c r="BK850" s="1" t="s">
        <v>172</v>
      </c>
      <c r="BL850" s="1" t="s">
        <v>204</v>
      </c>
      <c r="BM850" s="1" t="s">
        <v>17000</v>
      </c>
      <c r="BN850" s="1" t="s">
        <v>74</v>
      </c>
      <c r="BO850" s="1" t="s">
        <v>174</v>
      </c>
      <c r="BP850" s="1" t="s">
        <v>74</v>
      </c>
      <c r="BQ850" s="1" t="s">
        <v>74</v>
      </c>
      <c r="BR850" s="1" t="s">
        <v>102</v>
      </c>
      <c r="BS850" s="1" t="s">
        <v>17001</v>
      </c>
      <c r="BT850" s="1" t="str">
        <f>HYPERLINK("https%3A%2F%2Fwww.webofscience.com%2Fwos%2Fwoscc%2Ffull-record%2FWOS:001330686300006","View Full Record in Web of Science")</f>
        <v>View Full Record in Web of Science</v>
      </c>
    </row>
    <row r="851" ht="12.75" customHeight="1">
      <c r="A851" s="1" t="s">
        <v>132</v>
      </c>
      <c r="B851" s="1" t="s">
        <v>17002</v>
      </c>
      <c r="C851" s="1" t="s">
        <v>74</v>
      </c>
      <c r="D851" s="1" t="s">
        <v>74</v>
      </c>
      <c r="E851" s="1" t="s">
        <v>74</v>
      </c>
      <c r="F851" s="1" t="s">
        <v>17003</v>
      </c>
      <c r="G851" s="1" t="s">
        <v>74</v>
      </c>
      <c r="H851" s="1" t="s">
        <v>74</v>
      </c>
      <c r="I851" s="1" t="s">
        <v>17004</v>
      </c>
      <c r="J851" s="1" t="s">
        <v>17005</v>
      </c>
      <c r="K851" s="1" t="s">
        <v>74</v>
      </c>
      <c r="L851" s="1" t="s">
        <v>74</v>
      </c>
      <c r="M851" s="1" t="s">
        <v>80</v>
      </c>
      <c r="N851" s="1" t="s">
        <v>1010</v>
      </c>
      <c r="O851" s="1" t="s">
        <v>74</v>
      </c>
      <c r="P851" s="1" t="s">
        <v>74</v>
      </c>
      <c r="Q851" s="1" t="s">
        <v>74</v>
      </c>
      <c r="R851" s="1" t="s">
        <v>74</v>
      </c>
      <c r="S851" s="1" t="s">
        <v>74</v>
      </c>
      <c r="T851" s="1" t="s">
        <v>17006</v>
      </c>
      <c r="U851" s="1" t="s">
        <v>17007</v>
      </c>
      <c r="V851" s="1" t="s">
        <v>17008</v>
      </c>
      <c r="W851" s="1" t="s">
        <v>17009</v>
      </c>
      <c r="X851" s="1" t="s">
        <v>118</v>
      </c>
      <c r="Y851" s="1" t="s">
        <v>17010</v>
      </c>
      <c r="Z851" s="1" t="s">
        <v>17011</v>
      </c>
      <c r="AA851" s="1" t="s">
        <v>17012</v>
      </c>
      <c r="AB851" s="1" t="s">
        <v>17013</v>
      </c>
      <c r="AC851" s="1" t="s">
        <v>17014</v>
      </c>
      <c r="AD851" s="1" t="s">
        <v>17015</v>
      </c>
      <c r="AE851" s="1" t="s">
        <v>17016</v>
      </c>
      <c r="AF851" s="1" t="s">
        <v>74</v>
      </c>
      <c r="AG851" s="1">
        <v>71.0</v>
      </c>
      <c r="AH851" s="1">
        <v>0.0</v>
      </c>
      <c r="AI851" s="1">
        <v>0.0</v>
      </c>
      <c r="AJ851" s="1">
        <v>6.0</v>
      </c>
      <c r="AK851" s="1">
        <v>21.0</v>
      </c>
      <c r="AL851" s="1" t="s">
        <v>17017</v>
      </c>
      <c r="AM851" s="1" t="s">
        <v>3872</v>
      </c>
      <c r="AN851" s="1" t="s">
        <v>17018</v>
      </c>
      <c r="AO851" s="1" t="s">
        <v>17019</v>
      </c>
      <c r="AP851" s="1" t="s">
        <v>74</v>
      </c>
      <c r="AQ851" s="1" t="s">
        <v>74</v>
      </c>
      <c r="AR851" s="1" t="s">
        <v>17020</v>
      </c>
      <c r="AS851" s="1" t="s">
        <v>17021</v>
      </c>
      <c r="AT851" s="1" t="s">
        <v>74</v>
      </c>
      <c r="AU851" s="1">
        <v>2023.0</v>
      </c>
      <c r="AV851" s="1">
        <v>12.0</v>
      </c>
      <c r="AW851" s="1">
        <v>3.0</v>
      </c>
      <c r="AX851" s="1" t="s">
        <v>74</v>
      </c>
      <c r="AY851" s="1" t="s">
        <v>74</v>
      </c>
      <c r="AZ851" s="1" t="s">
        <v>74</v>
      </c>
      <c r="BA851" s="1" t="s">
        <v>74</v>
      </c>
      <c r="BB851" s="1">
        <v>1.0</v>
      </c>
      <c r="BC851" s="1">
        <v>29.0</v>
      </c>
      <c r="BD851" s="1" t="s">
        <v>74</v>
      </c>
      <c r="BE851" s="1" t="s">
        <v>17022</v>
      </c>
      <c r="BF851" s="2" t="str">
        <f>HYPERLINK("http://dx.doi.org/10.17759/cpse.2023120301","http://dx.doi.org/10.17759/cpse.2023120301")</f>
        <v>http://dx.doi.org/10.17759/cpse.2023120301</v>
      </c>
      <c r="BG851" s="1" t="s">
        <v>74</v>
      </c>
      <c r="BH851" s="1" t="s">
        <v>74</v>
      </c>
      <c r="BI851" s="1">
        <v>29.0</v>
      </c>
      <c r="BJ851" s="1" t="s">
        <v>17023</v>
      </c>
      <c r="BK851" s="1" t="s">
        <v>172</v>
      </c>
      <c r="BL851" s="1" t="s">
        <v>3261</v>
      </c>
      <c r="BM851" s="1" t="s">
        <v>17024</v>
      </c>
      <c r="BN851" s="1" t="s">
        <v>74</v>
      </c>
      <c r="BO851" s="1" t="s">
        <v>174</v>
      </c>
      <c r="BP851" s="1" t="s">
        <v>74</v>
      </c>
      <c r="BQ851" s="1" t="s">
        <v>74</v>
      </c>
      <c r="BR851" s="1" t="s">
        <v>102</v>
      </c>
      <c r="BS851" s="1" t="s">
        <v>17025</v>
      </c>
      <c r="BT851" s="1" t="str">
        <f>HYPERLINK("https%3A%2F%2Fwww.webofscience.com%2Fwos%2Fwoscc%2Ffull-record%2FWOS:001124573700008","View Full Record in Web of Science")</f>
        <v>View Full Record in Web of Science</v>
      </c>
    </row>
    <row r="852" ht="12.75" customHeight="1">
      <c r="A852" s="1" t="s">
        <v>72</v>
      </c>
      <c r="B852" s="1" t="s">
        <v>17026</v>
      </c>
      <c r="C852" s="1" t="s">
        <v>74</v>
      </c>
      <c r="D852" s="1" t="s">
        <v>74</v>
      </c>
      <c r="E852" s="1" t="s">
        <v>17027</v>
      </c>
      <c r="F852" s="1" t="s">
        <v>17028</v>
      </c>
      <c r="G852" s="1" t="s">
        <v>74</v>
      </c>
      <c r="H852" s="1" t="s">
        <v>74</v>
      </c>
      <c r="I852" s="1" t="s">
        <v>17029</v>
      </c>
      <c r="J852" s="1" t="s">
        <v>17030</v>
      </c>
      <c r="K852" s="1" t="s">
        <v>17031</v>
      </c>
      <c r="L852" s="1" t="s">
        <v>74</v>
      </c>
      <c r="M852" s="1" t="s">
        <v>80</v>
      </c>
      <c r="N852" s="1" t="s">
        <v>81</v>
      </c>
      <c r="O852" s="1" t="s">
        <v>17032</v>
      </c>
      <c r="P852" s="1" t="s">
        <v>17033</v>
      </c>
      <c r="Q852" s="1" t="s">
        <v>17034</v>
      </c>
      <c r="R852" s="1" t="s">
        <v>17027</v>
      </c>
      <c r="S852" s="1" t="s">
        <v>74</v>
      </c>
      <c r="T852" s="1" t="s">
        <v>74</v>
      </c>
      <c r="U852" s="1" t="s">
        <v>74</v>
      </c>
      <c r="V852" s="1" t="s">
        <v>17035</v>
      </c>
      <c r="W852" s="1" t="s">
        <v>17036</v>
      </c>
      <c r="X852" s="1" t="s">
        <v>17037</v>
      </c>
      <c r="Y852" s="1" t="s">
        <v>17038</v>
      </c>
      <c r="Z852" s="1" t="s">
        <v>17039</v>
      </c>
      <c r="AA852" s="1" t="s">
        <v>17040</v>
      </c>
      <c r="AB852" s="1" t="s">
        <v>74</v>
      </c>
      <c r="AC852" s="1" t="s">
        <v>17041</v>
      </c>
      <c r="AD852" s="1" t="s">
        <v>17042</v>
      </c>
      <c r="AE852" s="1" t="s">
        <v>17043</v>
      </c>
      <c r="AF852" s="1" t="s">
        <v>74</v>
      </c>
      <c r="AG852" s="1">
        <v>7.0</v>
      </c>
      <c r="AH852" s="1">
        <v>0.0</v>
      </c>
      <c r="AI852" s="1">
        <v>0.0</v>
      </c>
      <c r="AJ852" s="1">
        <v>0.0</v>
      </c>
      <c r="AK852" s="1">
        <v>2.0</v>
      </c>
      <c r="AL852" s="1" t="s">
        <v>17044</v>
      </c>
      <c r="AM852" s="1" t="s">
        <v>16315</v>
      </c>
      <c r="AN852" s="1" t="s">
        <v>17045</v>
      </c>
      <c r="AO852" s="1" t="s">
        <v>17046</v>
      </c>
      <c r="AP852" s="1" t="s">
        <v>17047</v>
      </c>
      <c r="AQ852" s="1" t="s">
        <v>17048</v>
      </c>
      <c r="AR852" s="1" t="s">
        <v>17049</v>
      </c>
      <c r="AS852" s="1" t="s">
        <v>74</v>
      </c>
      <c r="AT852" s="1" t="s">
        <v>74</v>
      </c>
      <c r="AU852" s="1">
        <v>2020.0</v>
      </c>
      <c r="AV852" s="1">
        <v>34.0</v>
      </c>
      <c r="AW852" s="1" t="s">
        <v>74</v>
      </c>
      <c r="AX852" s="1" t="s">
        <v>74</v>
      </c>
      <c r="AY852" s="1" t="s">
        <v>74</v>
      </c>
      <c r="AZ852" s="1" t="s">
        <v>74</v>
      </c>
      <c r="BA852" s="1" t="s">
        <v>74</v>
      </c>
      <c r="BB852" s="1">
        <v>13431.0</v>
      </c>
      <c r="BC852" s="1">
        <v>13437.0</v>
      </c>
      <c r="BD852" s="1" t="s">
        <v>74</v>
      </c>
      <c r="BE852" s="1" t="s">
        <v>74</v>
      </c>
      <c r="BF852" s="1" t="s">
        <v>74</v>
      </c>
      <c r="BG852" s="1" t="s">
        <v>74</v>
      </c>
      <c r="BH852" s="1" t="s">
        <v>74</v>
      </c>
      <c r="BI852" s="1">
        <v>7.0</v>
      </c>
      <c r="BJ852" s="1" t="s">
        <v>2430</v>
      </c>
      <c r="BK852" s="1" t="s">
        <v>128</v>
      </c>
      <c r="BL852" s="1" t="s">
        <v>436</v>
      </c>
      <c r="BM852" s="1" t="s">
        <v>17050</v>
      </c>
      <c r="BN852" s="1" t="s">
        <v>74</v>
      </c>
      <c r="BO852" s="1" t="s">
        <v>74</v>
      </c>
      <c r="BP852" s="1" t="s">
        <v>74</v>
      </c>
      <c r="BQ852" s="1" t="s">
        <v>74</v>
      </c>
      <c r="BR852" s="1" t="s">
        <v>102</v>
      </c>
      <c r="BS852" s="1" t="s">
        <v>17051</v>
      </c>
      <c r="BT852" s="1" t="str">
        <f>HYPERLINK("https%3A%2F%2Fwww.webofscience.com%2Fwos%2Fwoscc%2Ffull-record%2FWOS:000668126805116","View Full Record in Web of Science")</f>
        <v>View Full Record in Web of Science</v>
      </c>
    </row>
    <row r="853" ht="12.75" customHeight="1">
      <c r="A853" s="1" t="s">
        <v>132</v>
      </c>
      <c r="B853" s="1" t="s">
        <v>17052</v>
      </c>
      <c r="C853" s="1" t="s">
        <v>74</v>
      </c>
      <c r="D853" s="1" t="s">
        <v>74</v>
      </c>
      <c r="E853" s="1" t="s">
        <v>74</v>
      </c>
      <c r="F853" s="1" t="s">
        <v>17053</v>
      </c>
      <c r="G853" s="1" t="s">
        <v>74</v>
      </c>
      <c r="H853" s="1" t="s">
        <v>74</v>
      </c>
      <c r="I853" s="1" t="s">
        <v>17054</v>
      </c>
      <c r="J853" s="1" t="s">
        <v>17055</v>
      </c>
      <c r="K853" s="1" t="s">
        <v>74</v>
      </c>
      <c r="L853" s="1" t="s">
        <v>74</v>
      </c>
      <c r="M853" s="1" t="s">
        <v>80</v>
      </c>
      <c r="N853" s="1" t="s">
        <v>136</v>
      </c>
      <c r="O853" s="1" t="s">
        <v>74</v>
      </c>
      <c r="P853" s="1" t="s">
        <v>74</v>
      </c>
      <c r="Q853" s="1" t="s">
        <v>74</v>
      </c>
      <c r="R853" s="1" t="s">
        <v>74</v>
      </c>
      <c r="S853" s="1" t="s">
        <v>74</v>
      </c>
      <c r="T853" s="1" t="s">
        <v>17056</v>
      </c>
      <c r="U853" s="1" t="s">
        <v>17057</v>
      </c>
      <c r="V853" s="1" t="s">
        <v>17058</v>
      </c>
      <c r="W853" s="1" t="s">
        <v>17059</v>
      </c>
      <c r="X853" s="1" t="s">
        <v>17060</v>
      </c>
      <c r="Y853" s="1" t="s">
        <v>17061</v>
      </c>
      <c r="Z853" s="1" t="s">
        <v>17062</v>
      </c>
      <c r="AA853" s="1" t="s">
        <v>17063</v>
      </c>
      <c r="AB853" s="1" t="s">
        <v>17064</v>
      </c>
      <c r="AC853" s="1" t="s">
        <v>17065</v>
      </c>
      <c r="AD853" s="1" t="s">
        <v>17066</v>
      </c>
      <c r="AE853" s="1" t="s">
        <v>17067</v>
      </c>
      <c r="AF853" s="1" t="s">
        <v>74</v>
      </c>
      <c r="AG853" s="1">
        <v>91.0</v>
      </c>
      <c r="AH853" s="1">
        <v>6.0</v>
      </c>
      <c r="AI853" s="1">
        <v>6.0</v>
      </c>
      <c r="AJ853" s="1">
        <v>5.0</v>
      </c>
      <c r="AK853" s="1">
        <v>40.0</v>
      </c>
      <c r="AL853" s="1" t="s">
        <v>17068</v>
      </c>
      <c r="AM853" s="1" t="s">
        <v>822</v>
      </c>
      <c r="AN853" s="1" t="s">
        <v>17069</v>
      </c>
      <c r="AO853" s="1" t="s">
        <v>17070</v>
      </c>
      <c r="AP853" s="1" t="s">
        <v>74</v>
      </c>
      <c r="AQ853" s="1" t="s">
        <v>74</v>
      </c>
      <c r="AR853" s="1" t="s">
        <v>17071</v>
      </c>
      <c r="AS853" s="1" t="s">
        <v>17072</v>
      </c>
      <c r="AT853" s="1" t="s">
        <v>74</v>
      </c>
      <c r="AU853" s="1">
        <v>2023.0</v>
      </c>
      <c r="AV853" s="1">
        <v>12.0</v>
      </c>
      <c r="AW853" s="1">
        <v>1.0</v>
      </c>
      <c r="AX853" s="1" t="s">
        <v>74</v>
      </c>
      <c r="AY853" s="1" t="s">
        <v>74</v>
      </c>
      <c r="AZ853" s="1" t="s">
        <v>74</v>
      </c>
      <c r="BA853" s="1" t="s">
        <v>74</v>
      </c>
      <c r="BB853" s="1">
        <v>28.0</v>
      </c>
      <c r="BC853" s="1">
        <v>28.0</v>
      </c>
      <c r="BD853" s="1" t="s">
        <v>74</v>
      </c>
      <c r="BE853" s="1" t="s">
        <v>17073</v>
      </c>
      <c r="BF853" s="2" t="str">
        <f>HYPERLINK("http://dx.doi.org/10.14763/2023.1.1683","http://dx.doi.org/10.14763/2023.1.1683")</f>
        <v>http://dx.doi.org/10.14763/2023.1.1683</v>
      </c>
      <c r="BG853" s="1" t="s">
        <v>74</v>
      </c>
      <c r="BH853" s="1" t="s">
        <v>74</v>
      </c>
      <c r="BI853" s="1">
        <v>1.0</v>
      </c>
      <c r="BJ853" s="1" t="s">
        <v>17074</v>
      </c>
      <c r="BK853" s="1" t="s">
        <v>172</v>
      </c>
      <c r="BL853" s="1" t="s">
        <v>17075</v>
      </c>
      <c r="BM853" s="1" t="s">
        <v>17076</v>
      </c>
      <c r="BN853" s="1" t="s">
        <v>74</v>
      </c>
      <c r="BO853" s="1" t="s">
        <v>17077</v>
      </c>
      <c r="BP853" s="1" t="s">
        <v>74</v>
      </c>
      <c r="BQ853" s="1" t="s">
        <v>74</v>
      </c>
      <c r="BR853" s="1" t="s">
        <v>102</v>
      </c>
      <c r="BS853" s="1" t="s">
        <v>17078</v>
      </c>
      <c r="BT853" s="1" t="str">
        <f>HYPERLINK("https%3A%2F%2Fwww.webofscience.com%2Fwos%2Fwoscc%2Ffull-record%2FWOS:000957709200003","View Full Record in Web of Science")</f>
        <v>View Full Record in Web of Science</v>
      </c>
    </row>
    <row r="854" ht="12.75" customHeight="1">
      <c r="A854" s="1" t="s">
        <v>132</v>
      </c>
      <c r="B854" s="1" t="s">
        <v>17079</v>
      </c>
      <c r="C854" s="1" t="s">
        <v>74</v>
      </c>
      <c r="D854" s="1" t="s">
        <v>74</v>
      </c>
      <c r="E854" s="1" t="s">
        <v>74</v>
      </c>
      <c r="F854" s="1" t="s">
        <v>17080</v>
      </c>
      <c r="G854" s="1" t="s">
        <v>74</v>
      </c>
      <c r="H854" s="1" t="s">
        <v>74</v>
      </c>
      <c r="I854" s="1" t="s">
        <v>17081</v>
      </c>
      <c r="J854" s="1" t="s">
        <v>17082</v>
      </c>
      <c r="K854" s="1" t="s">
        <v>74</v>
      </c>
      <c r="L854" s="1" t="s">
        <v>74</v>
      </c>
      <c r="M854" s="1" t="s">
        <v>80</v>
      </c>
      <c r="N854" s="1" t="s">
        <v>136</v>
      </c>
      <c r="O854" s="1" t="s">
        <v>74</v>
      </c>
      <c r="P854" s="1" t="s">
        <v>74</v>
      </c>
      <c r="Q854" s="1" t="s">
        <v>74</v>
      </c>
      <c r="R854" s="1" t="s">
        <v>74</v>
      </c>
      <c r="S854" s="1" t="s">
        <v>74</v>
      </c>
      <c r="T854" s="1" t="s">
        <v>17083</v>
      </c>
      <c r="U854" s="1" t="s">
        <v>17084</v>
      </c>
      <c r="V854" s="1" t="s">
        <v>17085</v>
      </c>
      <c r="W854" s="1" t="s">
        <v>17086</v>
      </c>
      <c r="X854" s="1" t="s">
        <v>17087</v>
      </c>
      <c r="Y854" s="1" t="s">
        <v>17088</v>
      </c>
      <c r="Z854" s="1" t="s">
        <v>8605</v>
      </c>
      <c r="AA854" s="1" t="s">
        <v>17089</v>
      </c>
      <c r="AB854" s="1" t="s">
        <v>17090</v>
      </c>
      <c r="AC854" s="1" t="s">
        <v>74</v>
      </c>
      <c r="AD854" s="1" t="s">
        <v>74</v>
      </c>
      <c r="AE854" s="1" t="s">
        <v>74</v>
      </c>
      <c r="AF854" s="1" t="s">
        <v>74</v>
      </c>
      <c r="AG854" s="1">
        <v>30.0</v>
      </c>
      <c r="AH854" s="1">
        <v>87.0</v>
      </c>
      <c r="AI854" s="1">
        <v>91.0</v>
      </c>
      <c r="AJ854" s="1">
        <v>72.0</v>
      </c>
      <c r="AK854" s="1">
        <v>435.0</v>
      </c>
      <c r="AL854" s="1" t="s">
        <v>571</v>
      </c>
      <c r="AM854" s="1" t="s">
        <v>1768</v>
      </c>
      <c r="AN854" s="1" t="s">
        <v>1769</v>
      </c>
      <c r="AO854" s="1" t="s">
        <v>17091</v>
      </c>
      <c r="AP854" s="1" t="s">
        <v>74</v>
      </c>
      <c r="AQ854" s="1" t="s">
        <v>74</v>
      </c>
      <c r="AR854" s="1" t="s">
        <v>17092</v>
      </c>
      <c r="AS854" s="1" t="s">
        <v>17093</v>
      </c>
      <c r="AT854" s="1" t="s">
        <v>17094</v>
      </c>
      <c r="AU854" s="1">
        <v>2019.0</v>
      </c>
      <c r="AV854" s="1">
        <v>37.0</v>
      </c>
      <c r="AW854" s="1">
        <v>3.0</v>
      </c>
      <c r="AX854" s="1" t="s">
        <v>74</v>
      </c>
      <c r="AY854" s="1" t="s">
        <v>74</v>
      </c>
      <c r="AZ854" s="1" t="s">
        <v>74</v>
      </c>
      <c r="BA854" s="1" t="s">
        <v>74</v>
      </c>
      <c r="BB854" s="1">
        <v>418.0</v>
      </c>
      <c r="BC854" s="1">
        <v>435.0</v>
      </c>
      <c r="BD854" s="1" t="s">
        <v>74</v>
      </c>
      <c r="BE854" s="1" t="s">
        <v>17095</v>
      </c>
      <c r="BF854" s="2" t="str">
        <f>HYPERLINK("http://dx.doi.org/10.1108/LHT-08-2018-0105","http://dx.doi.org/10.1108/LHT-08-2018-0105")</f>
        <v>http://dx.doi.org/10.1108/LHT-08-2018-0105</v>
      </c>
      <c r="BG854" s="1" t="s">
        <v>74</v>
      </c>
      <c r="BH854" s="1" t="s">
        <v>74</v>
      </c>
      <c r="BI854" s="1">
        <v>18.0</v>
      </c>
      <c r="BJ854" s="1" t="s">
        <v>358</v>
      </c>
      <c r="BK854" s="1" t="s">
        <v>203</v>
      </c>
      <c r="BL854" s="1" t="s">
        <v>358</v>
      </c>
      <c r="BM854" s="1" t="s">
        <v>17096</v>
      </c>
      <c r="BN854" s="1" t="s">
        <v>74</v>
      </c>
      <c r="BO854" s="1" t="s">
        <v>4126</v>
      </c>
      <c r="BP854" s="1" t="s">
        <v>74</v>
      </c>
      <c r="BQ854" s="1" t="s">
        <v>74</v>
      </c>
      <c r="BR854" s="1" t="s">
        <v>102</v>
      </c>
      <c r="BS854" s="1" t="s">
        <v>17097</v>
      </c>
      <c r="BT854" s="1" t="str">
        <f>HYPERLINK("https%3A%2F%2Fwww.webofscience.com%2Fwos%2Fwoscc%2Ffull-record%2FWOS:000486265700007","View Full Record in Web of Science")</f>
        <v>View Full Record in Web of Science</v>
      </c>
    </row>
    <row r="855" ht="12.75" customHeight="1">
      <c r="A855" s="1" t="s">
        <v>132</v>
      </c>
      <c r="B855" s="1" t="s">
        <v>17098</v>
      </c>
      <c r="C855" s="1" t="s">
        <v>74</v>
      </c>
      <c r="D855" s="1" t="s">
        <v>74</v>
      </c>
      <c r="E855" s="1" t="s">
        <v>74</v>
      </c>
      <c r="F855" s="1" t="s">
        <v>17099</v>
      </c>
      <c r="G855" s="1" t="s">
        <v>74</v>
      </c>
      <c r="H855" s="1" t="s">
        <v>74</v>
      </c>
      <c r="I855" s="1" t="s">
        <v>17100</v>
      </c>
      <c r="J855" s="1" t="s">
        <v>13198</v>
      </c>
      <c r="K855" s="1" t="s">
        <v>74</v>
      </c>
      <c r="L855" s="1" t="s">
        <v>74</v>
      </c>
      <c r="M855" s="1" t="s">
        <v>80</v>
      </c>
      <c r="N855" s="1" t="s">
        <v>1010</v>
      </c>
      <c r="O855" s="1" t="s">
        <v>74</v>
      </c>
      <c r="P855" s="1" t="s">
        <v>74</v>
      </c>
      <c r="Q855" s="1" t="s">
        <v>74</v>
      </c>
      <c r="R855" s="1" t="s">
        <v>74</v>
      </c>
      <c r="S855" s="1" t="s">
        <v>74</v>
      </c>
      <c r="T855" s="1" t="s">
        <v>17101</v>
      </c>
      <c r="U855" s="1" t="s">
        <v>17102</v>
      </c>
      <c r="V855" s="1" t="s">
        <v>17103</v>
      </c>
      <c r="W855" s="1" t="s">
        <v>17104</v>
      </c>
      <c r="X855" s="1" t="s">
        <v>17105</v>
      </c>
      <c r="Y855" s="1" t="s">
        <v>17106</v>
      </c>
      <c r="Z855" s="1" t="s">
        <v>17107</v>
      </c>
      <c r="AA855" s="1" t="s">
        <v>17108</v>
      </c>
      <c r="AB855" s="1" t="s">
        <v>17109</v>
      </c>
      <c r="AC855" s="1" t="s">
        <v>74</v>
      </c>
      <c r="AD855" s="1" t="s">
        <v>74</v>
      </c>
      <c r="AE855" s="1" t="s">
        <v>74</v>
      </c>
      <c r="AF855" s="1" t="s">
        <v>74</v>
      </c>
      <c r="AG855" s="1">
        <v>41.0</v>
      </c>
      <c r="AH855" s="1">
        <v>16.0</v>
      </c>
      <c r="AI855" s="1">
        <v>16.0</v>
      </c>
      <c r="AJ855" s="1">
        <v>1.0</v>
      </c>
      <c r="AK855" s="1">
        <v>10.0</v>
      </c>
      <c r="AL855" s="1" t="s">
        <v>275</v>
      </c>
      <c r="AM855" s="1" t="s">
        <v>276</v>
      </c>
      <c r="AN855" s="1" t="s">
        <v>277</v>
      </c>
      <c r="AO855" s="1" t="s">
        <v>74</v>
      </c>
      <c r="AP855" s="1" t="s">
        <v>13208</v>
      </c>
      <c r="AQ855" s="1" t="s">
        <v>74</v>
      </c>
      <c r="AR855" s="1" t="s">
        <v>13209</v>
      </c>
      <c r="AS855" s="1" t="s">
        <v>13210</v>
      </c>
      <c r="AT855" s="1" t="s">
        <v>17110</v>
      </c>
      <c r="AU855" s="1">
        <v>2023.0</v>
      </c>
      <c r="AV855" s="1">
        <v>10.0</v>
      </c>
      <c r="AW855" s="1" t="s">
        <v>74</v>
      </c>
      <c r="AX855" s="1" t="s">
        <v>74</v>
      </c>
      <c r="AY855" s="1" t="s">
        <v>74</v>
      </c>
      <c r="AZ855" s="1" t="s">
        <v>74</v>
      </c>
      <c r="BA855" s="1" t="s">
        <v>74</v>
      </c>
      <c r="BB855" s="1" t="s">
        <v>74</v>
      </c>
      <c r="BC855" s="1" t="s">
        <v>74</v>
      </c>
      <c r="BD855" s="1">
        <v>1176192.0</v>
      </c>
      <c r="BE855" s="1" t="s">
        <v>17111</v>
      </c>
      <c r="BF855" s="2" t="str">
        <f>HYPERLINK("http://dx.doi.org/10.3389/fmed.2023.1176192","http://dx.doi.org/10.3389/fmed.2023.1176192")</f>
        <v>http://dx.doi.org/10.3389/fmed.2023.1176192</v>
      </c>
      <c r="BG855" s="1" t="s">
        <v>74</v>
      </c>
      <c r="BH855" s="1" t="s">
        <v>74</v>
      </c>
      <c r="BI855" s="1">
        <v>8.0</v>
      </c>
      <c r="BJ855" s="1" t="s">
        <v>1158</v>
      </c>
      <c r="BK855" s="1" t="s">
        <v>149</v>
      </c>
      <c r="BL855" s="1" t="s">
        <v>1159</v>
      </c>
      <c r="BM855" s="1" t="s">
        <v>17112</v>
      </c>
      <c r="BN855" s="1">
        <v>3.7153088E7</v>
      </c>
      <c r="BO855" s="1" t="s">
        <v>1161</v>
      </c>
      <c r="BP855" s="1" t="s">
        <v>74</v>
      </c>
      <c r="BQ855" s="1" t="s">
        <v>74</v>
      </c>
      <c r="BR855" s="1" t="s">
        <v>102</v>
      </c>
      <c r="BS855" s="1" t="s">
        <v>17113</v>
      </c>
      <c r="BT855" s="1" t="str">
        <f>HYPERLINK("https%3A%2F%2Fwww.webofscience.com%2Fwos%2Fwoscc%2Ffull-record%2FWOS:000980968200001","View Full Record in Web of Science")</f>
        <v>View Full Record in Web of Science</v>
      </c>
    </row>
    <row r="856" ht="12.75" customHeight="1">
      <c r="A856" s="1" t="s">
        <v>132</v>
      </c>
      <c r="B856" s="1" t="s">
        <v>17114</v>
      </c>
      <c r="C856" s="1" t="s">
        <v>74</v>
      </c>
      <c r="D856" s="1" t="s">
        <v>74</v>
      </c>
      <c r="E856" s="1" t="s">
        <v>74</v>
      </c>
      <c r="F856" s="1" t="s">
        <v>17115</v>
      </c>
      <c r="G856" s="1" t="s">
        <v>74</v>
      </c>
      <c r="H856" s="1" t="s">
        <v>74</v>
      </c>
      <c r="I856" s="1" t="s">
        <v>17116</v>
      </c>
      <c r="J856" s="1" t="s">
        <v>8412</v>
      </c>
      <c r="K856" s="1" t="s">
        <v>74</v>
      </c>
      <c r="L856" s="1" t="s">
        <v>74</v>
      </c>
      <c r="M856" s="1" t="s">
        <v>80</v>
      </c>
      <c r="N856" s="1" t="s">
        <v>136</v>
      </c>
      <c r="O856" s="1" t="s">
        <v>74</v>
      </c>
      <c r="P856" s="1" t="s">
        <v>74</v>
      </c>
      <c r="Q856" s="1" t="s">
        <v>74</v>
      </c>
      <c r="R856" s="1" t="s">
        <v>74</v>
      </c>
      <c r="S856" s="1" t="s">
        <v>74</v>
      </c>
      <c r="T856" s="1" t="s">
        <v>17117</v>
      </c>
      <c r="U856" s="1" t="s">
        <v>74</v>
      </c>
      <c r="V856" s="1" t="s">
        <v>17118</v>
      </c>
      <c r="W856" s="1" t="s">
        <v>17119</v>
      </c>
      <c r="X856" s="1" t="s">
        <v>74</v>
      </c>
      <c r="Y856" s="1" t="s">
        <v>17120</v>
      </c>
      <c r="Z856" s="1" t="s">
        <v>17121</v>
      </c>
      <c r="AA856" s="1" t="s">
        <v>17122</v>
      </c>
      <c r="AB856" s="1" t="s">
        <v>17123</v>
      </c>
      <c r="AC856" s="1" t="s">
        <v>74</v>
      </c>
      <c r="AD856" s="1" t="s">
        <v>74</v>
      </c>
      <c r="AE856" s="1" t="s">
        <v>74</v>
      </c>
      <c r="AF856" s="1" t="s">
        <v>74</v>
      </c>
      <c r="AG856" s="1">
        <v>35.0</v>
      </c>
      <c r="AH856" s="1">
        <v>0.0</v>
      </c>
      <c r="AI856" s="1">
        <v>0.0</v>
      </c>
      <c r="AJ856" s="1">
        <v>5.0</v>
      </c>
      <c r="AK856" s="1">
        <v>7.0</v>
      </c>
      <c r="AL856" s="1" t="s">
        <v>8421</v>
      </c>
      <c r="AM856" s="1" t="s">
        <v>8422</v>
      </c>
      <c r="AN856" s="1" t="s">
        <v>8423</v>
      </c>
      <c r="AO856" s="1" t="s">
        <v>8424</v>
      </c>
      <c r="AP856" s="1" t="s">
        <v>74</v>
      </c>
      <c r="AQ856" s="1" t="s">
        <v>74</v>
      </c>
      <c r="AR856" s="1" t="s">
        <v>8425</v>
      </c>
      <c r="AS856" s="1" t="s">
        <v>8426</v>
      </c>
      <c r="AT856" s="1" t="s">
        <v>74</v>
      </c>
      <c r="AU856" s="1">
        <v>2024.0</v>
      </c>
      <c r="AV856" s="1">
        <v>37.0</v>
      </c>
      <c r="AW856" s="1">
        <v>2.0</v>
      </c>
      <c r="AX856" s="1" t="s">
        <v>74</v>
      </c>
      <c r="AY856" s="1" t="s">
        <v>74</v>
      </c>
      <c r="AZ856" s="1" t="s">
        <v>74</v>
      </c>
      <c r="BA856" s="1" t="s">
        <v>74</v>
      </c>
      <c r="BB856" s="1">
        <v>261.0</v>
      </c>
      <c r="BC856" s="1">
        <v>277.0</v>
      </c>
      <c r="BD856" s="1" t="s">
        <v>74</v>
      </c>
      <c r="BE856" s="1" t="s">
        <v>17124</v>
      </c>
      <c r="BF856" s="2" t="str">
        <f>HYPERLINK("http://dx.doi.org/10.15581/003.37.2.261-277","http://dx.doi.org/10.15581/003.37.2.261-277")</f>
        <v>http://dx.doi.org/10.15581/003.37.2.261-277</v>
      </c>
      <c r="BG856" s="1" t="s">
        <v>74</v>
      </c>
      <c r="BH856" s="1" t="s">
        <v>74</v>
      </c>
      <c r="BI856" s="1">
        <v>17.0</v>
      </c>
      <c r="BJ856" s="1" t="s">
        <v>2183</v>
      </c>
      <c r="BK856" s="1" t="s">
        <v>172</v>
      </c>
      <c r="BL856" s="1" t="s">
        <v>2183</v>
      </c>
      <c r="BM856" s="1" t="s">
        <v>8428</v>
      </c>
      <c r="BN856" s="1" t="s">
        <v>74</v>
      </c>
      <c r="BO856" s="1" t="s">
        <v>174</v>
      </c>
      <c r="BP856" s="1" t="s">
        <v>74</v>
      </c>
      <c r="BQ856" s="1" t="s">
        <v>74</v>
      </c>
      <c r="BR856" s="1" t="s">
        <v>102</v>
      </c>
      <c r="BS856" s="1" t="s">
        <v>17125</v>
      </c>
      <c r="BT856" s="1" t="str">
        <f>HYPERLINK("https%3A%2F%2Fwww.webofscience.com%2Fwos%2Fwoscc%2Ffull-record%2FWOS:001223517200017","View Full Record in Web of Science")</f>
        <v>View Full Record in Web of Science</v>
      </c>
    </row>
    <row r="857" ht="12.75" customHeight="1">
      <c r="A857" s="1" t="s">
        <v>132</v>
      </c>
      <c r="B857" s="1" t="s">
        <v>17126</v>
      </c>
      <c r="C857" s="1" t="s">
        <v>74</v>
      </c>
      <c r="D857" s="1" t="s">
        <v>74</v>
      </c>
      <c r="E857" s="1" t="s">
        <v>74</v>
      </c>
      <c r="F857" s="1" t="s">
        <v>17127</v>
      </c>
      <c r="G857" s="1" t="s">
        <v>74</v>
      </c>
      <c r="H857" s="1" t="s">
        <v>74</v>
      </c>
      <c r="I857" s="1" t="s">
        <v>17128</v>
      </c>
      <c r="J857" s="1" t="s">
        <v>17129</v>
      </c>
      <c r="K857" s="1" t="s">
        <v>74</v>
      </c>
      <c r="L857" s="1" t="s">
        <v>74</v>
      </c>
      <c r="M857" s="1" t="s">
        <v>80</v>
      </c>
      <c r="N857" s="1" t="s">
        <v>10638</v>
      </c>
      <c r="O857" s="1" t="s">
        <v>74</v>
      </c>
      <c r="P857" s="1" t="s">
        <v>74</v>
      </c>
      <c r="Q857" s="1" t="s">
        <v>74</v>
      </c>
      <c r="R857" s="1" t="s">
        <v>74</v>
      </c>
      <c r="S857" s="1" t="s">
        <v>74</v>
      </c>
      <c r="T857" s="1" t="s">
        <v>17130</v>
      </c>
      <c r="U857" s="1" t="s">
        <v>17131</v>
      </c>
      <c r="V857" s="1" t="s">
        <v>17132</v>
      </c>
      <c r="W857" s="1" t="s">
        <v>17133</v>
      </c>
      <c r="X857" s="1" t="s">
        <v>17134</v>
      </c>
      <c r="Y857" s="1" t="s">
        <v>17135</v>
      </c>
      <c r="Z857" s="1" t="s">
        <v>17136</v>
      </c>
      <c r="AA857" s="1" t="s">
        <v>74</v>
      </c>
      <c r="AB857" s="1" t="s">
        <v>74</v>
      </c>
      <c r="AC857" s="1" t="s">
        <v>17137</v>
      </c>
      <c r="AD857" s="1" t="s">
        <v>17137</v>
      </c>
      <c r="AE857" s="1" t="s">
        <v>17138</v>
      </c>
      <c r="AF857" s="1" t="s">
        <v>74</v>
      </c>
      <c r="AG857" s="1">
        <v>100.0</v>
      </c>
      <c r="AH857" s="1">
        <v>0.0</v>
      </c>
      <c r="AI857" s="1">
        <v>0.0</v>
      </c>
      <c r="AJ857" s="1">
        <v>0.0</v>
      </c>
      <c r="AK857" s="1">
        <v>0.0</v>
      </c>
      <c r="AL857" s="1" t="s">
        <v>595</v>
      </c>
      <c r="AM857" s="1" t="s">
        <v>467</v>
      </c>
      <c r="AN857" s="1" t="s">
        <v>596</v>
      </c>
      <c r="AO857" s="1" t="s">
        <v>17139</v>
      </c>
      <c r="AP857" s="1" t="s">
        <v>17140</v>
      </c>
      <c r="AQ857" s="1" t="s">
        <v>74</v>
      </c>
      <c r="AR857" s="1" t="s">
        <v>17141</v>
      </c>
      <c r="AS857" s="1" t="s">
        <v>17142</v>
      </c>
      <c r="AT857" s="1" t="s">
        <v>17143</v>
      </c>
      <c r="AU857" s="1">
        <v>2025.0</v>
      </c>
      <c r="AV857" s="1" t="s">
        <v>74</v>
      </c>
      <c r="AW857" s="1" t="s">
        <v>74</v>
      </c>
      <c r="AX857" s="1" t="s">
        <v>74</v>
      </c>
      <c r="AY857" s="1" t="s">
        <v>74</v>
      </c>
      <c r="AZ857" s="1" t="s">
        <v>74</v>
      </c>
      <c r="BA857" s="1" t="s">
        <v>74</v>
      </c>
      <c r="BB857" s="1" t="s">
        <v>74</v>
      </c>
      <c r="BC857" s="1" t="s">
        <v>74</v>
      </c>
      <c r="BD857" s="1" t="s">
        <v>74</v>
      </c>
      <c r="BE857" s="1" t="s">
        <v>17144</v>
      </c>
      <c r="BF857" s="2" t="str">
        <f>HYPERLINK("http://dx.doi.org/10.1080/19349637.2025.2454427","http://dx.doi.org/10.1080/19349637.2025.2454427")</f>
        <v>http://dx.doi.org/10.1080/19349637.2025.2454427</v>
      </c>
      <c r="BG857" s="1" t="s">
        <v>74</v>
      </c>
      <c r="BH857" s="1" t="s">
        <v>3808</v>
      </c>
      <c r="BI857" s="1">
        <v>29.0</v>
      </c>
      <c r="BJ857" s="1" t="s">
        <v>8319</v>
      </c>
      <c r="BK857" s="1" t="s">
        <v>172</v>
      </c>
      <c r="BL857" s="1" t="s">
        <v>3261</v>
      </c>
      <c r="BM857" s="1" t="s">
        <v>17145</v>
      </c>
      <c r="BN857" s="1" t="s">
        <v>74</v>
      </c>
      <c r="BO857" s="1" t="s">
        <v>74</v>
      </c>
      <c r="BP857" s="1" t="s">
        <v>74</v>
      </c>
      <c r="BQ857" s="1" t="s">
        <v>74</v>
      </c>
      <c r="BR857" s="1" t="s">
        <v>102</v>
      </c>
      <c r="BS857" s="1" t="s">
        <v>17146</v>
      </c>
      <c r="BT857" s="1" t="str">
        <f>HYPERLINK("https%3A%2F%2Fwww.webofscience.com%2Fwos%2Fwoscc%2Ffull-record%2FWOS:001404816900001","View Full Record in Web of Science")</f>
        <v>View Full Record in Web of Science</v>
      </c>
    </row>
    <row r="858" ht="12.75" customHeight="1">
      <c r="A858" s="1" t="s">
        <v>132</v>
      </c>
      <c r="B858" s="1" t="s">
        <v>17147</v>
      </c>
      <c r="C858" s="1" t="s">
        <v>74</v>
      </c>
      <c r="D858" s="1" t="s">
        <v>74</v>
      </c>
      <c r="E858" s="1" t="s">
        <v>74</v>
      </c>
      <c r="F858" s="1" t="s">
        <v>17148</v>
      </c>
      <c r="G858" s="1" t="s">
        <v>74</v>
      </c>
      <c r="H858" s="1" t="s">
        <v>74</v>
      </c>
      <c r="I858" s="1" t="s">
        <v>17149</v>
      </c>
      <c r="J858" s="1" t="s">
        <v>8174</v>
      </c>
      <c r="K858" s="1" t="s">
        <v>74</v>
      </c>
      <c r="L858" s="1" t="s">
        <v>74</v>
      </c>
      <c r="M858" s="1" t="s">
        <v>80</v>
      </c>
      <c r="N858" s="1" t="s">
        <v>136</v>
      </c>
      <c r="O858" s="1" t="s">
        <v>74</v>
      </c>
      <c r="P858" s="1" t="s">
        <v>74</v>
      </c>
      <c r="Q858" s="1" t="s">
        <v>74</v>
      </c>
      <c r="R858" s="1" t="s">
        <v>74</v>
      </c>
      <c r="S858" s="1" t="s">
        <v>74</v>
      </c>
      <c r="T858" s="1" t="s">
        <v>17150</v>
      </c>
      <c r="U858" s="1" t="s">
        <v>17151</v>
      </c>
      <c r="V858" s="1" t="s">
        <v>17152</v>
      </c>
      <c r="W858" s="1" t="s">
        <v>17153</v>
      </c>
      <c r="X858" s="1" t="s">
        <v>17154</v>
      </c>
      <c r="Y858" s="1" t="s">
        <v>17155</v>
      </c>
      <c r="Z858" s="1" t="s">
        <v>17156</v>
      </c>
      <c r="AA858" s="1" t="s">
        <v>17157</v>
      </c>
      <c r="AB858" s="1" t="s">
        <v>74</v>
      </c>
      <c r="AC858" s="1" t="s">
        <v>74</v>
      </c>
      <c r="AD858" s="1" t="s">
        <v>74</v>
      </c>
      <c r="AE858" s="1" t="s">
        <v>74</v>
      </c>
      <c r="AF858" s="1" t="s">
        <v>74</v>
      </c>
      <c r="AG858" s="1">
        <v>69.0</v>
      </c>
      <c r="AH858" s="1">
        <v>31.0</v>
      </c>
      <c r="AI858" s="1">
        <v>31.0</v>
      </c>
      <c r="AJ858" s="1">
        <v>87.0</v>
      </c>
      <c r="AK858" s="1">
        <v>137.0</v>
      </c>
      <c r="AL858" s="1" t="s">
        <v>321</v>
      </c>
      <c r="AM858" s="1" t="s">
        <v>322</v>
      </c>
      <c r="AN858" s="1" t="s">
        <v>323</v>
      </c>
      <c r="AO858" s="1" t="s">
        <v>8184</v>
      </c>
      <c r="AP858" s="1" t="s">
        <v>8185</v>
      </c>
      <c r="AQ858" s="1" t="s">
        <v>74</v>
      </c>
      <c r="AR858" s="1" t="s">
        <v>8186</v>
      </c>
      <c r="AS858" s="1" t="s">
        <v>8187</v>
      </c>
      <c r="AT858" s="1" t="s">
        <v>1027</v>
      </c>
      <c r="AU858" s="1">
        <v>2024.0</v>
      </c>
      <c r="AV858" s="1">
        <v>131.0</v>
      </c>
      <c r="AW858" s="1" t="s">
        <v>74</v>
      </c>
      <c r="AX858" s="1" t="s">
        <v>74</v>
      </c>
      <c r="AY858" s="1" t="s">
        <v>74</v>
      </c>
      <c r="AZ858" s="1" t="s">
        <v>74</v>
      </c>
      <c r="BA858" s="1" t="s">
        <v>74</v>
      </c>
      <c r="BB858" s="1" t="s">
        <v>74</v>
      </c>
      <c r="BC858" s="1" t="s">
        <v>74</v>
      </c>
      <c r="BD858" s="1">
        <v>107403.0</v>
      </c>
      <c r="BE858" s="1" t="s">
        <v>17158</v>
      </c>
      <c r="BF858" s="2" t="str">
        <f>HYPERLINK("http://dx.doi.org/10.1016/j.eneco.2024.107403","http://dx.doi.org/10.1016/j.eneco.2024.107403")</f>
        <v>http://dx.doi.org/10.1016/j.eneco.2024.107403</v>
      </c>
      <c r="BG858" s="1" t="s">
        <v>74</v>
      </c>
      <c r="BH858" s="1" t="s">
        <v>1001</v>
      </c>
      <c r="BI858" s="1">
        <v>8.0</v>
      </c>
      <c r="BJ858" s="1" t="s">
        <v>202</v>
      </c>
      <c r="BK858" s="1" t="s">
        <v>203</v>
      </c>
      <c r="BL858" s="1" t="s">
        <v>204</v>
      </c>
      <c r="BM858" s="1" t="s">
        <v>17159</v>
      </c>
      <c r="BN858" s="1" t="s">
        <v>74</v>
      </c>
      <c r="BO858" s="1" t="s">
        <v>74</v>
      </c>
      <c r="BP858" s="1" t="s">
        <v>74</v>
      </c>
      <c r="BQ858" s="1" t="s">
        <v>74</v>
      </c>
      <c r="BR858" s="1" t="s">
        <v>102</v>
      </c>
      <c r="BS858" s="1" t="s">
        <v>17160</v>
      </c>
      <c r="BT858" s="1" t="str">
        <f>HYPERLINK("https%3A%2F%2Fwww.webofscience.com%2Fwos%2Fwoscc%2Ffull-record%2FWOS:001187789800001","View Full Record in Web of Science")</f>
        <v>View Full Record in Web of Science</v>
      </c>
    </row>
    <row r="859" ht="12.75" customHeight="1">
      <c r="A859" s="1" t="s">
        <v>132</v>
      </c>
      <c r="B859" s="1" t="s">
        <v>17161</v>
      </c>
      <c r="C859" s="1" t="s">
        <v>74</v>
      </c>
      <c r="D859" s="1" t="s">
        <v>74</v>
      </c>
      <c r="E859" s="1" t="s">
        <v>74</v>
      </c>
      <c r="F859" s="1" t="s">
        <v>17162</v>
      </c>
      <c r="G859" s="1" t="s">
        <v>74</v>
      </c>
      <c r="H859" s="1" t="s">
        <v>74</v>
      </c>
      <c r="I859" s="1" t="s">
        <v>17163</v>
      </c>
      <c r="J859" s="1" t="s">
        <v>3246</v>
      </c>
      <c r="K859" s="1" t="s">
        <v>74</v>
      </c>
      <c r="L859" s="1" t="s">
        <v>74</v>
      </c>
      <c r="M859" s="1" t="s">
        <v>80</v>
      </c>
      <c r="N859" s="1" t="s">
        <v>1010</v>
      </c>
      <c r="O859" s="1" t="s">
        <v>74</v>
      </c>
      <c r="P859" s="1" t="s">
        <v>74</v>
      </c>
      <c r="Q859" s="1" t="s">
        <v>74</v>
      </c>
      <c r="R859" s="1" t="s">
        <v>74</v>
      </c>
      <c r="S859" s="1" t="s">
        <v>74</v>
      </c>
      <c r="T859" s="1" t="s">
        <v>17164</v>
      </c>
      <c r="U859" s="1" t="s">
        <v>74</v>
      </c>
      <c r="V859" s="1" t="s">
        <v>17165</v>
      </c>
      <c r="W859" s="1" t="s">
        <v>17166</v>
      </c>
      <c r="X859" s="1" t="s">
        <v>17167</v>
      </c>
      <c r="Y859" s="1" t="s">
        <v>17168</v>
      </c>
      <c r="Z859" s="1" t="s">
        <v>17169</v>
      </c>
      <c r="AA859" s="1" t="s">
        <v>17170</v>
      </c>
      <c r="AB859" s="1" t="s">
        <v>17171</v>
      </c>
      <c r="AC859" s="1" t="s">
        <v>74</v>
      </c>
      <c r="AD859" s="1" t="s">
        <v>74</v>
      </c>
      <c r="AE859" s="1" t="s">
        <v>17172</v>
      </c>
      <c r="AF859" s="1" t="s">
        <v>74</v>
      </c>
      <c r="AG859" s="1">
        <v>40.0</v>
      </c>
      <c r="AH859" s="1">
        <v>0.0</v>
      </c>
      <c r="AI859" s="1">
        <v>0.0</v>
      </c>
      <c r="AJ859" s="1">
        <v>66.0</v>
      </c>
      <c r="AK859" s="1">
        <v>66.0</v>
      </c>
      <c r="AL859" s="1" t="s">
        <v>321</v>
      </c>
      <c r="AM859" s="1" t="s">
        <v>322</v>
      </c>
      <c r="AN859" s="1" t="s">
        <v>323</v>
      </c>
      <c r="AO859" s="1" t="s">
        <v>3255</v>
      </c>
      <c r="AP859" s="1" t="s">
        <v>3256</v>
      </c>
      <c r="AQ859" s="1" t="s">
        <v>74</v>
      </c>
      <c r="AR859" s="1" t="s">
        <v>3257</v>
      </c>
      <c r="AS859" s="1" t="s">
        <v>3258</v>
      </c>
      <c r="AT859" s="1" t="s">
        <v>2469</v>
      </c>
      <c r="AU859" s="1">
        <v>2024.0</v>
      </c>
      <c r="AV859" s="1">
        <v>59.0</v>
      </c>
      <c r="AW859" s="1" t="s">
        <v>74</v>
      </c>
      <c r="AX859" s="1" t="s">
        <v>74</v>
      </c>
      <c r="AY859" s="1" t="s">
        <v>74</v>
      </c>
      <c r="AZ859" s="1" t="s">
        <v>74</v>
      </c>
      <c r="BA859" s="1" t="s">
        <v>74</v>
      </c>
      <c r="BB859" s="1" t="s">
        <v>74</v>
      </c>
      <c r="BC859" s="1" t="s">
        <v>74</v>
      </c>
      <c r="BD859" s="1">
        <v>101872.0</v>
      </c>
      <c r="BE859" s="1" t="s">
        <v>17173</v>
      </c>
      <c r="BF859" s="2" t="str">
        <f>HYPERLINK("http://dx.doi.org/10.1016/j.copsyc.2024.101872","http://dx.doi.org/10.1016/j.copsyc.2024.101872")</f>
        <v>http://dx.doi.org/10.1016/j.copsyc.2024.101872</v>
      </c>
      <c r="BG859" s="1" t="s">
        <v>74</v>
      </c>
      <c r="BH859" s="1" t="s">
        <v>3349</v>
      </c>
      <c r="BI859" s="1">
        <v>8.0</v>
      </c>
      <c r="BJ859" s="1" t="s">
        <v>3260</v>
      </c>
      <c r="BK859" s="1" t="s">
        <v>203</v>
      </c>
      <c r="BL859" s="1" t="s">
        <v>3261</v>
      </c>
      <c r="BM859" s="1" t="s">
        <v>17174</v>
      </c>
      <c r="BN859" s="1">
        <v>3.9197407E7</v>
      </c>
      <c r="BO859" s="1" t="s">
        <v>74</v>
      </c>
      <c r="BP859" s="1" t="s">
        <v>74</v>
      </c>
      <c r="BQ859" s="1" t="s">
        <v>74</v>
      </c>
      <c r="BR859" s="1" t="s">
        <v>102</v>
      </c>
      <c r="BS859" s="1" t="s">
        <v>17175</v>
      </c>
      <c r="BT859" s="1" t="str">
        <f>HYPERLINK("https%3A%2F%2Fwww.webofscience.com%2Fwos%2Fwoscc%2Ffull-record%2FWOS:001303163100001","View Full Record in Web of Science")</f>
        <v>View Full Record in Web of Science</v>
      </c>
    </row>
    <row r="860" ht="12.75" customHeight="1">
      <c r="A860" s="1" t="s">
        <v>132</v>
      </c>
      <c r="B860" s="1" t="s">
        <v>17176</v>
      </c>
      <c r="C860" s="1" t="s">
        <v>74</v>
      </c>
      <c r="D860" s="1" t="s">
        <v>74</v>
      </c>
      <c r="E860" s="1" t="s">
        <v>74</v>
      </c>
      <c r="F860" s="1" t="s">
        <v>17177</v>
      </c>
      <c r="G860" s="1" t="s">
        <v>74</v>
      </c>
      <c r="H860" s="1" t="s">
        <v>74</v>
      </c>
      <c r="I860" s="1" t="s">
        <v>17178</v>
      </c>
      <c r="J860" s="1" t="s">
        <v>17179</v>
      </c>
      <c r="K860" s="1" t="s">
        <v>74</v>
      </c>
      <c r="L860" s="1" t="s">
        <v>74</v>
      </c>
      <c r="M860" s="1" t="s">
        <v>80</v>
      </c>
      <c r="N860" s="1" t="s">
        <v>1563</v>
      </c>
      <c r="O860" s="1" t="s">
        <v>74</v>
      </c>
      <c r="P860" s="1" t="s">
        <v>74</v>
      </c>
      <c r="Q860" s="1" t="s">
        <v>74</v>
      </c>
      <c r="R860" s="1" t="s">
        <v>74</v>
      </c>
      <c r="S860" s="1" t="s">
        <v>74</v>
      </c>
      <c r="T860" s="1" t="s">
        <v>17180</v>
      </c>
      <c r="U860" s="1" t="s">
        <v>17181</v>
      </c>
      <c r="V860" s="1" t="s">
        <v>17182</v>
      </c>
      <c r="W860" s="1" t="s">
        <v>17183</v>
      </c>
      <c r="X860" s="1" t="s">
        <v>17184</v>
      </c>
      <c r="Y860" s="1" t="s">
        <v>17185</v>
      </c>
      <c r="Z860" s="1" t="s">
        <v>17186</v>
      </c>
      <c r="AA860" s="1" t="s">
        <v>17187</v>
      </c>
      <c r="AB860" s="1" t="s">
        <v>17188</v>
      </c>
      <c r="AC860" s="1" t="s">
        <v>74</v>
      </c>
      <c r="AD860" s="1" t="s">
        <v>74</v>
      </c>
      <c r="AE860" s="1" t="s">
        <v>74</v>
      </c>
      <c r="AF860" s="1" t="s">
        <v>74</v>
      </c>
      <c r="AG860" s="1">
        <v>20.0</v>
      </c>
      <c r="AH860" s="1">
        <v>37.0</v>
      </c>
      <c r="AI860" s="1">
        <v>38.0</v>
      </c>
      <c r="AJ860" s="1">
        <v>1.0</v>
      </c>
      <c r="AK860" s="1">
        <v>18.0</v>
      </c>
      <c r="AL860" s="1" t="s">
        <v>192</v>
      </c>
      <c r="AM860" s="1" t="s">
        <v>193</v>
      </c>
      <c r="AN860" s="1" t="s">
        <v>194</v>
      </c>
      <c r="AO860" s="1" t="s">
        <v>17189</v>
      </c>
      <c r="AP860" s="1" t="s">
        <v>17190</v>
      </c>
      <c r="AQ860" s="1" t="s">
        <v>74</v>
      </c>
      <c r="AR860" s="1" t="s">
        <v>17191</v>
      </c>
      <c r="AS860" s="1" t="s">
        <v>17192</v>
      </c>
      <c r="AT860" s="1" t="s">
        <v>1301</v>
      </c>
      <c r="AU860" s="1">
        <v>2022.0</v>
      </c>
      <c r="AV860" s="1">
        <v>30.0</v>
      </c>
      <c r="AW860" s="1">
        <v>2.0</v>
      </c>
      <c r="AX860" s="1" t="s">
        <v>74</v>
      </c>
      <c r="AY860" s="1" t="s">
        <v>74</v>
      </c>
      <c r="AZ860" s="1" t="s">
        <v>74</v>
      </c>
      <c r="BA860" s="1" t="s">
        <v>74</v>
      </c>
      <c r="BB860" s="1">
        <v>361.0</v>
      </c>
      <c r="BC860" s="1">
        <v>364.0</v>
      </c>
      <c r="BD860" s="1" t="s">
        <v>74</v>
      </c>
      <c r="BE860" s="1" t="s">
        <v>17193</v>
      </c>
      <c r="BF860" s="2" t="str">
        <f>HYPERLINK("http://dx.doi.org/10.1007/s00167-021-06741-2","http://dx.doi.org/10.1007/s00167-021-06741-2")</f>
        <v>http://dx.doi.org/10.1007/s00167-021-06741-2</v>
      </c>
      <c r="BG860" s="1" t="s">
        <v>74</v>
      </c>
      <c r="BH860" s="1" t="s">
        <v>781</v>
      </c>
      <c r="BI860" s="1">
        <v>4.0</v>
      </c>
      <c r="BJ860" s="1" t="s">
        <v>17194</v>
      </c>
      <c r="BK860" s="1" t="s">
        <v>149</v>
      </c>
      <c r="BL860" s="1" t="s">
        <v>17194</v>
      </c>
      <c r="BM860" s="1" t="s">
        <v>17195</v>
      </c>
      <c r="BN860" s="1">
        <v>3.4528133E7</v>
      </c>
      <c r="BO860" s="1" t="s">
        <v>8251</v>
      </c>
      <c r="BP860" s="1" t="s">
        <v>74</v>
      </c>
      <c r="BQ860" s="1" t="s">
        <v>74</v>
      </c>
      <c r="BR860" s="1" t="s">
        <v>102</v>
      </c>
      <c r="BS860" s="1" t="s">
        <v>17196</v>
      </c>
      <c r="BT860" s="1" t="str">
        <f>HYPERLINK("https%3A%2F%2Fwww.webofscience.com%2Fwos%2Fwoscc%2Ffull-record%2FWOS:000696125600001","View Full Record in Web of Science")</f>
        <v>View Full Record in Web of Science</v>
      </c>
    </row>
    <row r="861" ht="12.75" customHeight="1">
      <c r="A861" s="1" t="s">
        <v>132</v>
      </c>
      <c r="B861" s="1" t="s">
        <v>17197</v>
      </c>
      <c r="C861" s="1" t="s">
        <v>74</v>
      </c>
      <c r="D861" s="1" t="s">
        <v>74</v>
      </c>
      <c r="E861" s="1" t="s">
        <v>74</v>
      </c>
      <c r="F861" s="1" t="s">
        <v>17198</v>
      </c>
      <c r="G861" s="1" t="s">
        <v>74</v>
      </c>
      <c r="H861" s="1" t="s">
        <v>74</v>
      </c>
      <c r="I861" s="1" t="s">
        <v>17199</v>
      </c>
      <c r="J861" s="1" t="s">
        <v>17200</v>
      </c>
      <c r="K861" s="1" t="s">
        <v>74</v>
      </c>
      <c r="L861" s="1" t="s">
        <v>74</v>
      </c>
      <c r="M861" s="1" t="s">
        <v>80</v>
      </c>
      <c r="N861" s="1" t="s">
        <v>1010</v>
      </c>
      <c r="O861" s="1" t="s">
        <v>74</v>
      </c>
      <c r="P861" s="1" t="s">
        <v>74</v>
      </c>
      <c r="Q861" s="1" t="s">
        <v>74</v>
      </c>
      <c r="R861" s="1" t="s">
        <v>74</v>
      </c>
      <c r="S861" s="1" t="s">
        <v>74</v>
      </c>
      <c r="T861" s="1" t="s">
        <v>17201</v>
      </c>
      <c r="U861" s="1" t="s">
        <v>74</v>
      </c>
      <c r="V861" s="1" t="s">
        <v>17202</v>
      </c>
      <c r="W861" s="1" t="s">
        <v>17203</v>
      </c>
      <c r="X861" s="1" t="s">
        <v>17204</v>
      </c>
      <c r="Y861" s="1" t="s">
        <v>17205</v>
      </c>
      <c r="Z861" s="1" t="s">
        <v>17206</v>
      </c>
      <c r="AA861" s="1" t="s">
        <v>17207</v>
      </c>
      <c r="AB861" s="1" t="s">
        <v>17208</v>
      </c>
      <c r="AC861" s="1" t="s">
        <v>74</v>
      </c>
      <c r="AD861" s="1" t="s">
        <v>74</v>
      </c>
      <c r="AE861" s="1" t="s">
        <v>74</v>
      </c>
      <c r="AF861" s="1" t="s">
        <v>74</v>
      </c>
      <c r="AG861" s="1">
        <v>34.0</v>
      </c>
      <c r="AH861" s="1">
        <v>4.0</v>
      </c>
      <c r="AI861" s="1">
        <v>4.0</v>
      </c>
      <c r="AJ861" s="1">
        <v>3.0</v>
      </c>
      <c r="AK861" s="1">
        <v>20.0</v>
      </c>
      <c r="AL861" s="1" t="s">
        <v>1357</v>
      </c>
      <c r="AM861" s="1" t="s">
        <v>1358</v>
      </c>
      <c r="AN861" s="1" t="s">
        <v>1359</v>
      </c>
      <c r="AO861" s="1" t="s">
        <v>17209</v>
      </c>
      <c r="AP861" s="1" t="s">
        <v>17210</v>
      </c>
      <c r="AQ861" s="1" t="s">
        <v>74</v>
      </c>
      <c r="AR861" s="1" t="s">
        <v>17211</v>
      </c>
      <c r="AS861" s="1" t="s">
        <v>17212</v>
      </c>
      <c r="AT861" s="1" t="s">
        <v>1027</v>
      </c>
      <c r="AU861" s="1">
        <v>2022.0</v>
      </c>
      <c r="AV861" s="1">
        <v>66.0</v>
      </c>
      <c r="AW861" s="1">
        <v>2.0</v>
      </c>
      <c r="AX861" s="1" t="s">
        <v>74</v>
      </c>
      <c r="AY861" s="1" t="s">
        <v>74</v>
      </c>
      <c r="AZ861" s="1" t="s">
        <v>74</v>
      </c>
      <c r="BA861" s="1" t="s">
        <v>74</v>
      </c>
      <c r="BB861" s="1">
        <v>225.0</v>
      </c>
      <c r="BC861" s="1">
        <v>232.0</v>
      </c>
      <c r="BD861" s="1" t="s">
        <v>74</v>
      </c>
      <c r="BE861" s="1" t="s">
        <v>17213</v>
      </c>
      <c r="BF861" s="2" t="str">
        <f>HYPERLINK("http://dx.doi.org/10.1111/1754-9485.13379","http://dx.doi.org/10.1111/1754-9485.13379")</f>
        <v>http://dx.doi.org/10.1111/1754-9485.13379</v>
      </c>
      <c r="BG861" s="1" t="s">
        <v>74</v>
      </c>
      <c r="BH861" s="1" t="s">
        <v>74</v>
      </c>
      <c r="BI861" s="1">
        <v>8.0</v>
      </c>
      <c r="BJ861" s="1" t="s">
        <v>656</v>
      </c>
      <c r="BK861" s="1" t="s">
        <v>149</v>
      </c>
      <c r="BL861" s="1" t="s">
        <v>656</v>
      </c>
      <c r="BM861" s="1" t="s">
        <v>17214</v>
      </c>
      <c r="BN861" s="1">
        <v>3.5243782E7</v>
      </c>
      <c r="BO861" s="1" t="s">
        <v>74</v>
      </c>
      <c r="BP861" s="1" t="s">
        <v>74</v>
      </c>
      <c r="BQ861" s="1" t="s">
        <v>74</v>
      </c>
      <c r="BR861" s="1" t="s">
        <v>102</v>
      </c>
      <c r="BS861" s="1" t="s">
        <v>17215</v>
      </c>
      <c r="BT861" s="1" t="str">
        <f>HYPERLINK("https%3A%2F%2Fwww.webofscience.com%2Fwos%2Fwoscc%2Ffull-record%2FWOS:000763708500009","View Full Record in Web of Science")</f>
        <v>View Full Record in Web of Science</v>
      </c>
    </row>
    <row r="862" ht="12.75" customHeight="1">
      <c r="A862" s="1" t="s">
        <v>132</v>
      </c>
      <c r="B862" s="1" t="s">
        <v>17216</v>
      </c>
      <c r="C862" s="1" t="s">
        <v>74</v>
      </c>
      <c r="D862" s="1" t="s">
        <v>74</v>
      </c>
      <c r="E862" s="1" t="s">
        <v>74</v>
      </c>
      <c r="F862" s="1" t="s">
        <v>17217</v>
      </c>
      <c r="G862" s="1" t="s">
        <v>74</v>
      </c>
      <c r="H862" s="1" t="s">
        <v>74</v>
      </c>
      <c r="I862" s="1" t="s">
        <v>17218</v>
      </c>
      <c r="J862" s="1" t="s">
        <v>8454</v>
      </c>
      <c r="K862" s="1" t="s">
        <v>74</v>
      </c>
      <c r="L862" s="1" t="s">
        <v>74</v>
      </c>
      <c r="M862" s="1" t="s">
        <v>80</v>
      </c>
      <c r="N862" s="1" t="s">
        <v>136</v>
      </c>
      <c r="O862" s="1" t="s">
        <v>74</v>
      </c>
      <c r="P862" s="1" t="s">
        <v>74</v>
      </c>
      <c r="Q862" s="1" t="s">
        <v>74</v>
      </c>
      <c r="R862" s="1" t="s">
        <v>74</v>
      </c>
      <c r="S862" s="1" t="s">
        <v>74</v>
      </c>
      <c r="T862" s="1" t="s">
        <v>17219</v>
      </c>
      <c r="U862" s="1" t="s">
        <v>17220</v>
      </c>
      <c r="V862" s="1" t="s">
        <v>17221</v>
      </c>
      <c r="W862" s="1" t="s">
        <v>17222</v>
      </c>
      <c r="X862" s="1" t="s">
        <v>17223</v>
      </c>
      <c r="Y862" s="1" t="s">
        <v>17224</v>
      </c>
      <c r="Z862" s="1" t="s">
        <v>17225</v>
      </c>
      <c r="AA862" s="1" t="s">
        <v>74</v>
      </c>
      <c r="AB862" s="1" t="s">
        <v>74</v>
      </c>
      <c r="AC862" s="1" t="s">
        <v>74</v>
      </c>
      <c r="AD862" s="1" t="s">
        <v>74</v>
      </c>
      <c r="AE862" s="1" t="s">
        <v>74</v>
      </c>
      <c r="AF862" s="1" t="s">
        <v>74</v>
      </c>
      <c r="AG862" s="1">
        <v>37.0</v>
      </c>
      <c r="AH862" s="1">
        <v>15.0</v>
      </c>
      <c r="AI862" s="1">
        <v>15.0</v>
      </c>
      <c r="AJ862" s="1">
        <v>11.0</v>
      </c>
      <c r="AK862" s="1">
        <v>21.0</v>
      </c>
      <c r="AL862" s="1" t="s">
        <v>3800</v>
      </c>
      <c r="AM862" s="1" t="s">
        <v>349</v>
      </c>
      <c r="AN862" s="1" t="s">
        <v>3801</v>
      </c>
      <c r="AO862" s="1" t="s">
        <v>74</v>
      </c>
      <c r="AP862" s="1" t="s">
        <v>8463</v>
      </c>
      <c r="AQ862" s="1" t="s">
        <v>74</v>
      </c>
      <c r="AR862" s="1" t="s">
        <v>8464</v>
      </c>
      <c r="AS862" s="1" t="s">
        <v>8465</v>
      </c>
      <c r="AT862" s="1" t="s">
        <v>17226</v>
      </c>
      <c r="AU862" s="1">
        <v>2024.0</v>
      </c>
      <c r="AV862" s="1">
        <v>16.0</v>
      </c>
      <c r="AW862" s="1">
        <v>1.0</v>
      </c>
      <c r="AX862" s="1" t="s">
        <v>74</v>
      </c>
      <c r="AY862" s="1" t="s">
        <v>74</v>
      </c>
      <c r="AZ862" s="1" t="s">
        <v>74</v>
      </c>
      <c r="BA862" s="1" t="s">
        <v>74</v>
      </c>
      <c r="BB862" s="1" t="s">
        <v>74</v>
      </c>
      <c r="BC862" s="1" t="s">
        <v>74</v>
      </c>
      <c r="BD862" s="1" t="s">
        <v>17227</v>
      </c>
      <c r="BE862" s="1" t="s">
        <v>17228</v>
      </c>
      <c r="BF862" s="2" t="str">
        <f>HYPERLINK("http://dx.doi.org/10.7759/cureus.52035","http://dx.doi.org/10.7759/cureus.52035")</f>
        <v>http://dx.doi.org/10.7759/cureus.52035</v>
      </c>
      <c r="BG862" s="1" t="s">
        <v>74</v>
      </c>
      <c r="BH862" s="1" t="s">
        <v>74</v>
      </c>
      <c r="BI862" s="1">
        <v>9.0</v>
      </c>
      <c r="BJ862" s="1" t="s">
        <v>1158</v>
      </c>
      <c r="BK862" s="1" t="s">
        <v>172</v>
      </c>
      <c r="BL862" s="1" t="s">
        <v>1159</v>
      </c>
      <c r="BM862" s="1" t="s">
        <v>17229</v>
      </c>
      <c r="BN862" s="1">
        <v>3.8344556E7</v>
      </c>
      <c r="BO862" s="1" t="s">
        <v>1161</v>
      </c>
      <c r="BP862" s="1" t="s">
        <v>74</v>
      </c>
      <c r="BQ862" s="1" t="s">
        <v>74</v>
      </c>
      <c r="BR862" s="1" t="s">
        <v>102</v>
      </c>
      <c r="BS862" s="1" t="s">
        <v>17230</v>
      </c>
      <c r="BT862" s="1" t="str">
        <f>HYPERLINK("https%3A%2F%2Fwww.webofscience.com%2Fwos%2Fwoscc%2Ffull-record%2FWOS:001153322200031","View Full Record in Web of Science")</f>
        <v>View Full Record in Web of Science</v>
      </c>
    </row>
    <row r="863" ht="12.75" customHeight="1">
      <c r="A863" s="1" t="s">
        <v>132</v>
      </c>
      <c r="B863" s="1" t="s">
        <v>17231</v>
      </c>
      <c r="C863" s="1" t="s">
        <v>74</v>
      </c>
      <c r="D863" s="1" t="s">
        <v>74</v>
      </c>
      <c r="E863" s="1" t="s">
        <v>74</v>
      </c>
      <c r="F863" s="1" t="s">
        <v>17232</v>
      </c>
      <c r="G863" s="1" t="s">
        <v>74</v>
      </c>
      <c r="H863" s="1" t="s">
        <v>74</v>
      </c>
      <c r="I863" s="1" t="s">
        <v>17233</v>
      </c>
      <c r="J863" s="1" t="s">
        <v>17234</v>
      </c>
      <c r="K863" s="1" t="s">
        <v>74</v>
      </c>
      <c r="L863" s="1" t="s">
        <v>74</v>
      </c>
      <c r="M863" s="1" t="s">
        <v>80</v>
      </c>
      <c r="N863" s="1" t="s">
        <v>136</v>
      </c>
      <c r="O863" s="1" t="s">
        <v>74</v>
      </c>
      <c r="P863" s="1" t="s">
        <v>74</v>
      </c>
      <c r="Q863" s="1" t="s">
        <v>74</v>
      </c>
      <c r="R863" s="1" t="s">
        <v>74</v>
      </c>
      <c r="S863" s="1" t="s">
        <v>74</v>
      </c>
      <c r="T863" s="1" t="s">
        <v>17235</v>
      </c>
      <c r="U863" s="1" t="s">
        <v>17236</v>
      </c>
      <c r="V863" s="1" t="s">
        <v>17237</v>
      </c>
      <c r="W863" s="1" t="s">
        <v>17238</v>
      </c>
      <c r="X863" s="1" t="s">
        <v>17239</v>
      </c>
      <c r="Y863" s="1" t="s">
        <v>17240</v>
      </c>
      <c r="Z863" s="1" t="s">
        <v>17241</v>
      </c>
      <c r="AA863" s="1" t="s">
        <v>17242</v>
      </c>
      <c r="AB863" s="1" t="s">
        <v>17243</v>
      </c>
      <c r="AC863" s="1" t="s">
        <v>74</v>
      </c>
      <c r="AD863" s="1" t="s">
        <v>74</v>
      </c>
      <c r="AE863" s="1" t="s">
        <v>74</v>
      </c>
      <c r="AF863" s="1" t="s">
        <v>74</v>
      </c>
      <c r="AG863" s="1">
        <v>101.0</v>
      </c>
      <c r="AH863" s="1">
        <v>18.0</v>
      </c>
      <c r="AI863" s="1">
        <v>21.0</v>
      </c>
      <c r="AJ863" s="1">
        <v>19.0</v>
      </c>
      <c r="AK863" s="1">
        <v>81.0</v>
      </c>
      <c r="AL863" s="1" t="s">
        <v>1970</v>
      </c>
      <c r="AM863" s="1" t="s">
        <v>1658</v>
      </c>
      <c r="AN863" s="1" t="s">
        <v>1971</v>
      </c>
      <c r="AO863" s="1" t="s">
        <v>74</v>
      </c>
      <c r="AP863" s="1" t="s">
        <v>17244</v>
      </c>
      <c r="AQ863" s="1" t="s">
        <v>74</v>
      </c>
      <c r="AR863" s="1" t="s">
        <v>17245</v>
      </c>
      <c r="AS863" s="1" t="s">
        <v>17246</v>
      </c>
      <c r="AT863" s="1" t="s">
        <v>1709</v>
      </c>
      <c r="AU863" s="1">
        <v>2021.0</v>
      </c>
      <c r="AV863" s="1">
        <v>10.0</v>
      </c>
      <c r="AW863" s="1">
        <v>3.0</v>
      </c>
      <c r="AX863" s="1" t="s">
        <v>74</v>
      </c>
      <c r="AY863" s="1" t="s">
        <v>74</v>
      </c>
      <c r="AZ863" s="1" t="s">
        <v>74</v>
      </c>
      <c r="BA863" s="1" t="s">
        <v>74</v>
      </c>
      <c r="BB863" s="1" t="s">
        <v>74</v>
      </c>
      <c r="BC863" s="1" t="s">
        <v>74</v>
      </c>
      <c r="BD863" s="1">
        <v>70.0</v>
      </c>
      <c r="BE863" s="1" t="s">
        <v>17247</v>
      </c>
      <c r="BF863" s="2" t="str">
        <f>HYPERLINK("http://dx.doi.org/10.3390/laws10030070","http://dx.doi.org/10.3390/laws10030070")</f>
        <v>http://dx.doi.org/10.3390/laws10030070</v>
      </c>
      <c r="BG863" s="1" t="s">
        <v>74</v>
      </c>
      <c r="BH863" s="1" t="s">
        <v>74</v>
      </c>
      <c r="BI863" s="1">
        <v>22.0</v>
      </c>
      <c r="BJ863" s="1" t="s">
        <v>915</v>
      </c>
      <c r="BK863" s="1" t="s">
        <v>172</v>
      </c>
      <c r="BL863" s="1" t="s">
        <v>916</v>
      </c>
      <c r="BM863" s="1" t="s">
        <v>17248</v>
      </c>
      <c r="BN863" s="1" t="s">
        <v>74</v>
      </c>
      <c r="BO863" s="1" t="s">
        <v>174</v>
      </c>
      <c r="BP863" s="1" t="s">
        <v>74</v>
      </c>
      <c r="BQ863" s="1" t="s">
        <v>74</v>
      </c>
      <c r="BR863" s="1" t="s">
        <v>102</v>
      </c>
      <c r="BS863" s="1" t="s">
        <v>17249</v>
      </c>
      <c r="BT863" s="1" t="str">
        <f>HYPERLINK("https%3A%2F%2Fwww.webofscience.com%2Fwos%2Fwoscc%2Ffull-record%2FWOS:000700708600001","View Full Record in Web of Science")</f>
        <v>View Full Record in Web of Science</v>
      </c>
    </row>
    <row r="864" ht="12.75" customHeight="1">
      <c r="A864" s="1" t="s">
        <v>132</v>
      </c>
      <c r="B864" s="1" t="s">
        <v>17250</v>
      </c>
      <c r="C864" s="1" t="s">
        <v>74</v>
      </c>
      <c r="D864" s="1" t="s">
        <v>74</v>
      </c>
      <c r="E864" s="1" t="s">
        <v>74</v>
      </c>
      <c r="F864" s="1" t="s">
        <v>17251</v>
      </c>
      <c r="G864" s="1" t="s">
        <v>74</v>
      </c>
      <c r="H864" s="1" t="s">
        <v>74</v>
      </c>
      <c r="I864" s="1" t="s">
        <v>17252</v>
      </c>
      <c r="J864" s="1" t="s">
        <v>17253</v>
      </c>
      <c r="K864" s="1" t="s">
        <v>74</v>
      </c>
      <c r="L864" s="1" t="s">
        <v>74</v>
      </c>
      <c r="M864" s="1" t="s">
        <v>80</v>
      </c>
      <c r="N864" s="1" t="s">
        <v>136</v>
      </c>
      <c r="O864" s="1" t="s">
        <v>74</v>
      </c>
      <c r="P864" s="1" t="s">
        <v>74</v>
      </c>
      <c r="Q864" s="1" t="s">
        <v>74</v>
      </c>
      <c r="R864" s="1" t="s">
        <v>74</v>
      </c>
      <c r="S864" s="1" t="s">
        <v>74</v>
      </c>
      <c r="T864" s="1" t="s">
        <v>17254</v>
      </c>
      <c r="U864" s="1" t="s">
        <v>74</v>
      </c>
      <c r="V864" s="1" t="s">
        <v>17255</v>
      </c>
      <c r="W864" s="1" t="s">
        <v>17256</v>
      </c>
      <c r="X864" s="1" t="s">
        <v>17257</v>
      </c>
      <c r="Y864" s="1" t="s">
        <v>17258</v>
      </c>
      <c r="Z864" s="1" t="s">
        <v>17259</v>
      </c>
      <c r="AA864" s="1" t="s">
        <v>17260</v>
      </c>
      <c r="AB864" s="1" t="s">
        <v>17261</v>
      </c>
      <c r="AC864" s="1" t="s">
        <v>74</v>
      </c>
      <c r="AD864" s="1" t="s">
        <v>74</v>
      </c>
      <c r="AE864" s="1" t="s">
        <v>74</v>
      </c>
      <c r="AF864" s="1" t="s">
        <v>74</v>
      </c>
      <c r="AG864" s="1">
        <v>34.0</v>
      </c>
      <c r="AH864" s="1">
        <v>0.0</v>
      </c>
      <c r="AI864" s="1">
        <v>0.0</v>
      </c>
      <c r="AJ864" s="1">
        <v>14.0</v>
      </c>
      <c r="AK864" s="1">
        <v>14.0</v>
      </c>
      <c r="AL864" s="1" t="s">
        <v>1020</v>
      </c>
      <c r="AM864" s="1" t="s">
        <v>1021</v>
      </c>
      <c r="AN864" s="1" t="s">
        <v>1022</v>
      </c>
      <c r="AO864" s="1" t="s">
        <v>17262</v>
      </c>
      <c r="AP864" s="1" t="s">
        <v>17263</v>
      </c>
      <c r="AQ864" s="1" t="s">
        <v>74</v>
      </c>
      <c r="AR864" s="1" t="s">
        <v>17264</v>
      </c>
      <c r="AS864" s="1" t="s">
        <v>17265</v>
      </c>
      <c r="AT864" s="1" t="s">
        <v>2469</v>
      </c>
      <c r="AU864" s="1">
        <v>2024.0</v>
      </c>
      <c r="AV864" s="1">
        <v>42.0</v>
      </c>
      <c r="AW864" s="1">
        <v>10.0</v>
      </c>
      <c r="AX864" s="1" t="s">
        <v>74</v>
      </c>
      <c r="AY864" s="1" t="s">
        <v>74</v>
      </c>
      <c r="AZ864" s="1" t="s">
        <v>74</v>
      </c>
      <c r="BA864" s="1" t="s">
        <v>74</v>
      </c>
      <c r="BB864" s="1">
        <v>704.0</v>
      </c>
      <c r="BC864" s="1">
        <v>711.0</v>
      </c>
      <c r="BD864" s="1" t="s">
        <v>74</v>
      </c>
      <c r="BE864" s="1" t="s">
        <v>17266</v>
      </c>
      <c r="BF864" s="2" t="str">
        <f>HYPERLINK("http://dx.doi.org/10.1097/CIN.0000000000001177","http://dx.doi.org/10.1097/CIN.0000000000001177")</f>
        <v>http://dx.doi.org/10.1097/CIN.0000000000001177</v>
      </c>
      <c r="BG864" s="1" t="s">
        <v>74</v>
      </c>
      <c r="BH864" s="1" t="s">
        <v>74</v>
      </c>
      <c r="BI864" s="1">
        <v>8.0</v>
      </c>
      <c r="BJ864" s="1" t="s">
        <v>17267</v>
      </c>
      <c r="BK864" s="1" t="s">
        <v>783</v>
      </c>
      <c r="BL864" s="1" t="s">
        <v>17268</v>
      </c>
      <c r="BM864" s="1" t="s">
        <v>17269</v>
      </c>
      <c r="BN864" s="1">
        <v>3.9152099E7</v>
      </c>
      <c r="BO864" s="1" t="s">
        <v>306</v>
      </c>
      <c r="BP864" s="1" t="s">
        <v>74</v>
      </c>
      <c r="BQ864" s="1" t="s">
        <v>74</v>
      </c>
      <c r="BR864" s="1" t="s">
        <v>102</v>
      </c>
      <c r="BS864" s="1" t="s">
        <v>17270</v>
      </c>
      <c r="BT864" s="1" t="str">
        <f>HYPERLINK("https%3A%2F%2Fwww.webofscience.com%2Fwos%2Fwoscc%2Ffull-record%2FWOS:001336270700005","View Full Record in Web of Science")</f>
        <v>View Full Record in Web of Science</v>
      </c>
    </row>
    <row r="865" ht="12.75" customHeight="1">
      <c r="A865" s="1" t="s">
        <v>72</v>
      </c>
      <c r="B865" s="1" t="s">
        <v>17271</v>
      </c>
      <c r="C865" s="1" t="s">
        <v>74</v>
      </c>
      <c r="D865" s="1" t="s">
        <v>362</v>
      </c>
      <c r="E865" s="1" t="s">
        <v>74</v>
      </c>
      <c r="F865" s="1" t="s">
        <v>17272</v>
      </c>
      <c r="G865" s="1" t="s">
        <v>74</v>
      </c>
      <c r="H865" s="1" t="s">
        <v>74</v>
      </c>
      <c r="I865" s="1" t="s">
        <v>17273</v>
      </c>
      <c r="J865" s="1" t="s">
        <v>365</v>
      </c>
      <c r="K865" s="1" t="s">
        <v>74</v>
      </c>
      <c r="L865" s="1" t="s">
        <v>74</v>
      </c>
      <c r="M865" s="1" t="s">
        <v>80</v>
      </c>
      <c r="N865" s="1" t="s">
        <v>81</v>
      </c>
      <c r="O865" s="1" t="s">
        <v>366</v>
      </c>
      <c r="P865" s="1" t="s">
        <v>367</v>
      </c>
      <c r="Q865" s="1" t="s">
        <v>368</v>
      </c>
      <c r="R865" s="1" t="s">
        <v>74</v>
      </c>
      <c r="S865" s="1" t="s">
        <v>369</v>
      </c>
      <c r="T865" s="1" t="s">
        <v>17274</v>
      </c>
      <c r="U865" s="1" t="s">
        <v>74</v>
      </c>
      <c r="V865" s="1" t="s">
        <v>17275</v>
      </c>
      <c r="W865" s="1" t="s">
        <v>17276</v>
      </c>
      <c r="X865" s="1" t="s">
        <v>17277</v>
      </c>
      <c r="Y865" s="1" t="s">
        <v>17278</v>
      </c>
      <c r="Z865" s="1" t="s">
        <v>17279</v>
      </c>
      <c r="AA865" s="1" t="s">
        <v>74</v>
      </c>
      <c r="AB865" s="1" t="s">
        <v>74</v>
      </c>
      <c r="AC865" s="1" t="s">
        <v>74</v>
      </c>
      <c r="AD865" s="1" t="s">
        <v>74</v>
      </c>
      <c r="AE865" s="1" t="s">
        <v>74</v>
      </c>
      <c r="AF865" s="1" t="s">
        <v>74</v>
      </c>
      <c r="AG865" s="1">
        <v>16.0</v>
      </c>
      <c r="AH865" s="1">
        <v>8.0</v>
      </c>
      <c r="AI865" s="1">
        <v>10.0</v>
      </c>
      <c r="AJ865" s="1">
        <v>4.0</v>
      </c>
      <c r="AK865" s="1">
        <v>52.0</v>
      </c>
      <c r="AL865" s="1" t="s">
        <v>122</v>
      </c>
      <c r="AM865" s="1" t="s">
        <v>123</v>
      </c>
      <c r="AN865" s="1" t="s">
        <v>124</v>
      </c>
      <c r="AO865" s="1" t="s">
        <v>74</v>
      </c>
      <c r="AP865" s="1" t="s">
        <v>74</v>
      </c>
      <c r="AQ865" s="1" t="s">
        <v>376</v>
      </c>
      <c r="AR865" s="1" t="s">
        <v>74</v>
      </c>
      <c r="AS865" s="1" t="s">
        <v>74</v>
      </c>
      <c r="AT865" s="1" t="s">
        <v>74</v>
      </c>
      <c r="AU865" s="1">
        <v>2019.0</v>
      </c>
      <c r="AV865" s="1" t="s">
        <v>74</v>
      </c>
      <c r="AW865" s="1" t="s">
        <v>74</v>
      </c>
      <c r="AX865" s="1" t="s">
        <v>74</v>
      </c>
      <c r="AY865" s="1" t="s">
        <v>74</v>
      </c>
      <c r="AZ865" s="1" t="s">
        <v>74</v>
      </c>
      <c r="BA865" s="1" t="s">
        <v>74</v>
      </c>
      <c r="BB865" s="1">
        <v>131.0</v>
      </c>
      <c r="BC865" s="1">
        <v>140.0</v>
      </c>
      <c r="BD865" s="1" t="s">
        <v>74</v>
      </c>
      <c r="BE865" s="1" t="s">
        <v>17280</v>
      </c>
      <c r="BF865" s="2" t="str">
        <f>HYPERLINK("http://dx.doi.org/10.34190/ECIAIR.19.043","http://dx.doi.org/10.34190/ECIAIR.19.043")</f>
        <v>http://dx.doi.org/10.34190/ECIAIR.19.043</v>
      </c>
      <c r="BG865" s="1" t="s">
        <v>74</v>
      </c>
      <c r="BH865" s="1" t="s">
        <v>74</v>
      </c>
      <c r="BI865" s="1">
        <v>10.0</v>
      </c>
      <c r="BJ865" s="1" t="s">
        <v>127</v>
      </c>
      <c r="BK865" s="1" t="s">
        <v>128</v>
      </c>
      <c r="BL865" s="1" t="s">
        <v>129</v>
      </c>
      <c r="BM865" s="1" t="s">
        <v>378</v>
      </c>
      <c r="BN865" s="1" t="s">
        <v>74</v>
      </c>
      <c r="BO865" s="1" t="s">
        <v>74</v>
      </c>
      <c r="BP865" s="1" t="s">
        <v>74</v>
      </c>
      <c r="BQ865" s="1" t="s">
        <v>74</v>
      </c>
      <c r="BR865" s="1" t="s">
        <v>102</v>
      </c>
      <c r="BS865" s="1" t="s">
        <v>17281</v>
      </c>
      <c r="BT865" s="1" t="str">
        <f>HYPERLINK("https%3A%2F%2Fwww.webofscience.com%2Fwos%2Fwoscc%2Ffull-record%2FWOS:000539633500015","View Full Record in Web of Science")</f>
        <v>View Full Record in Web of Science</v>
      </c>
    </row>
    <row r="866" ht="12.75" customHeight="1">
      <c r="A866" s="1" t="s">
        <v>132</v>
      </c>
      <c r="B866" s="1" t="s">
        <v>17282</v>
      </c>
      <c r="C866" s="1" t="s">
        <v>74</v>
      </c>
      <c r="D866" s="1" t="s">
        <v>74</v>
      </c>
      <c r="E866" s="1" t="s">
        <v>74</v>
      </c>
      <c r="F866" s="1" t="s">
        <v>17283</v>
      </c>
      <c r="G866" s="1" t="s">
        <v>74</v>
      </c>
      <c r="H866" s="1" t="s">
        <v>74</v>
      </c>
      <c r="I866" s="1" t="s">
        <v>17284</v>
      </c>
      <c r="J866" s="1" t="s">
        <v>17285</v>
      </c>
      <c r="K866" s="1" t="s">
        <v>74</v>
      </c>
      <c r="L866" s="1" t="s">
        <v>74</v>
      </c>
      <c r="M866" s="1" t="s">
        <v>80</v>
      </c>
      <c r="N866" s="1" t="s">
        <v>1010</v>
      </c>
      <c r="O866" s="1" t="s">
        <v>74</v>
      </c>
      <c r="P866" s="1" t="s">
        <v>74</v>
      </c>
      <c r="Q866" s="1" t="s">
        <v>74</v>
      </c>
      <c r="R866" s="1" t="s">
        <v>74</v>
      </c>
      <c r="S866" s="1" t="s">
        <v>74</v>
      </c>
      <c r="T866" s="1" t="s">
        <v>17286</v>
      </c>
      <c r="U866" s="1" t="s">
        <v>17287</v>
      </c>
      <c r="V866" s="1" t="s">
        <v>17288</v>
      </c>
      <c r="W866" s="1" t="s">
        <v>17289</v>
      </c>
      <c r="X866" s="1" t="s">
        <v>17290</v>
      </c>
      <c r="Y866" s="1" t="s">
        <v>17291</v>
      </c>
      <c r="Z866" s="1" t="s">
        <v>17292</v>
      </c>
      <c r="AA866" s="1" t="s">
        <v>17293</v>
      </c>
      <c r="AB866" s="1" t="s">
        <v>17294</v>
      </c>
      <c r="AC866" s="1" t="s">
        <v>17295</v>
      </c>
      <c r="AD866" s="1" t="s">
        <v>17296</v>
      </c>
      <c r="AE866" s="1" t="s">
        <v>17297</v>
      </c>
      <c r="AF866" s="1" t="s">
        <v>74</v>
      </c>
      <c r="AG866" s="1">
        <v>96.0</v>
      </c>
      <c r="AH866" s="1">
        <v>0.0</v>
      </c>
      <c r="AI866" s="1">
        <v>0.0</v>
      </c>
      <c r="AJ866" s="1">
        <v>9.0</v>
      </c>
      <c r="AK866" s="1">
        <v>9.0</v>
      </c>
      <c r="AL866" s="1" t="s">
        <v>3551</v>
      </c>
      <c r="AM866" s="1" t="s">
        <v>193</v>
      </c>
      <c r="AN866" s="1" t="s">
        <v>3552</v>
      </c>
      <c r="AO866" s="1" t="s">
        <v>17298</v>
      </c>
      <c r="AP866" s="1" t="s">
        <v>17299</v>
      </c>
      <c r="AQ866" s="1" t="s">
        <v>74</v>
      </c>
      <c r="AR866" s="1" t="s">
        <v>17300</v>
      </c>
      <c r="AS866" s="1" t="s">
        <v>17301</v>
      </c>
      <c r="AT866" s="1" t="s">
        <v>1051</v>
      </c>
      <c r="AU866" s="1">
        <v>2024.0</v>
      </c>
      <c r="AV866" s="1">
        <v>204.0</v>
      </c>
      <c r="AW866" s="1" t="s">
        <v>74</v>
      </c>
      <c r="AX866" s="1" t="s">
        <v>74</v>
      </c>
      <c r="AY866" s="1" t="s">
        <v>74</v>
      </c>
      <c r="AZ866" s="1" t="s">
        <v>74</v>
      </c>
      <c r="BA866" s="1" t="s">
        <v>74</v>
      </c>
      <c r="BB866" s="1" t="s">
        <v>74</v>
      </c>
      <c r="BC866" s="1" t="s">
        <v>74</v>
      </c>
      <c r="BD866" s="1">
        <v>104485.0</v>
      </c>
      <c r="BE866" s="1" t="s">
        <v>17302</v>
      </c>
      <c r="BF866" s="2" t="str">
        <f>HYPERLINK("http://dx.doi.org/10.1016/j.critrevonc.2024.104485","http://dx.doi.org/10.1016/j.critrevonc.2024.104485")</f>
        <v>http://dx.doi.org/10.1016/j.critrevonc.2024.104485</v>
      </c>
      <c r="BG866" s="1" t="s">
        <v>74</v>
      </c>
      <c r="BH866" s="1" t="s">
        <v>1883</v>
      </c>
      <c r="BI866" s="1">
        <v>12.0</v>
      </c>
      <c r="BJ866" s="1" t="s">
        <v>17303</v>
      </c>
      <c r="BK866" s="1" t="s">
        <v>149</v>
      </c>
      <c r="BL866" s="1" t="s">
        <v>17303</v>
      </c>
      <c r="BM866" s="1" t="s">
        <v>17304</v>
      </c>
      <c r="BN866" s="1">
        <v>3.9233128E7</v>
      </c>
      <c r="BO866" s="1" t="s">
        <v>74</v>
      </c>
      <c r="BP866" s="1" t="s">
        <v>74</v>
      </c>
      <c r="BQ866" s="1" t="s">
        <v>74</v>
      </c>
      <c r="BR866" s="1" t="s">
        <v>102</v>
      </c>
      <c r="BS866" s="1" t="s">
        <v>17305</v>
      </c>
      <c r="BT866" s="1" t="str">
        <f>HYPERLINK("https%3A%2F%2Fwww.webofscience.com%2Fwos%2Fwoscc%2Ffull-record%2FWOS:001320091400001","View Full Record in Web of Science")</f>
        <v>View Full Record in Web of Science</v>
      </c>
    </row>
    <row r="867" ht="12.75" customHeight="1">
      <c r="A867" s="1" t="s">
        <v>132</v>
      </c>
      <c r="B867" s="1" t="s">
        <v>17306</v>
      </c>
      <c r="C867" s="1" t="s">
        <v>74</v>
      </c>
      <c r="D867" s="1" t="s">
        <v>74</v>
      </c>
      <c r="E867" s="1" t="s">
        <v>74</v>
      </c>
      <c r="F867" s="1" t="s">
        <v>17307</v>
      </c>
      <c r="G867" s="1" t="s">
        <v>74</v>
      </c>
      <c r="H867" s="1" t="s">
        <v>74</v>
      </c>
      <c r="I867" s="1" t="s">
        <v>17308</v>
      </c>
      <c r="J867" s="1" t="s">
        <v>17309</v>
      </c>
      <c r="K867" s="1" t="s">
        <v>74</v>
      </c>
      <c r="L867" s="1" t="s">
        <v>74</v>
      </c>
      <c r="M867" s="1" t="s">
        <v>80</v>
      </c>
      <c r="N867" s="1" t="s">
        <v>136</v>
      </c>
      <c r="O867" s="1" t="s">
        <v>74</v>
      </c>
      <c r="P867" s="1" t="s">
        <v>74</v>
      </c>
      <c r="Q867" s="1" t="s">
        <v>74</v>
      </c>
      <c r="R867" s="1" t="s">
        <v>74</v>
      </c>
      <c r="S867" s="1" t="s">
        <v>74</v>
      </c>
      <c r="T867" s="1" t="s">
        <v>17310</v>
      </c>
      <c r="U867" s="1" t="s">
        <v>17311</v>
      </c>
      <c r="V867" s="1" t="s">
        <v>17312</v>
      </c>
      <c r="W867" s="1" t="s">
        <v>17313</v>
      </c>
      <c r="X867" s="1" t="s">
        <v>17314</v>
      </c>
      <c r="Y867" s="1" t="s">
        <v>17315</v>
      </c>
      <c r="Z867" s="1" t="s">
        <v>17316</v>
      </c>
      <c r="AA867" s="1" t="s">
        <v>74</v>
      </c>
      <c r="AB867" s="1" t="s">
        <v>74</v>
      </c>
      <c r="AC867" s="1" t="s">
        <v>17317</v>
      </c>
      <c r="AD867" s="1" t="s">
        <v>17318</v>
      </c>
      <c r="AE867" s="1" t="s">
        <v>17319</v>
      </c>
      <c r="AF867" s="1" t="s">
        <v>74</v>
      </c>
      <c r="AG867" s="1">
        <v>68.0</v>
      </c>
      <c r="AH867" s="1">
        <v>0.0</v>
      </c>
      <c r="AI867" s="1">
        <v>0.0</v>
      </c>
      <c r="AJ867" s="1">
        <v>39.0</v>
      </c>
      <c r="AK867" s="1">
        <v>39.0</v>
      </c>
      <c r="AL867" s="1" t="s">
        <v>1571</v>
      </c>
      <c r="AM867" s="1" t="s">
        <v>1572</v>
      </c>
      <c r="AN867" s="1" t="s">
        <v>1573</v>
      </c>
      <c r="AO867" s="1" t="s">
        <v>17320</v>
      </c>
      <c r="AP867" s="1" t="s">
        <v>74</v>
      </c>
      <c r="AQ867" s="1" t="s">
        <v>74</v>
      </c>
      <c r="AR867" s="1" t="s">
        <v>17309</v>
      </c>
      <c r="AS867" s="1" t="s">
        <v>17321</v>
      </c>
      <c r="AT867" s="1" t="s">
        <v>1279</v>
      </c>
      <c r="AU867" s="1">
        <v>2024.0</v>
      </c>
      <c r="AV867" s="1">
        <v>14.0</v>
      </c>
      <c r="AW867" s="1">
        <v>3.0</v>
      </c>
      <c r="AX867" s="1" t="s">
        <v>74</v>
      </c>
      <c r="AY867" s="1" t="s">
        <v>74</v>
      </c>
      <c r="AZ867" s="1" t="s">
        <v>74</v>
      </c>
      <c r="BA867" s="1" t="s">
        <v>74</v>
      </c>
      <c r="BB867" s="1" t="s">
        <v>74</v>
      </c>
      <c r="BC867" s="1" t="s">
        <v>74</v>
      </c>
      <c r="BD867" s="1">
        <v>2.158244024126713E16</v>
      </c>
      <c r="BE867" s="1" t="s">
        <v>17322</v>
      </c>
      <c r="BF867" s="2" t="str">
        <f>HYPERLINK("http://dx.doi.org/10.1177/21582440241267126","http://dx.doi.org/10.1177/21582440241267126")</f>
        <v>http://dx.doi.org/10.1177/21582440241267126</v>
      </c>
      <c r="BG867" s="1" t="s">
        <v>74</v>
      </c>
      <c r="BH867" s="1" t="s">
        <v>74</v>
      </c>
      <c r="BI867" s="1">
        <v>18.0</v>
      </c>
      <c r="BJ867" s="1" t="s">
        <v>98</v>
      </c>
      <c r="BK867" s="1" t="s">
        <v>203</v>
      </c>
      <c r="BL867" s="1" t="s">
        <v>100</v>
      </c>
      <c r="BM867" s="1" t="s">
        <v>17323</v>
      </c>
      <c r="BN867" s="1" t="s">
        <v>74</v>
      </c>
      <c r="BO867" s="1" t="s">
        <v>174</v>
      </c>
      <c r="BP867" s="1" t="s">
        <v>74</v>
      </c>
      <c r="BQ867" s="1" t="s">
        <v>74</v>
      </c>
      <c r="BR867" s="1" t="s">
        <v>102</v>
      </c>
      <c r="BS867" s="1" t="s">
        <v>17324</v>
      </c>
      <c r="BT867" s="1" t="str">
        <f>HYPERLINK("https%3A%2F%2Fwww.webofscience.com%2Fwos%2Fwoscc%2Ffull-record%2FWOS:001280749700001","View Full Record in Web of Science")</f>
        <v>View Full Record in Web of Science</v>
      </c>
    </row>
    <row r="868" ht="12.75" customHeight="1">
      <c r="A868" s="1" t="s">
        <v>132</v>
      </c>
      <c r="B868" s="1" t="s">
        <v>17325</v>
      </c>
      <c r="C868" s="1" t="s">
        <v>74</v>
      </c>
      <c r="D868" s="1" t="s">
        <v>74</v>
      </c>
      <c r="E868" s="1" t="s">
        <v>74</v>
      </c>
      <c r="F868" s="1" t="s">
        <v>17326</v>
      </c>
      <c r="G868" s="1" t="s">
        <v>74</v>
      </c>
      <c r="H868" s="1" t="s">
        <v>74</v>
      </c>
      <c r="I868" s="1" t="s">
        <v>17327</v>
      </c>
      <c r="J868" s="1" t="s">
        <v>9510</v>
      </c>
      <c r="K868" s="1" t="s">
        <v>74</v>
      </c>
      <c r="L868" s="1" t="s">
        <v>74</v>
      </c>
      <c r="M868" s="1" t="s">
        <v>80</v>
      </c>
      <c r="N868" s="1" t="s">
        <v>136</v>
      </c>
      <c r="O868" s="1" t="s">
        <v>74</v>
      </c>
      <c r="P868" s="1" t="s">
        <v>74</v>
      </c>
      <c r="Q868" s="1" t="s">
        <v>74</v>
      </c>
      <c r="R868" s="1" t="s">
        <v>74</v>
      </c>
      <c r="S868" s="1" t="s">
        <v>74</v>
      </c>
      <c r="T868" s="1" t="s">
        <v>17328</v>
      </c>
      <c r="U868" s="1" t="s">
        <v>17329</v>
      </c>
      <c r="V868" s="1" t="s">
        <v>17330</v>
      </c>
      <c r="W868" s="1" t="s">
        <v>17331</v>
      </c>
      <c r="X868" s="1" t="s">
        <v>6572</v>
      </c>
      <c r="Y868" s="1" t="s">
        <v>17332</v>
      </c>
      <c r="Z868" s="1" t="s">
        <v>17333</v>
      </c>
      <c r="AA868" s="1" t="s">
        <v>12863</v>
      </c>
      <c r="AB868" s="1" t="s">
        <v>12864</v>
      </c>
      <c r="AC868" s="1" t="s">
        <v>17334</v>
      </c>
      <c r="AD868" s="1" t="s">
        <v>17335</v>
      </c>
      <c r="AE868" s="1" t="s">
        <v>17336</v>
      </c>
      <c r="AF868" s="1" t="s">
        <v>74</v>
      </c>
      <c r="AG868" s="1">
        <v>56.0</v>
      </c>
      <c r="AH868" s="1">
        <v>8.0</v>
      </c>
      <c r="AI868" s="1">
        <v>8.0</v>
      </c>
      <c r="AJ868" s="1">
        <v>60.0</v>
      </c>
      <c r="AK868" s="1">
        <v>171.0</v>
      </c>
      <c r="AL868" s="1" t="s">
        <v>571</v>
      </c>
      <c r="AM868" s="1" t="s">
        <v>572</v>
      </c>
      <c r="AN868" s="1" t="s">
        <v>573</v>
      </c>
      <c r="AO868" s="1" t="s">
        <v>9523</v>
      </c>
      <c r="AP868" s="1" t="s">
        <v>9524</v>
      </c>
      <c r="AQ868" s="1" t="s">
        <v>74</v>
      </c>
      <c r="AR868" s="1" t="s">
        <v>9525</v>
      </c>
      <c r="AS868" s="1" t="s">
        <v>9526</v>
      </c>
      <c r="AT868" s="1" t="s">
        <v>9827</v>
      </c>
      <c r="AU868" s="1">
        <v>2024.0</v>
      </c>
      <c r="AV868" s="1">
        <v>79.0</v>
      </c>
      <c r="AW868" s="1">
        <v>5.0</v>
      </c>
      <c r="AX868" s="1" t="s">
        <v>74</v>
      </c>
      <c r="AY868" s="1" t="s">
        <v>74</v>
      </c>
      <c r="AZ868" s="1" t="s">
        <v>74</v>
      </c>
      <c r="BA868" s="1" t="s">
        <v>74</v>
      </c>
      <c r="BB868" s="1">
        <v>1058.0</v>
      </c>
      <c r="BC868" s="1">
        <v>1075.0</v>
      </c>
      <c r="BD868" s="1" t="s">
        <v>74</v>
      </c>
      <c r="BE868" s="1" t="s">
        <v>17337</v>
      </c>
      <c r="BF868" s="2" t="str">
        <f>HYPERLINK("http://dx.doi.org/10.1108/TR-06-2023-0394","http://dx.doi.org/10.1108/TR-06-2023-0394")</f>
        <v>http://dx.doi.org/10.1108/TR-06-2023-0394</v>
      </c>
      <c r="BG868" s="1" t="s">
        <v>74</v>
      </c>
      <c r="BH868" s="1" t="s">
        <v>201</v>
      </c>
      <c r="BI868" s="1">
        <v>18.0</v>
      </c>
      <c r="BJ868" s="1" t="s">
        <v>2100</v>
      </c>
      <c r="BK868" s="1" t="s">
        <v>203</v>
      </c>
      <c r="BL868" s="1" t="s">
        <v>100</v>
      </c>
      <c r="BM868" s="1" t="s">
        <v>17338</v>
      </c>
      <c r="BN868" s="1" t="s">
        <v>74</v>
      </c>
      <c r="BO868" s="1" t="s">
        <v>74</v>
      </c>
      <c r="BP868" s="1" t="s">
        <v>74</v>
      </c>
      <c r="BQ868" s="1" t="s">
        <v>74</v>
      </c>
      <c r="BR868" s="1" t="s">
        <v>102</v>
      </c>
      <c r="BS868" s="1" t="s">
        <v>17339</v>
      </c>
      <c r="BT868" s="1" t="str">
        <f>HYPERLINK("https%3A%2F%2Fwww.webofscience.com%2Fwos%2Fwoscc%2Ffull-record%2FWOS:001110232000001","View Full Record in Web of Science")</f>
        <v>View Full Record in Web of Science</v>
      </c>
    </row>
    <row r="869" ht="12.75" customHeight="1">
      <c r="A869" s="1" t="s">
        <v>132</v>
      </c>
      <c r="B869" s="1" t="s">
        <v>17340</v>
      </c>
      <c r="C869" s="1" t="s">
        <v>74</v>
      </c>
      <c r="D869" s="1" t="s">
        <v>74</v>
      </c>
      <c r="E869" s="1" t="s">
        <v>74</v>
      </c>
      <c r="F869" s="1" t="s">
        <v>17341</v>
      </c>
      <c r="G869" s="1" t="s">
        <v>74</v>
      </c>
      <c r="H869" s="1" t="s">
        <v>74</v>
      </c>
      <c r="I869" s="1" t="s">
        <v>17342</v>
      </c>
      <c r="J869" s="1" t="s">
        <v>17343</v>
      </c>
      <c r="K869" s="1" t="s">
        <v>74</v>
      </c>
      <c r="L869" s="1" t="s">
        <v>74</v>
      </c>
      <c r="M869" s="1" t="s">
        <v>80</v>
      </c>
      <c r="N869" s="1" t="s">
        <v>338</v>
      </c>
      <c r="O869" s="1" t="s">
        <v>74</v>
      </c>
      <c r="P869" s="1" t="s">
        <v>74</v>
      </c>
      <c r="Q869" s="1" t="s">
        <v>74</v>
      </c>
      <c r="R869" s="1" t="s">
        <v>74</v>
      </c>
      <c r="S869" s="1" t="s">
        <v>74</v>
      </c>
      <c r="T869" s="1" t="s">
        <v>17344</v>
      </c>
      <c r="U869" s="1" t="s">
        <v>17345</v>
      </c>
      <c r="V869" s="1" t="s">
        <v>17346</v>
      </c>
      <c r="W869" s="1" t="s">
        <v>17347</v>
      </c>
      <c r="X869" s="1" t="s">
        <v>17348</v>
      </c>
      <c r="Y869" s="1" t="s">
        <v>17349</v>
      </c>
      <c r="Z869" s="1" t="s">
        <v>17350</v>
      </c>
      <c r="AA869" s="1" t="s">
        <v>74</v>
      </c>
      <c r="AB869" s="1" t="s">
        <v>74</v>
      </c>
      <c r="AC869" s="1" t="s">
        <v>17351</v>
      </c>
      <c r="AD869" s="1" t="s">
        <v>17352</v>
      </c>
      <c r="AE869" s="1" t="s">
        <v>17353</v>
      </c>
      <c r="AF869" s="1" t="s">
        <v>74</v>
      </c>
      <c r="AG869" s="1">
        <v>45.0</v>
      </c>
      <c r="AH869" s="1">
        <v>0.0</v>
      </c>
      <c r="AI869" s="1">
        <v>0.0</v>
      </c>
      <c r="AJ869" s="1">
        <v>21.0</v>
      </c>
      <c r="AK869" s="1">
        <v>21.0</v>
      </c>
      <c r="AL869" s="1" t="s">
        <v>595</v>
      </c>
      <c r="AM869" s="1" t="s">
        <v>467</v>
      </c>
      <c r="AN869" s="1" t="s">
        <v>596</v>
      </c>
      <c r="AO869" s="1" t="s">
        <v>17354</v>
      </c>
      <c r="AP869" s="1" t="s">
        <v>17355</v>
      </c>
      <c r="AQ869" s="1" t="s">
        <v>74</v>
      </c>
      <c r="AR869" s="1" t="s">
        <v>17356</v>
      </c>
      <c r="AS869" s="1" t="s">
        <v>17357</v>
      </c>
      <c r="AT869" s="1" t="s">
        <v>17358</v>
      </c>
      <c r="AU869" s="1">
        <v>2024.0</v>
      </c>
      <c r="AV869" s="1" t="s">
        <v>74</v>
      </c>
      <c r="AW869" s="1" t="s">
        <v>74</v>
      </c>
      <c r="AX869" s="1" t="s">
        <v>74</v>
      </c>
      <c r="AY869" s="1" t="s">
        <v>74</v>
      </c>
      <c r="AZ869" s="1" t="s">
        <v>74</v>
      </c>
      <c r="BA869" s="1" t="s">
        <v>74</v>
      </c>
      <c r="BB869" s="1" t="s">
        <v>74</v>
      </c>
      <c r="BC869" s="1" t="s">
        <v>74</v>
      </c>
      <c r="BD869" s="1" t="s">
        <v>74</v>
      </c>
      <c r="BE869" s="1" t="s">
        <v>17359</v>
      </c>
      <c r="BF869" s="2" t="str">
        <f>HYPERLINK("http://dx.doi.org/10.1080/16081625.2024.2425852","http://dx.doi.org/10.1080/16081625.2024.2425852")</f>
        <v>http://dx.doi.org/10.1080/16081625.2024.2425852</v>
      </c>
      <c r="BG869" s="1" t="s">
        <v>74</v>
      </c>
      <c r="BH869" s="1" t="s">
        <v>499</v>
      </c>
      <c r="BI869" s="1">
        <v>15.0</v>
      </c>
      <c r="BJ869" s="1" t="s">
        <v>16617</v>
      </c>
      <c r="BK869" s="1" t="s">
        <v>203</v>
      </c>
      <c r="BL869" s="1" t="s">
        <v>204</v>
      </c>
      <c r="BM869" s="1" t="s">
        <v>17360</v>
      </c>
      <c r="BN869" s="1" t="s">
        <v>74</v>
      </c>
      <c r="BO869" s="1" t="s">
        <v>74</v>
      </c>
      <c r="BP869" s="1" t="s">
        <v>74</v>
      </c>
      <c r="BQ869" s="1" t="s">
        <v>74</v>
      </c>
      <c r="BR869" s="1" t="s">
        <v>102</v>
      </c>
      <c r="BS869" s="1" t="s">
        <v>17361</v>
      </c>
      <c r="BT869" s="1" t="str">
        <f>HYPERLINK("https%3A%2F%2Fwww.webofscience.com%2Fwos%2Fwoscc%2Ffull-record%2FWOS:001351953700001","View Full Record in Web of Science")</f>
        <v>View Full Record in Web of Science</v>
      </c>
    </row>
    <row r="870" ht="12.75" customHeight="1">
      <c r="A870" s="1" t="s">
        <v>132</v>
      </c>
      <c r="B870" s="1" t="s">
        <v>17362</v>
      </c>
      <c r="C870" s="1" t="s">
        <v>74</v>
      </c>
      <c r="D870" s="1" t="s">
        <v>74</v>
      </c>
      <c r="E870" s="1" t="s">
        <v>74</v>
      </c>
      <c r="F870" s="1" t="s">
        <v>17363</v>
      </c>
      <c r="G870" s="1" t="s">
        <v>74</v>
      </c>
      <c r="H870" s="1" t="s">
        <v>74</v>
      </c>
      <c r="I870" s="1" t="s">
        <v>17364</v>
      </c>
      <c r="J870" s="1" t="s">
        <v>17365</v>
      </c>
      <c r="K870" s="1" t="s">
        <v>74</v>
      </c>
      <c r="L870" s="1" t="s">
        <v>74</v>
      </c>
      <c r="M870" s="1" t="s">
        <v>80</v>
      </c>
      <c r="N870" s="1" t="s">
        <v>136</v>
      </c>
      <c r="O870" s="1" t="s">
        <v>74</v>
      </c>
      <c r="P870" s="1" t="s">
        <v>74</v>
      </c>
      <c r="Q870" s="1" t="s">
        <v>74</v>
      </c>
      <c r="R870" s="1" t="s">
        <v>74</v>
      </c>
      <c r="S870" s="1" t="s">
        <v>74</v>
      </c>
      <c r="T870" s="1" t="s">
        <v>17366</v>
      </c>
      <c r="U870" s="1" t="s">
        <v>17367</v>
      </c>
      <c r="V870" s="1" t="s">
        <v>17368</v>
      </c>
      <c r="W870" s="1" t="s">
        <v>17369</v>
      </c>
      <c r="X870" s="1" t="s">
        <v>17370</v>
      </c>
      <c r="Y870" s="1" t="s">
        <v>17371</v>
      </c>
      <c r="Z870" s="1" t="s">
        <v>17372</v>
      </c>
      <c r="AA870" s="1" t="s">
        <v>74</v>
      </c>
      <c r="AB870" s="1" t="s">
        <v>74</v>
      </c>
      <c r="AC870" s="1" t="s">
        <v>17373</v>
      </c>
      <c r="AD870" s="1" t="s">
        <v>17374</v>
      </c>
      <c r="AE870" s="1" t="s">
        <v>17375</v>
      </c>
      <c r="AF870" s="1" t="s">
        <v>74</v>
      </c>
      <c r="AG870" s="1">
        <v>39.0</v>
      </c>
      <c r="AH870" s="1">
        <v>0.0</v>
      </c>
      <c r="AI870" s="1">
        <v>0.0</v>
      </c>
      <c r="AJ870" s="1">
        <v>47.0</v>
      </c>
      <c r="AK870" s="1">
        <v>47.0</v>
      </c>
      <c r="AL870" s="1" t="s">
        <v>17376</v>
      </c>
      <c r="AM870" s="1" t="s">
        <v>17377</v>
      </c>
      <c r="AN870" s="1" t="s">
        <v>17378</v>
      </c>
      <c r="AO870" s="1" t="s">
        <v>17379</v>
      </c>
      <c r="AP870" s="1" t="s">
        <v>17380</v>
      </c>
      <c r="AQ870" s="1" t="s">
        <v>74</v>
      </c>
      <c r="AR870" s="1" t="s">
        <v>17381</v>
      </c>
      <c r="AS870" s="1" t="s">
        <v>17382</v>
      </c>
      <c r="AT870" s="1" t="s">
        <v>2469</v>
      </c>
      <c r="AU870" s="1">
        <v>2024.0</v>
      </c>
      <c r="AV870" s="1">
        <v>52.0</v>
      </c>
      <c r="AW870" s="1">
        <v>10.0</v>
      </c>
      <c r="AX870" s="1" t="s">
        <v>74</v>
      </c>
      <c r="AY870" s="1" t="s">
        <v>74</v>
      </c>
      <c r="AZ870" s="1" t="s">
        <v>74</v>
      </c>
      <c r="BA870" s="1" t="s">
        <v>74</v>
      </c>
      <c r="BB870" s="1" t="s">
        <v>74</v>
      </c>
      <c r="BC870" s="1" t="s">
        <v>74</v>
      </c>
      <c r="BD870" s="1" t="s">
        <v>17383</v>
      </c>
      <c r="BE870" s="1" t="s">
        <v>17384</v>
      </c>
      <c r="BF870" s="2" t="str">
        <f>HYPERLINK("http://dx.doi.org/10.2224/sbp.13634","http://dx.doi.org/10.2224/sbp.13634")</f>
        <v>http://dx.doi.org/10.2224/sbp.13634</v>
      </c>
      <c r="BG870" s="1" t="s">
        <v>74</v>
      </c>
      <c r="BH870" s="1" t="s">
        <v>74</v>
      </c>
      <c r="BI870" s="1">
        <v>11.0</v>
      </c>
      <c r="BJ870" s="1" t="s">
        <v>17385</v>
      </c>
      <c r="BK870" s="1" t="s">
        <v>203</v>
      </c>
      <c r="BL870" s="1" t="s">
        <v>3261</v>
      </c>
      <c r="BM870" s="1" t="s">
        <v>17386</v>
      </c>
      <c r="BN870" s="1" t="s">
        <v>74</v>
      </c>
      <c r="BO870" s="1" t="s">
        <v>74</v>
      </c>
      <c r="BP870" s="1" t="s">
        <v>74</v>
      </c>
      <c r="BQ870" s="1" t="s">
        <v>74</v>
      </c>
      <c r="BR870" s="1" t="s">
        <v>102</v>
      </c>
      <c r="BS870" s="1" t="s">
        <v>17387</v>
      </c>
      <c r="BT870" s="1" t="str">
        <f>HYPERLINK("https%3A%2F%2Fwww.webofscience.com%2Fwos%2Fwoscc%2Ffull-record%2FWOS:001334860900014","View Full Record in Web of Science")</f>
        <v>View Full Record in Web of Science</v>
      </c>
    </row>
    <row r="871" ht="12.75" customHeight="1">
      <c r="A871" s="1" t="s">
        <v>132</v>
      </c>
      <c r="B871" s="1" t="s">
        <v>17388</v>
      </c>
      <c r="C871" s="1" t="s">
        <v>74</v>
      </c>
      <c r="D871" s="1" t="s">
        <v>74</v>
      </c>
      <c r="E871" s="1" t="s">
        <v>74</v>
      </c>
      <c r="F871" s="1" t="s">
        <v>17389</v>
      </c>
      <c r="G871" s="1" t="s">
        <v>74</v>
      </c>
      <c r="H871" s="1" t="s">
        <v>74</v>
      </c>
      <c r="I871" s="1" t="s">
        <v>17390</v>
      </c>
      <c r="J871" s="1" t="s">
        <v>17391</v>
      </c>
      <c r="K871" s="1" t="s">
        <v>74</v>
      </c>
      <c r="L871" s="1" t="s">
        <v>74</v>
      </c>
      <c r="M871" s="1" t="s">
        <v>80</v>
      </c>
      <c r="N871" s="1" t="s">
        <v>136</v>
      </c>
      <c r="O871" s="1" t="s">
        <v>74</v>
      </c>
      <c r="P871" s="1" t="s">
        <v>74</v>
      </c>
      <c r="Q871" s="1" t="s">
        <v>74</v>
      </c>
      <c r="R871" s="1" t="s">
        <v>74</v>
      </c>
      <c r="S871" s="1" t="s">
        <v>74</v>
      </c>
      <c r="T871" s="1" t="s">
        <v>17392</v>
      </c>
      <c r="U871" s="1" t="s">
        <v>17393</v>
      </c>
      <c r="V871" s="1" t="s">
        <v>17394</v>
      </c>
      <c r="W871" s="1" t="s">
        <v>17395</v>
      </c>
      <c r="X871" s="1" t="s">
        <v>17396</v>
      </c>
      <c r="Y871" s="1" t="s">
        <v>17397</v>
      </c>
      <c r="Z871" s="1" t="s">
        <v>17398</v>
      </c>
      <c r="AA871" s="1" t="s">
        <v>17399</v>
      </c>
      <c r="AB871" s="1" t="s">
        <v>17400</v>
      </c>
      <c r="AC871" s="1" t="s">
        <v>74</v>
      </c>
      <c r="AD871" s="1" t="s">
        <v>74</v>
      </c>
      <c r="AE871" s="1" t="s">
        <v>74</v>
      </c>
      <c r="AF871" s="1" t="s">
        <v>74</v>
      </c>
      <c r="AG871" s="1">
        <v>97.0</v>
      </c>
      <c r="AH871" s="1">
        <v>14.0</v>
      </c>
      <c r="AI871" s="1">
        <v>14.0</v>
      </c>
      <c r="AJ871" s="1">
        <v>20.0</v>
      </c>
      <c r="AK871" s="1">
        <v>37.0</v>
      </c>
      <c r="AL871" s="1" t="s">
        <v>1528</v>
      </c>
      <c r="AM871" s="1" t="s">
        <v>1529</v>
      </c>
      <c r="AN871" s="1" t="s">
        <v>1530</v>
      </c>
      <c r="AO871" s="1" t="s">
        <v>17401</v>
      </c>
      <c r="AP871" s="1" t="s">
        <v>17402</v>
      </c>
      <c r="AQ871" s="1" t="s">
        <v>74</v>
      </c>
      <c r="AR871" s="1" t="s">
        <v>17403</v>
      </c>
      <c r="AS871" s="1" t="s">
        <v>17404</v>
      </c>
      <c r="AT871" s="1" t="s">
        <v>2469</v>
      </c>
      <c r="AU871" s="1">
        <v>2023.0</v>
      </c>
      <c r="AV871" s="1">
        <v>13.0</v>
      </c>
      <c r="AW871" s="1">
        <v>5.0</v>
      </c>
      <c r="AX871" s="1" t="s">
        <v>74</v>
      </c>
      <c r="AY871" s="1" t="s">
        <v>74</v>
      </c>
      <c r="AZ871" s="1" t="s">
        <v>474</v>
      </c>
      <c r="BA871" s="1" t="s">
        <v>74</v>
      </c>
      <c r="BB871" s="1">
        <v>795.0</v>
      </c>
      <c r="BC871" s="1">
        <v>811.0</v>
      </c>
      <c r="BD871" s="1" t="s">
        <v>74</v>
      </c>
      <c r="BE871" s="1" t="s">
        <v>17405</v>
      </c>
      <c r="BF871" s="2" t="str">
        <f>HYPERLINK("http://dx.doi.org/10.1557/s43579-023-00480-w","http://dx.doi.org/10.1557/s43579-023-00480-w")</f>
        <v>http://dx.doi.org/10.1557/s43579-023-00480-w</v>
      </c>
      <c r="BG871" s="1" t="s">
        <v>74</v>
      </c>
      <c r="BH871" s="1" t="s">
        <v>6939</v>
      </c>
      <c r="BI871" s="1">
        <v>17.0</v>
      </c>
      <c r="BJ871" s="1" t="s">
        <v>7733</v>
      </c>
      <c r="BK871" s="1" t="s">
        <v>149</v>
      </c>
      <c r="BL871" s="1" t="s">
        <v>7734</v>
      </c>
      <c r="BM871" s="1" t="s">
        <v>17406</v>
      </c>
      <c r="BN871" s="1" t="s">
        <v>74</v>
      </c>
      <c r="BO871" s="1" t="s">
        <v>306</v>
      </c>
      <c r="BP871" s="1" t="s">
        <v>74</v>
      </c>
      <c r="BQ871" s="1" t="s">
        <v>74</v>
      </c>
      <c r="BR871" s="1" t="s">
        <v>102</v>
      </c>
      <c r="BS871" s="1" t="s">
        <v>17407</v>
      </c>
      <c r="BT871" s="1" t="str">
        <f>HYPERLINK("https%3A%2F%2Fwww.webofscience.com%2Fwos%2Fwoscc%2Ffull-record%2FWOS:001079877700001","View Full Record in Web of Science")</f>
        <v>View Full Record in Web of Science</v>
      </c>
    </row>
    <row r="872" ht="12.75" customHeight="1">
      <c r="A872" s="1" t="s">
        <v>132</v>
      </c>
      <c r="B872" s="1" t="s">
        <v>17408</v>
      </c>
      <c r="C872" s="1" t="s">
        <v>74</v>
      </c>
      <c r="D872" s="1" t="s">
        <v>74</v>
      </c>
      <c r="E872" s="1" t="s">
        <v>74</v>
      </c>
      <c r="F872" s="1" t="s">
        <v>17409</v>
      </c>
      <c r="G872" s="1" t="s">
        <v>74</v>
      </c>
      <c r="H872" s="1" t="s">
        <v>74</v>
      </c>
      <c r="I872" s="1" t="s">
        <v>17410</v>
      </c>
      <c r="J872" s="1" t="s">
        <v>1009</v>
      </c>
      <c r="K872" s="1" t="s">
        <v>74</v>
      </c>
      <c r="L872" s="1" t="s">
        <v>74</v>
      </c>
      <c r="M872" s="1" t="s">
        <v>80</v>
      </c>
      <c r="N872" s="1" t="s">
        <v>1010</v>
      </c>
      <c r="O872" s="1" t="s">
        <v>74</v>
      </c>
      <c r="P872" s="1" t="s">
        <v>74</v>
      </c>
      <c r="Q872" s="1" t="s">
        <v>74</v>
      </c>
      <c r="R872" s="1" t="s">
        <v>74</v>
      </c>
      <c r="S872" s="1" t="s">
        <v>74</v>
      </c>
      <c r="T872" s="1" t="s">
        <v>17411</v>
      </c>
      <c r="U872" s="1" t="s">
        <v>17412</v>
      </c>
      <c r="V872" s="1" t="s">
        <v>17413</v>
      </c>
      <c r="W872" s="1" t="s">
        <v>17414</v>
      </c>
      <c r="X872" s="1" t="s">
        <v>17415</v>
      </c>
      <c r="Y872" s="1" t="s">
        <v>17416</v>
      </c>
      <c r="Z872" s="1" t="s">
        <v>17417</v>
      </c>
      <c r="AA872" s="1" t="s">
        <v>17418</v>
      </c>
      <c r="AB872" s="1" t="s">
        <v>17419</v>
      </c>
      <c r="AC872" s="1" t="s">
        <v>17420</v>
      </c>
      <c r="AD872" s="1" t="s">
        <v>17421</v>
      </c>
      <c r="AE872" s="1" t="s">
        <v>17422</v>
      </c>
      <c r="AF872" s="1" t="s">
        <v>74</v>
      </c>
      <c r="AG872" s="1">
        <v>34.0</v>
      </c>
      <c r="AH872" s="1">
        <v>12.0</v>
      </c>
      <c r="AI872" s="1">
        <v>12.0</v>
      </c>
      <c r="AJ872" s="1">
        <v>2.0</v>
      </c>
      <c r="AK872" s="1">
        <v>9.0</v>
      </c>
      <c r="AL872" s="1" t="s">
        <v>1020</v>
      </c>
      <c r="AM872" s="1" t="s">
        <v>1021</v>
      </c>
      <c r="AN872" s="1" t="s">
        <v>1022</v>
      </c>
      <c r="AO872" s="1" t="s">
        <v>1023</v>
      </c>
      <c r="AP872" s="1" t="s">
        <v>1024</v>
      </c>
      <c r="AQ872" s="1" t="s">
        <v>74</v>
      </c>
      <c r="AR872" s="1" t="s">
        <v>1025</v>
      </c>
      <c r="AS872" s="1" t="s">
        <v>1026</v>
      </c>
      <c r="AT872" s="1" t="s">
        <v>1709</v>
      </c>
      <c r="AU872" s="1">
        <v>2021.0</v>
      </c>
      <c r="AV872" s="1">
        <v>32.0</v>
      </c>
      <c r="AW872" s="1">
        <v>5.0</v>
      </c>
      <c r="AX872" s="1" t="s">
        <v>74</v>
      </c>
      <c r="AY872" s="1" t="s">
        <v>74</v>
      </c>
      <c r="AZ872" s="1" t="s">
        <v>74</v>
      </c>
      <c r="BA872" s="1" t="s">
        <v>74</v>
      </c>
      <c r="BB872" s="1">
        <v>431.0</v>
      </c>
      <c r="BC872" s="1">
        <v>438.0</v>
      </c>
      <c r="BD872" s="1" t="s">
        <v>74</v>
      </c>
      <c r="BE872" s="1" t="s">
        <v>17423</v>
      </c>
      <c r="BF872" s="2" t="str">
        <f>HYPERLINK("http://dx.doi.org/10.1097/ICU.0000000000000781","http://dx.doi.org/10.1097/ICU.0000000000000781")</f>
        <v>http://dx.doi.org/10.1097/ICU.0000000000000781</v>
      </c>
      <c r="BG872" s="1" t="s">
        <v>74</v>
      </c>
      <c r="BH872" s="1" t="s">
        <v>74</v>
      </c>
      <c r="BI872" s="1">
        <v>8.0</v>
      </c>
      <c r="BJ872" s="1" t="s">
        <v>1029</v>
      </c>
      <c r="BK872" s="1" t="s">
        <v>783</v>
      </c>
      <c r="BL872" s="1" t="s">
        <v>1029</v>
      </c>
      <c r="BM872" s="1" t="s">
        <v>17424</v>
      </c>
      <c r="BN872" s="1">
        <v>3.4231531E7</v>
      </c>
      <c r="BO872" s="1" t="s">
        <v>4126</v>
      </c>
      <c r="BP872" s="1" t="s">
        <v>74</v>
      </c>
      <c r="BQ872" s="1" t="s">
        <v>74</v>
      </c>
      <c r="BR872" s="1" t="s">
        <v>102</v>
      </c>
      <c r="BS872" s="1" t="s">
        <v>17425</v>
      </c>
      <c r="BT872" s="1" t="str">
        <f>HYPERLINK("https%3A%2F%2Fwww.webofscience.com%2Fwos%2Fwoscc%2Ffull-record%2FWOS:000680565900007","View Full Record in Web of Science")</f>
        <v>View Full Record in Web of Science</v>
      </c>
    </row>
    <row r="873" ht="12.75" customHeight="1">
      <c r="A873" s="1" t="s">
        <v>132</v>
      </c>
      <c r="B873" s="1" t="s">
        <v>17426</v>
      </c>
      <c r="C873" s="1" t="s">
        <v>74</v>
      </c>
      <c r="D873" s="1" t="s">
        <v>74</v>
      </c>
      <c r="E873" s="1" t="s">
        <v>74</v>
      </c>
      <c r="F873" s="1" t="s">
        <v>17427</v>
      </c>
      <c r="G873" s="1" t="s">
        <v>74</v>
      </c>
      <c r="H873" s="1" t="s">
        <v>74</v>
      </c>
      <c r="I873" s="1" t="s">
        <v>17428</v>
      </c>
      <c r="J873" s="1" t="s">
        <v>17429</v>
      </c>
      <c r="K873" s="1" t="s">
        <v>74</v>
      </c>
      <c r="L873" s="1" t="s">
        <v>74</v>
      </c>
      <c r="M873" s="1" t="s">
        <v>80</v>
      </c>
      <c r="N873" s="1" t="s">
        <v>338</v>
      </c>
      <c r="O873" s="1" t="s">
        <v>74</v>
      </c>
      <c r="P873" s="1" t="s">
        <v>74</v>
      </c>
      <c r="Q873" s="1" t="s">
        <v>74</v>
      </c>
      <c r="R873" s="1" t="s">
        <v>74</v>
      </c>
      <c r="S873" s="1" t="s">
        <v>74</v>
      </c>
      <c r="T873" s="1" t="s">
        <v>17430</v>
      </c>
      <c r="U873" s="1" t="s">
        <v>17431</v>
      </c>
      <c r="V873" s="1" t="s">
        <v>17432</v>
      </c>
      <c r="W873" s="1" t="s">
        <v>17433</v>
      </c>
      <c r="X873" s="1" t="s">
        <v>17434</v>
      </c>
      <c r="Y873" s="1" t="s">
        <v>17435</v>
      </c>
      <c r="Z873" s="1" t="s">
        <v>17436</v>
      </c>
      <c r="AA873" s="1" t="s">
        <v>17437</v>
      </c>
      <c r="AB873" s="1" t="s">
        <v>74</v>
      </c>
      <c r="AC873" s="1" t="s">
        <v>17438</v>
      </c>
      <c r="AD873" s="1" t="s">
        <v>17438</v>
      </c>
      <c r="AE873" s="1" t="s">
        <v>17439</v>
      </c>
      <c r="AF873" s="1" t="s">
        <v>74</v>
      </c>
      <c r="AG873" s="1">
        <v>80.0</v>
      </c>
      <c r="AH873" s="1">
        <v>2.0</v>
      </c>
      <c r="AI873" s="1">
        <v>2.0</v>
      </c>
      <c r="AJ873" s="1">
        <v>10.0</v>
      </c>
      <c r="AK873" s="1">
        <v>12.0</v>
      </c>
      <c r="AL873" s="1" t="s">
        <v>466</v>
      </c>
      <c r="AM873" s="1" t="s">
        <v>467</v>
      </c>
      <c r="AN873" s="1" t="s">
        <v>468</v>
      </c>
      <c r="AO873" s="1" t="s">
        <v>17440</v>
      </c>
      <c r="AP873" s="1" t="s">
        <v>17441</v>
      </c>
      <c r="AQ873" s="1" t="s">
        <v>74</v>
      </c>
      <c r="AR873" s="1" t="s">
        <v>17442</v>
      </c>
      <c r="AS873" s="1" t="s">
        <v>17443</v>
      </c>
      <c r="AT873" s="1" t="s">
        <v>17444</v>
      </c>
      <c r="AU873" s="1">
        <v>2024.0</v>
      </c>
      <c r="AV873" s="1" t="s">
        <v>74</v>
      </c>
      <c r="AW873" s="1" t="s">
        <v>74</v>
      </c>
      <c r="AX873" s="1" t="s">
        <v>74</v>
      </c>
      <c r="AY873" s="1" t="s">
        <v>74</v>
      </c>
      <c r="AZ873" s="1" t="s">
        <v>74</v>
      </c>
      <c r="BA873" s="1" t="s">
        <v>74</v>
      </c>
      <c r="BB873" s="1" t="s">
        <v>74</v>
      </c>
      <c r="BC873" s="1" t="s">
        <v>74</v>
      </c>
      <c r="BD873" s="1" t="s">
        <v>74</v>
      </c>
      <c r="BE873" s="1" t="s">
        <v>17445</v>
      </c>
      <c r="BF873" s="2" t="str">
        <f>HYPERLINK("http://dx.doi.org/10.1080/0142159X.2024.2418936","http://dx.doi.org/10.1080/0142159X.2024.2418936")</f>
        <v>http://dx.doi.org/10.1080/0142159X.2024.2418936</v>
      </c>
      <c r="BG873" s="1" t="s">
        <v>74</v>
      </c>
      <c r="BH873" s="1" t="s">
        <v>2753</v>
      </c>
      <c r="BI873" s="1">
        <v>14.0</v>
      </c>
      <c r="BJ873" s="1" t="s">
        <v>17446</v>
      </c>
      <c r="BK873" s="1" t="s">
        <v>149</v>
      </c>
      <c r="BL873" s="1" t="s">
        <v>17447</v>
      </c>
      <c r="BM873" s="1" t="s">
        <v>17448</v>
      </c>
      <c r="BN873" s="1">
        <v>3.9480998E7</v>
      </c>
      <c r="BO873" s="1" t="s">
        <v>74</v>
      </c>
      <c r="BP873" s="1" t="s">
        <v>74</v>
      </c>
      <c r="BQ873" s="1" t="s">
        <v>74</v>
      </c>
      <c r="BR873" s="1" t="s">
        <v>102</v>
      </c>
      <c r="BS873" s="1" t="s">
        <v>17449</v>
      </c>
      <c r="BT873" s="1" t="str">
        <f>HYPERLINK("https%3A%2F%2Fwww.webofscience.com%2Fwos%2Fwoscc%2Ffull-record%2FWOS:001346974500001","View Full Record in Web of Science")</f>
        <v>View Full Record in Web of Science</v>
      </c>
    </row>
    <row r="874" ht="12.75" customHeight="1">
      <c r="A874" s="1" t="s">
        <v>132</v>
      </c>
      <c r="B874" s="1" t="s">
        <v>17450</v>
      </c>
      <c r="C874" s="1" t="s">
        <v>74</v>
      </c>
      <c r="D874" s="1" t="s">
        <v>74</v>
      </c>
      <c r="E874" s="1" t="s">
        <v>74</v>
      </c>
      <c r="F874" s="1" t="s">
        <v>17451</v>
      </c>
      <c r="G874" s="1" t="s">
        <v>74</v>
      </c>
      <c r="H874" s="1" t="s">
        <v>74</v>
      </c>
      <c r="I874" s="1" t="s">
        <v>17452</v>
      </c>
      <c r="J874" s="1" t="s">
        <v>9613</v>
      </c>
      <c r="K874" s="1" t="s">
        <v>74</v>
      </c>
      <c r="L874" s="1" t="s">
        <v>74</v>
      </c>
      <c r="M874" s="1" t="s">
        <v>80</v>
      </c>
      <c r="N874" s="1" t="s">
        <v>136</v>
      </c>
      <c r="O874" s="1" t="s">
        <v>74</v>
      </c>
      <c r="P874" s="1" t="s">
        <v>74</v>
      </c>
      <c r="Q874" s="1" t="s">
        <v>74</v>
      </c>
      <c r="R874" s="1" t="s">
        <v>74</v>
      </c>
      <c r="S874" s="1" t="s">
        <v>74</v>
      </c>
      <c r="T874" s="1" t="s">
        <v>17453</v>
      </c>
      <c r="U874" s="1" t="s">
        <v>17454</v>
      </c>
      <c r="V874" s="1" t="s">
        <v>17455</v>
      </c>
      <c r="W874" s="1" t="s">
        <v>17456</v>
      </c>
      <c r="X874" s="1" t="s">
        <v>17457</v>
      </c>
      <c r="Y874" s="1" t="s">
        <v>17458</v>
      </c>
      <c r="Z874" s="1" t="s">
        <v>17459</v>
      </c>
      <c r="AA874" s="1" t="s">
        <v>17460</v>
      </c>
      <c r="AB874" s="1" t="s">
        <v>17461</v>
      </c>
      <c r="AC874" s="1" t="s">
        <v>74</v>
      </c>
      <c r="AD874" s="1" t="s">
        <v>74</v>
      </c>
      <c r="AE874" s="1" t="s">
        <v>74</v>
      </c>
      <c r="AF874" s="1" t="s">
        <v>74</v>
      </c>
      <c r="AG874" s="1">
        <v>69.0</v>
      </c>
      <c r="AH874" s="1">
        <v>16.0</v>
      </c>
      <c r="AI874" s="1">
        <v>17.0</v>
      </c>
      <c r="AJ874" s="1">
        <v>30.0</v>
      </c>
      <c r="AK874" s="1">
        <v>92.0</v>
      </c>
      <c r="AL874" s="1" t="s">
        <v>9622</v>
      </c>
      <c r="AM874" s="1" t="s">
        <v>4584</v>
      </c>
      <c r="AN874" s="1" t="s">
        <v>9623</v>
      </c>
      <c r="AO874" s="1" t="s">
        <v>74</v>
      </c>
      <c r="AP874" s="1" t="s">
        <v>9624</v>
      </c>
      <c r="AQ874" s="1" t="s">
        <v>74</v>
      </c>
      <c r="AR874" s="1" t="s">
        <v>9613</v>
      </c>
      <c r="AS874" s="1" t="s">
        <v>9625</v>
      </c>
      <c r="AT874" s="1" t="s">
        <v>302</v>
      </c>
      <c r="AU874" s="1">
        <v>2023.0</v>
      </c>
      <c r="AV874" s="1">
        <v>9.0</v>
      </c>
      <c r="AW874" s="1">
        <v>8.0</v>
      </c>
      <c r="AX874" s="1" t="s">
        <v>74</v>
      </c>
      <c r="AY874" s="1" t="s">
        <v>74</v>
      </c>
      <c r="AZ874" s="1" t="s">
        <v>74</v>
      </c>
      <c r="BA874" s="1" t="s">
        <v>74</v>
      </c>
      <c r="BB874" s="1" t="s">
        <v>74</v>
      </c>
      <c r="BC874" s="1" t="s">
        <v>74</v>
      </c>
      <c r="BD874" s="1" t="s">
        <v>17462</v>
      </c>
      <c r="BE874" s="1" t="s">
        <v>17463</v>
      </c>
      <c r="BF874" s="2" t="str">
        <f>HYPERLINK("http://dx.doi.org/10.1016/j.heliyon.2023.e18930","http://dx.doi.org/10.1016/j.heliyon.2023.e18930")</f>
        <v>http://dx.doi.org/10.1016/j.heliyon.2023.e18930</v>
      </c>
      <c r="BG874" s="1" t="s">
        <v>74</v>
      </c>
      <c r="BH874" s="1" t="s">
        <v>5321</v>
      </c>
      <c r="BI874" s="1">
        <v>13.0</v>
      </c>
      <c r="BJ874" s="1" t="s">
        <v>4714</v>
      </c>
      <c r="BK874" s="1" t="s">
        <v>149</v>
      </c>
      <c r="BL874" s="1" t="s">
        <v>4715</v>
      </c>
      <c r="BM874" s="1" t="s">
        <v>17464</v>
      </c>
      <c r="BN874" s="1">
        <v>3.7600389E7</v>
      </c>
      <c r="BO874" s="1" t="s">
        <v>1161</v>
      </c>
      <c r="BP874" s="1" t="s">
        <v>74</v>
      </c>
      <c r="BQ874" s="1" t="s">
        <v>74</v>
      </c>
      <c r="BR874" s="1" t="s">
        <v>102</v>
      </c>
      <c r="BS874" s="1" t="s">
        <v>17465</v>
      </c>
      <c r="BT874" s="1" t="str">
        <f>HYPERLINK("https%3A%2F%2Fwww.webofscience.com%2Fwos%2Fwoscc%2Ffull-record%2FWOS:001059452100001","View Full Record in Web of Science")</f>
        <v>View Full Record in Web of Science</v>
      </c>
    </row>
    <row r="875" ht="12.75" customHeight="1">
      <c r="A875" s="1" t="s">
        <v>132</v>
      </c>
      <c r="B875" s="1" t="s">
        <v>17466</v>
      </c>
      <c r="C875" s="1" t="s">
        <v>74</v>
      </c>
      <c r="D875" s="1" t="s">
        <v>74</v>
      </c>
      <c r="E875" s="1" t="s">
        <v>74</v>
      </c>
      <c r="F875" s="1" t="s">
        <v>17467</v>
      </c>
      <c r="G875" s="1" t="s">
        <v>74</v>
      </c>
      <c r="H875" s="1" t="s">
        <v>74</v>
      </c>
      <c r="I875" s="1" t="s">
        <v>17468</v>
      </c>
      <c r="J875" s="1" t="s">
        <v>17469</v>
      </c>
      <c r="K875" s="1" t="s">
        <v>74</v>
      </c>
      <c r="L875" s="1" t="s">
        <v>74</v>
      </c>
      <c r="M875" s="1" t="s">
        <v>80</v>
      </c>
      <c r="N875" s="1" t="s">
        <v>338</v>
      </c>
      <c r="O875" s="1" t="s">
        <v>74</v>
      </c>
      <c r="P875" s="1" t="s">
        <v>74</v>
      </c>
      <c r="Q875" s="1" t="s">
        <v>74</v>
      </c>
      <c r="R875" s="1" t="s">
        <v>74</v>
      </c>
      <c r="S875" s="1" t="s">
        <v>74</v>
      </c>
      <c r="T875" s="1" t="s">
        <v>17470</v>
      </c>
      <c r="U875" s="1" t="s">
        <v>74</v>
      </c>
      <c r="V875" s="1" t="s">
        <v>17471</v>
      </c>
      <c r="W875" s="1" t="s">
        <v>17472</v>
      </c>
      <c r="X875" s="1" t="s">
        <v>13645</v>
      </c>
      <c r="Y875" s="1" t="s">
        <v>17473</v>
      </c>
      <c r="Z875" s="1" t="s">
        <v>17474</v>
      </c>
      <c r="AA875" s="1" t="s">
        <v>17475</v>
      </c>
      <c r="AB875" s="1" t="s">
        <v>17476</v>
      </c>
      <c r="AC875" s="1" t="s">
        <v>17477</v>
      </c>
      <c r="AD875" s="1" t="s">
        <v>17478</v>
      </c>
      <c r="AE875" s="1" t="s">
        <v>17479</v>
      </c>
      <c r="AF875" s="1" t="s">
        <v>74</v>
      </c>
      <c r="AG875" s="1">
        <v>15.0</v>
      </c>
      <c r="AH875" s="1">
        <v>0.0</v>
      </c>
      <c r="AI875" s="1">
        <v>0.0</v>
      </c>
      <c r="AJ875" s="1">
        <v>0.0</v>
      </c>
      <c r="AK875" s="1">
        <v>0.0</v>
      </c>
      <c r="AL875" s="1" t="s">
        <v>3800</v>
      </c>
      <c r="AM875" s="1" t="s">
        <v>349</v>
      </c>
      <c r="AN875" s="1" t="s">
        <v>3801</v>
      </c>
      <c r="AO875" s="1" t="s">
        <v>17480</v>
      </c>
      <c r="AP875" s="1" t="s">
        <v>17481</v>
      </c>
      <c r="AQ875" s="1" t="s">
        <v>74</v>
      </c>
      <c r="AR875" s="1" t="s">
        <v>17482</v>
      </c>
      <c r="AS875" s="1" t="s">
        <v>17483</v>
      </c>
      <c r="AT875" s="1" t="s">
        <v>17484</v>
      </c>
      <c r="AU875" s="1">
        <v>2025.0</v>
      </c>
      <c r="AV875" s="1" t="s">
        <v>74</v>
      </c>
      <c r="AW875" s="1" t="s">
        <v>74</v>
      </c>
      <c r="AX875" s="1" t="s">
        <v>74</v>
      </c>
      <c r="AY875" s="1" t="s">
        <v>74</v>
      </c>
      <c r="AZ875" s="1" t="s">
        <v>74</v>
      </c>
      <c r="BA875" s="1" t="s">
        <v>74</v>
      </c>
      <c r="BB875" s="1" t="s">
        <v>74</v>
      </c>
      <c r="BC875" s="1" t="s">
        <v>74</v>
      </c>
      <c r="BD875" s="1" t="s">
        <v>74</v>
      </c>
      <c r="BE875" s="1" t="s">
        <v>17485</v>
      </c>
      <c r="BF875" s="2" t="str">
        <f>HYPERLINK("http://dx.doi.org/10.1038/s41370-025-00747-5","http://dx.doi.org/10.1038/s41370-025-00747-5")</f>
        <v>http://dx.doi.org/10.1038/s41370-025-00747-5</v>
      </c>
      <c r="BG875" s="1" t="s">
        <v>74</v>
      </c>
      <c r="BH875" s="1" t="s">
        <v>3808</v>
      </c>
      <c r="BI875" s="1">
        <v>5.0</v>
      </c>
      <c r="BJ875" s="1" t="s">
        <v>17486</v>
      </c>
      <c r="BK875" s="1" t="s">
        <v>149</v>
      </c>
      <c r="BL875" s="1" t="s">
        <v>17487</v>
      </c>
      <c r="BM875" s="1" t="s">
        <v>17488</v>
      </c>
      <c r="BN875" s="1">
        <v>3.9833328E7</v>
      </c>
      <c r="BO875" s="1" t="s">
        <v>74</v>
      </c>
      <c r="BP875" s="1" t="s">
        <v>74</v>
      </c>
      <c r="BQ875" s="1" t="s">
        <v>74</v>
      </c>
      <c r="BR875" s="1" t="s">
        <v>102</v>
      </c>
      <c r="BS875" s="1" t="s">
        <v>17489</v>
      </c>
      <c r="BT875" s="1" t="str">
        <f>HYPERLINK("https%3A%2F%2Fwww.webofscience.com%2Fwos%2Fwoscc%2Ffull-record%2FWOS:001400750400001","View Full Record in Web of Science")</f>
        <v>View Full Record in Web of Science</v>
      </c>
    </row>
    <row r="876" ht="12.75" customHeight="1">
      <c r="A876" s="1" t="s">
        <v>132</v>
      </c>
      <c r="B876" s="1" t="s">
        <v>17490</v>
      </c>
      <c r="C876" s="1" t="s">
        <v>74</v>
      </c>
      <c r="D876" s="1" t="s">
        <v>74</v>
      </c>
      <c r="E876" s="1" t="s">
        <v>74</v>
      </c>
      <c r="F876" s="1" t="s">
        <v>17491</v>
      </c>
      <c r="G876" s="1" t="s">
        <v>74</v>
      </c>
      <c r="H876" s="1" t="s">
        <v>74</v>
      </c>
      <c r="I876" s="1" t="s">
        <v>17492</v>
      </c>
      <c r="J876" s="1" t="s">
        <v>4035</v>
      </c>
      <c r="K876" s="1" t="s">
        <v>74</v>
      </c>
      <c r="L876" s="1" t="s">
        <v>74</v>
      </c>
      <c r="M876" s="1" t="s">
        <v>80</v>
      </c>
      <c r="N876" s="1" t="s">
        <v>136</v>
      </c>
      <c r="O876" s="1" t="s">
        <v>74</v>
      </c>
      <c r="P876" s="1" t="s">
        <v>74</v>
      </c>
      <c r="Q876" s="1" t="s">
        <v>74</v>
      </c>
      <c r="R876" s="1" t="s">
        <v>74</v>
      </c>
      <c r="S876" s="1" t="s">
        <v>74</v>
      </c>
      <c r="T876" s="1" t="s">
        <v>17493</v>
      </c>
      <c r="U876" s="1" t="s">
        <v>74</v>
      </c>
      <c r="V876" s="1" t="s">
        <v>17494</v>
      </c>
      <c r="W876" s="1" t="s">
        <v>17495</v>
      </c>
      <c r="X876" s="1" t="s">
        <v>17496</v>
      </c>
      <c r="Y876" s="1" t="s">
        <v>17497</v>
      </c>
      <c r="Z876" s="1" t="s">
        <v>17498</v>
      </c>
      <c r="AA876" s="1" t="s">
        <v>74</v>
      </c>
      <c r="AB876" s="1" t="s">
        <v>74</v>
      </c>
      <c r="AC876" s="1" t="s">
        <v>74</v>
      </c>
      <c r="AD876" s="1" t="s">
        <v>74</v>
      </c>
      <c r="AE876" s="1" t="s">
        <v>74</v>
      </c>
      <c r="AF876" s="1" t="s">
        <v>74</v>
      </c>
      <c r="AG876" s="1">
        <v>68.0</v>
      </c>
      <c r="AH876" s="1">
        <v>1.0</v>
      </c>
      <c r="AI876" s="1">
        <v>1.0</v>
      </c>
      <c r="AJ876" s="1">
        <v>11.0</v>
      </c>
      <c r="AK876" s="1">
        <v>86.0</v>
      </c>
      <c r="AL876" s="1" t="s">
        <v>275</v>
      </c>
      <c r="AM876" s="1" t="s">
        <v>276</v>
      </c>
      <c r="AN876" s="1" t="s">
        <v>277</v>
      </c>
      <c r="AO876" s="1" t="s">
        <v>4044</v>
      </c>
      <c r="AP876" s="1" t="s">
        <v>74</v>
      </c>
      <c r="AQ876" s="1" t="s">
        <v>74</v>
      </c>
      <c r="AR876" s="1" t="s">
        <v>4045</v>
      </c>
      <c r="AS876" s="1" t="s">
        <v>4046</v>
      </c>
      <c r="AT876" s="1" t="s">
        <v>17499</v>
      </c>
      <c r="AU876" s="1">
        <v>2022.0</v>
      </c>
      <c r="AV876" s="1">
        <v>13.0</v>
      </c>
      <c r="AW876" s="1" t="s">
        <v>74</v>
      </c>
      <c r="AX876" s="1" t="s">
        <v>74</v>
      </c>
      <c r="AY876" s="1" t="s">
        <v>74</v>
      </c>
      <c r="AZ876" s="1" t="s">
        <v>74</v>
      </c>
      <c r="BA876" s="1" t="s">
        <v>74</v>
      </c>
      <c r="BB876" s="1" t="s">
        <v>74</v>
      </c>
      <c r="BC876" s="1" t="s">
        <v>74</v>
      </c>
      <c r="BD876" s="1">
        <v>901191.0</v>
      </c>
      <c r="BE876" s="1" t="s">
        <v>17500</v>
      </c>
      <c r="BF876" s="2" t="str">
        <f>HYPERLINK("http://dx.doi.org/10.3389/fpsyg.2022.901191","http://dx.doi.org/10.3389/fpsyg.2022.901191")</f>
        <v>http://dx.doi.org/10.3389/fpsyg.2022.901191</v>
      </c>
      <c r="BG876" s="1" t="s">
        <v>74</v>
      </c>
      <c r="BH876" s="1" t="s">
        <v>74</v>
      </c>
      <c r="BI876" s="1">
        <v>10.0</v>
      </c>
      <c r="BJ876" s="1" t="s">
        <v>3260</v>
      </c>
      <c r="BK876" s="1" t="s">
        <v>203</v>
      </c>
      <c r="BL876" s="1" t="s">
        <v>3261</v>
      </c>
      <c r="BM876" s="1" t="s">
        <v>17501</v>
      </c>
      <c r="BN876" s="1">
        <v>3.5928423E7</v>
      </c>
      <c r="BO876" s="1" t="s">
        <v>1161</v>
      </c>
      <c r="BP876" s="1" t="s">
        <v>74</v>
      </c>
      <c r="BQ876" s="1" t="s">
        <v>74</v>
      </c>
      <c r="BR876" s="1" t="s">
        <v>102</v>
      </c>
      <c r="BS876" s="1" t="s">
        <v>17502</v>
      </c>
      <c r="BT876" s="1" t="str">
        <f>HYPERLINK("https%3A%2F%2Fwww.webofscience.com%2Fwos%2Fwoscc%2Ffull-record%2FWOS:000835098700001","View Full Record in Web of Science")</f>
        <v>View Full Record in Web of Science</v>
      </c>
    </row>
    <row r="877" ht="12.75" customHeight="1">
      <c r="A877" s="1" t="s">
        <v>132</v>
      </c>
      <c r="B877" s="1" t="s">
        <v>17503</v>
      </c>
      <c r="C877" s="1" t="s">
        <v>74</v>
      </c>
      <c r="D877" s="1" t="s">
        <v>74</v>
      </c>
      <c r="E877" s="1" t="s">
        <v>74</v>
      </c>
      <c r="F877" s="1" t="s">
        <v>17504</v>
      </c>
      <c r="G877" s="1" t="s">
        <v>74</v>
      </c>
      <c r="H877" s="1" t="s">
        <v>74</v>
      </c>
      <c r="I877" s="1" t="s">
        <v>17505</v>
      </c>
      <c r="J877" s="1" t="s">
        <v>3159</v>
      </c>
      <c r="K877" s="1" t="s">
        <v>74</v>
      </c>
      <c r="L877" s="1" t="s">
        <v>74</v>
      </c>
      <c r="M877" s="1" t="s">
        <v>80</v>
      </c>
      <c r="N877" s="1" t="s">
        <v>136</v>
      </c>
      <c r="O877" s="1" t="s">
        <v>74</v>
      </c>
      <c r="P877" s="1" t="s">
        <v>74</v>
      </c>
      <c r="Q877" s="1" t="s">
        <v>74</v>
      </c>
      <c r="R877" s="1" t="s">
        <v>74</v>
      </c>
      <c r="S877" s="1" t="s">
        <v>74</v>
      </c>
      <c r="T877" s="1" t="s">
        <v>17506</v>
      </c>
      <c r="U877" s="1" t="s">
        <v>74</v>
      </c>
      <c r="V877" s="1" t="s">
        <v>17507</v>
      </c>
      <c r="W877" s="1" t="s">
        <v>17508</v>
      </c>
      <c r="X877" s="1" t="s">
        <v>1629</v>
      </c>
      <c r="Y877" s="1" t="s">
        <v>17509</v>
      </c>
      <c r="Z877" s="1" t="s">
        <v>17510</v>
      </c>
      <c r="AA877" s="1" t="s">
        <v>74</v>
      </c>
      <c r="AB877" s="1" t="s">
        <v>17511</v>
      </c>
      <c r="AC877" s="1" t="s">
        <v>74</v>
      </c>
      <c r="AD877" s="1" t="s">
        <v>74</v>
      </c>
      <c r="AE877" s="1" t="s">
        <v>74</v>
      </c>
      <c r="AF877" s="1" t="s">
        <v>74</v>
      </c>
      <c r="AG877" s="1">
        <v>59.0</v>
      </c>
      <c r="AH877" s="1">
        <v>0.0</v>
      </c>
      <c r="AI877" s="1">
        <v>0.0</v>
      </c>
      <c r="AJ877" s="1">
        <v>12.0</v>
      </c>
      <c r="AK877" s="1">
        <v>12.0</v>
      </c>
      <c r="AL877" s="1" t="s">
        <v>192</v>
      </c>
      <c r="AM877" s="1" t="s">
        <v>864</v>
      </c>
      <c r="AN877" s="1" t="s">
        <v>865</v>
      </c>
      <c r="AO877" s="1" t="s">
        <v>3172</v>
      </c>
      <c r="AP877" s="1" t="s">
        <v>3173</v>
      </c>
      <c r="AQ877" s="1" t="s">
        <v>74</v>
      </c>
      <c r="AR877" s="1" t="s">
        <v>3174</v>
      </c>
      <c r="AS877" s="1" t="s">
        <v>3175</v>
      </c>
      <c r="AT877" s="1" t="s">
        <v>14106</v>
      </c>
      <c r="AU877" s="1">
        <v>2024.0</v>
      </c>
      <c r="AV877" s="1">
        <v>57.0</v>
      </c>
      <c r="AW877" s="1">
        <v>12.0</v>
      </c>
      <c r="AX877" s="1" t="s">
        <v>74</v>
      </c>
      <c r="AY877" s="1" t="s">
        <v>74</v>
      </c>
      <c r="AZ877" s="1" t="s">
        <v>74</v>
      </c>
      <c r="BA877" s="1" t="s">
        <v>74</v>
      </c>
      <c r="BB877" s="1" t="s">
        <v>74</v>
      </c>
      <c r="BC877" s="1" t="s">
        <v>74</v>
      </c>
      <c r="BD877" s="1">
        <v>324.0</v>
      </c>
      <c r="BE877" s="1" t="s">
        <v>17512</v>
      </c>
      <c r="BF877" s="2" t="str">
        <f>HYPERLINK("http://dx.doi.org/10.1007/s10462-024-10973-2","http://dx.doi.org/10.1007/s10462-024-10973-2")</f>
        <v>http://dx.doi.org/10.1007/s10462-024-10973-2</v>
      </c>
      <c r="BG877" s="1" t="s">
        <v>74</v>
      </c>
      <c r="BH877" s="1" t="s">
        <v>74</v>
      </c>
      <c r="BI877" s="1">
        <v>23.0</v>
      </c>
      <c r="BJ877" s="1" t="s">
        <v>1214</v>
      </c>
      <c r="BK877" s="1" t="s">
        <v>149</v>
      </c>
      <c r="BL877" s="1" t="s">
        <v>232</v>
      </c>
      <c r="BM877" s="1" t="s">
        <v>17513</v>
      </c>
      <c r="BN877" s="1" t="s">
        <v>74</v>
      </c>
      <c r="BO877" s="1" t="s">
        <v>306</v>
      </c>
      <c r="BP877" s="1" t="s">
        <v>74</v>
      </c>
      <c r="BQ877" s="1" t="s">
        <v>74</v>
      </c>
      <c r="BR877" s="1" t="s">
        <v>102</v>
      </c>
      <c r="BS877" s="1" t="s">
        <v>17514</v>
      </c>
      <c r="BT877" s="1" t="str">
        <f>HYPERLINK("https%3A%2F%2Fwww.webofscience.com%2Fwos%2Fwoscc%2Ffull-record%2FWOS:001336421600003","View Full Record in Web of Science")</f>
        <v>View Full Record in Web of Science</v>
      </c>
    </row>
    <row r="878" ht="12.75" customHeight="1">
      <c r="A878" s="1" t="s">
        <v>132</v>
      </c>
      <c r="B878" s="1" t="s">
        <v>17515</v>
      </c>
      <c r="C878" s="1" t="s">
        <v>74</v>
      </c>
      <c r="D878" s="1" t="s">
        <v>74</v>
      </c>
      <c r="E878" s="1" t="s">
        <v>74</v>
      </c>
      <c r="F878" s="1" t="s">
        <v>17516</v>
      </c>
      <c r="G878" s="1" t="s">
        <v>74</v>
      </c>
      <c r="H878" s="1" t="s">
        <v>74</v>
      </c>
      <c r="I878" s="1" t="s">
        <v>17517</v>
      </c>
      <c r="J878" s="1" t="s">
        <v>17518</v>
      </c>
      <c r="K878" s="1" t="s">
        <v>74</v>
      </c>
      <c r="L878" s="1" t="s">
        <v>74</v>
      </c>
      <c r="M878" s="1" t="s">
        <v>80</v>
      </c>
      <c r="N878" s="1" t="s">
        <v>136</v>
      </c>
      <c r="O878" s="1" t="s">
        <v>74</v>
      </c>
      <c r="P878" s="1" t="s">
        <v>74</v>
      </c>
      <c r="Q878" s="1" t="s">
        <v>74</v>
      </c>
      <c r="R878" s="1" t="s">
        <v>74</v>
      </c>
      <c r="S878" s="1" t="s">
        <v>74</v>
      </c>
      <c r="T878" s="1" t="s">
        <v>17519</v>
      </c>
      <c r="U878" s="1" t="s">
        <v>17520</v>
      </c>
      <c r="V878" s="1" t="s">
        <v>17521</v>
      </c>
      <c r="W878" s="1" t="s">
        <v>17522</v>
      </c>
      <c r="X878" s="1" t="s">
        <v>17523</v>
      </c>
      <c r="Y878" s="1" t="s">
        <v>17524</v>
      </c>
      <c r="Z878" s="1" t="s">
        <v>17525</v>
      </c>
      <c r="AA878" s="1" t="s">
        <v>17526</v>
      </c>
      <c r="AB878" s="1" t="s">
        <v>74</v>
      </c>
      <c r="AC878" s="1" t="s">
        <v>17527</v>
      </c>
      <c r="AD878" s="1" t="s">
        <v>17527</v>
      </c>
      <c r="AE878" s="1" t="s">
        <v>17528</v>
      </c>
      <c r="AF878" s="1" t="s">
        <v>74</v>
      </c>
      <c r="AG878" s="1">
        <v>112.0</v>
      </c>
      <c r="AH878" s="1">
        <v>3.0</v>
      </c>
      <c r="AI878" s="1">
        <v>3.0</v>
      </c>
      <c r="AJ878" s="1">
        <v>22.0</v>
      </c>
      <c r="AK878" s="1">
        <v>92.0</v>
      </c>
      <c r="AL878" s="1" t="s">
        <v>571</v>
      </c>
      <c r="AM878" s="1" t="s">
        <v>572</v>
      </c>
      <c r="AN878" s="1" t="s">
        <v>573</v>
      </c>
      <c r="AO878" s="1" t="s">
        <v>17529</v>
      </c>
      <c r="AP878" s="1" t="s">
        <v>74</v>
      </c>
      <c r="AQ878" s="1" t="s">
        <v>74</v>
      </c>
      <c r="AR878" s="1" t="s">
        <v>17530</v>
      </c>
      <c r="AS878" s="1" t="s">
        <v>17531</v>
      </c>
      <c r="AT878" s="1" t="s">
        <v>17532</v>
      </c>
      <c r="AU878" s="1">
        <v>2024.0</v>
      </c>
      <c r="AV878" s="1">
        <v>17.0</v>
      </c>
      <c r="AW878" s="1">
        <v>3.0</v>
      </c>
      <c r="AX878" s="1" t="s">
        <v>74</v>
      </c>
      <c r="AY878" s="1" t="s">
        <v>74</v>
      </c>
      <c r="AZ878" s="1" t="s">
        <v>474</v>
      </c>
      <c r="BA878" s="1" t="s">
        <v>74</v>
      </c>
      <c r="BB878" s="1">
        <v>516.0</v>
      </c>
      <c r="BC878" s="1">
        <v>540.0</v>
      </c>
      <c r="BD878" s="1" t="s">
        <v>74</v>
      </c>
      <c r="BE878" s="1" t="s">
        <v>17533</v>
      </c>
      <c r="BF878" s="2" t="str">
        <f>HYPERLINK("http://dx.doi.org/10.1108/JGOSS-06-2022-0049","http://dx.doi.org/10.1108/JGOSS-06-2022-0049")</f>
        <v>http://dx.doi.org/10.1108/JGOSS-06-2022-0049</v>
      </c>
      <c r="BG878" s="1" t="s">
        <v>74</v>
      </c>
      <c r="BH878" s="1" t="s">
        <v>6939</v>
      </c>
      <c r="BI878" s="1">
        <v>25.0</v>
      </c>
      <c r="BJ878" s="1" t="s">
        <v>1776</v>
      </c>
      <c r="BK878" s="1" t="s">
        <v>172</v>
      </c>
      <c r="BL878" s="1" t="s">
        <v>204</v>
      </c>
      <c r="BM878" s="1" t="s">
        <v>17534</v>
      </c>
      <c r="BN878" s="1" t="s">
        <v>74</v>
      </c>
      <c r="BO878" s="1" t="s">
        <v>74</v>
      </c>
      <c r="BP878" s="1" t="s">
        <v>74</v>
      </c>
      <c r="BQ878" s="1" t="s">
        <v>74</v>
      </c>
      <c r="BR878" s="1" t="s">
        <v>102</v>
      </c>
      <c r="BS878" s="1" t="s">
        <v>17535</v>
      </c>
      <c r="BT878" s="1" t="str">
        <f>HYPERLINK("https%3A%2F%2Fwww.webofscience.com%2Fwos%2Fwoscc%2Ffull-record%2FWOS:001079358300001","View Full Record in Web of Science")</f>
        <v>View Full Record in Web of Science</v>
      </c>
    </row>
    <row r="879" ht="12.75" customHeight="1">
      <c r="A879" s="1" t="s">
        <v>132</v>
      </c>
      <c r="B879" s="1" t="s">
        <v>17536</v>
      </c>
      <c r="C879" s="1" t="s">
        <v>74</v>
      </c>
      <c r="D879" s="1" t="s">
        <v>74</v>
      </c>
      <c r="E879" s="1" t="s">
        <v>74</v>
      </c>
      <c r="F879" s="1" t="s">
        <v>17537</v>
      </c>
      <c r="G879" s="1" t="s">
        <v>74</v>
      </c>
      <c r="H879" s="1" t="s">
        <v>74</v>
      </c>
      <c r="I879" s="1" t="s">
        <v>17538</v>
      </c>
      <c r="J879" s="1" t="s">
        <v>17539</v>
      </c>
      <c r="K879" s="1" t="s">
        <v>74</v>
      </c>
      <c r="L879" s="1" t="s">
        <v>74</v>
      </c>
      <c r="M879" s="1" t="s">
        <v>80</v>
      </c>
      <c r="N879" s="1" t="s">
        <v>338</v>
      </c>
      <c r="O879" s="1" t="s">
        <v>74</v>
      </c>
      <c r="P879" s="1" t="s">
        <v>74</v>
      </c>
      <c r="Q879" s="1" t="s">
        <v>74</v>
      </c>
      <c r="R879" s="1" t="s">
        <v>74</v>
      </c>
      <c r="S879" s="1" t="s">
        <v>74</v>
      </c>
      <c r="T879" s="1" t="s">
        <v>17540</v>
      </c>
      <c r="U879" s="1" t="s">
        <v>74</v>
      </c>
      <c r="V879" s="1" t="s">
        <v>17541</v>
      </c>
      <c r="W879" s="1" t="s">
        <v>17542</v>
      </c>
      <c r="X879" s="1" t="s">
        <v>17543</v>
      </c>
      <c r="Y879" s="1" t="s">
        <v>17544</v>
      </c>
      <c r="Z879" s="1" t="s">
        <v>17545</v>
      </c>
      <c r="AA879" s="1" t="s">
        <v>17546</v>
      </c>
      <c r="AB879" s="1" t="s">
        <v>17547</v>
      </c>
      <c r="AC879" s="1" t="s">
        <v>17548</v>
      </c>
      <c r="AD879" s="1" t="s">
        <v>17548</v>
      </c>
      <c r="AE879" s="1" t="s">
        <v>17549</v>
      </c>
      <c r="AF879" s="1" t="s">
        <v>74</v>
      </c>
      <c r="AG879" s="1">
        <v>17.0</v>
      </c>
      <c r="AH879" s="1">
        <v>4.0</v>
      </c>
      <c r="AI879" s="1">
        <v>4.0</v>
      </c>
      <c r="AJ879" s="1">
        <v>238.0</v>
      </c>
      <c r="AK879" s="1">
        <v>376.0</v>
      </c>
      <c r="AL879" s="1" t="s">
        <v>595</v>
      </c>
      <c r="AM879" s="1" t="s">
        <v>467</v>
      </c>
      <c r="AN879" s="1" t="s">
        <v>596</v>
      </c>
      <c r="AO879" s="1" t="s">
        <v>17550</v>
      </c>
      <c r="AP879" s="1" t="s">
        <v>17551</v>
      </c>
      <c r="AQ879" s="1" t="s">
        <v>74</v>
      </c>
      <c r="AR879" s="1" t="s">
        <v>17552</v>
      </c>
      <c r="AS879" s="1" t="s">
        <v>17553</v>
      </c>
      <c r="AT879" s="1" t="s">
        <v>17554</v>
      </c>
      <c r="AU879" s="1">
        <v>2024.0</v>
      </c>
      <c r="AV879" s="1" t="s">
        <v>74</v>
      </c>
      <c r="AW879" s="1" t="s">
        <v>74</v>
      </c>
      <c r="AX879" s="1" t="s">
        <v>74</v>
      </c>
      <c r="AY879" s="1" t="s">
        <v>74</v>
      </c>
      <c r="AZ879" s="1" t="s">
        <v>74</v>
      </c>
      <c r="BA879" s="1" t="s">
        <v>74</v>
      </c>
      <c r="BB879" s="1" t="s">
        <v>74</v>
      </c>
      <c r="BC879" s="1" t="s">
        <v>74</v>
      </c>
      <c r="BD879" s="1" t="s">
        <v>74</v>
      </c>
      <c r="BE879" s="1" t="s">
        <v>17555</v>
      </c>
      <c r="BF879" s="2" t="str">
        <f>HYPERLINK("http://dx.doi.org/10.1080/14703297.2024.2332744","http://dx.doi.org/10.1080/14703297.2024.2332744")</f>
        <v>http://dx.doi.org/10.1080/14703297.2024.2332744</v>
      </c>
      <c r="BG879" s="1" t="s">
        <v>74</v>
      </c>
      <c r="BH879" s="1" t="s">
        <v>2958</v>
      </c>
      <c r="BI879" s="1">
        <v>7.0</v>
      </c>
      <c r="BJ879" s="1" t="s">
        <v>171</v>
      </c>
      <c r="BK879" s="1" t="s">
        <v>203</v>
      </c>
      <c r="BL879" s="1" t="s">
        <v>171</v>
      </c>
      <c r="BM879" s="1" t="s">
        <v>17556</v>
      </c>
      <c r="BN879" s="1" t="s">
        <v>74</v>
      </c>
      <c r="BO879" s="1" t="s">
        <v>74</v>
      </c>
      <c r="BP879" s="1" t="s">
        <v>74</v>
      </c>
      <c r="BQ879" s="1" t="s">
        <v>74</v>
      </c>
      <c r="BR879" s="1" t="s">
        <v>102</v>
      </c>
      <c r="BS879" s="1" t="s">
        <v>17557</v>
      </c>
      <c r="BT879" s="1" t="str">
        <f>HYPERLINK("https%3A%2F%2Fwww.webofscience.com%2Fwos%2Fwoscc%2Ffull-record%2FWOS:001190752200001","View Full Record in Web of Science")</f>
        <v>View Full Record in Web of Science</v>
      </c>
    </row>
    <row r="880" ht="12.75" customHeight="1">
      <c r="A880" s="1" t="s">
        <v>72</v>
      </c>
      <c r="B880" s="1" t="s">
        <v>17558</v>
      </c>
      <c r="C880" s="1" t="s">
        <v>74</v>
      </c>
      <c r="D880" s="1" t="s">
        <v>17559</v>
      </c>
      <c r="E880" s="1" t="s">
        <v>74</v>
      </c>
      <c r="F880" s="1" t="s">
        <v>17560</v>
      </c>
      <c r="G880" s="1" t="s">
        <v>74</v>
      </c>
      <c r="H880" s="1" t="s">
        <v>74</v>
      </c>
      <c r="I880" s="1" t="s">
        <v>17561</v>
      </c>
      <c r="J880" s="1" t="s">
        <v>17562</v>
      </c>
      <c r="K880" s="1" t="s">
        <v>17563</v>
      </c>
      <c r="L880" s="1" t="s">
        <v>74</v>
      </c>
      <c r="M880" s="1" t="s">
        <v>80</v>
      </c>
      <c r="N880" s="1" t="s">
        <v>81</v>
      </c>
      <c r="O880" s="1" t="s">
        <v>17564</v>
      </c>
      <c r="P880" s="1" t="s">
        <v>17565</v>
      </c>
      <c r="Q880" s="1" t="s">
        <v>17566</v>
      </c>
      <c r="R880" s="1" t="s">
        <v>17567</v>
      </c>
      <c r="S880" s="1" t="s">
        <v>74</v>
      </c>
      <c r="T880" s="1" t="s">
        <v>17568</v>
      </c>
      <c r="U880" s="1" t="s">
        <v>74</v>
      </c>
      <c r="V880" s="1" t="s">
        <v>17569</v>
      </c>
      <c r="W880" s="1" t="s">
        <v>17570</v>
      </c>
      <c r="X880" s="1" t="s">
        <v>17571</v>
      </c>
      <c r="Y880" s="1" t="s">
        <v>17572</v>
      </c>
      <c r="Z880" s="1" t="s">
        <v>17573</v>
      </c>
      <c r="AA880" s="1" t="s">
        <v>17574</v>
      </c>
      <c r="AB880" s="1" t="s">
        <v>17575</v>
      </c>
      <c r="AC880" s="1" t="s">
        <v>17576</v>
      </c>
      <c r="AD880" s="1" t="s">
        <v>17577</v>
      </c>
      <c r="AE880" s="1" t="s">
        <v>17578</v>
      </c>
      <c r="AF880" s="1" t="s">
        <v>74</v>
      </c>
      <c r="AG880" s="1">
        <v>29.0</v>
      </c>
      <c r="AH880" s="1">
        <v>3.0</v>
      </c>
      <c r="AI880" s="1">
        <v>5.0</v>
      </c>
      <c r="AJ880" s="1">
        <v>8.0</v>
      </c>
      <c r="AK880" s="1">
        <v>85.0</v>
      </c>
      <c r="AL880" s="1" t="s">
        <v>17579</v>
      </c>
      <c r="AM880" s="1" t="s">
        <v>17580</v>
      </c>
      <c r="AN880" s="1" t="s">
        <v>17581</v>
      </c>
      <c r="AO880" s="1" t="s">
        <v>17582</v>
      </c>
      <c r="AP880" s="1" t="s">
        <v>17583</v>
      </c>
      <c r="AQ880" s="1" t="s">
        <v>74</v>
      </c>
      <c r="AR880" s="1" t="s">
        <v>17584</v>
      </c>
      <c r="AS880" s="1" t="s">
        <v>74</v>
      </c>
      <c r="AT880" s="1" t="s">
        <v>74</v>
      </c>
      <c r="AU880" s="1">
        <v>2019.0</v>
      </c>
      <c r="AV880" s="1" t="s">
        <v>74</v>
      </c>
      <c r="AW880" s="1" t="s">
        <v>74</v>
      </c>
      <c r="AX880" s="1" t="s">
        <v>74</v>
      </c>
      <c r="AY880" s="1" t="s">
        <v>74</v>
      </c>
      <c r="AZ880" s="1" t="s">
        <v>74</v>
      </c>
      <c r="BA880" s="1" t="s">
        <v>74</v>
      </c>
      <c r="BB880" s="1">
        <v>96.0</v>
      </c>
      <c r="BC880" s="1">
        <v>104.0</v>
      </c>
      <c r="BD880" s="1" t="s">
        <v>74</v>
      </c>
      <c r="BE880" s="1" t="s">
        <v>74</v>
      </c>
      <c r="BF880" s="1" t="s">
        <v>74</v>
      </c>
      <c r="BG880" s="1" t="s">
        <v>74</v>
      </c>
      <c r="BH880" s="1" t="s">
        <v>74</v>
      </c>
      <c r="BI880" s="1">
        <v>9.0</v>
      </c>
      <c r="BJ880" s="1" t="s">
        <v>17585</v>
      </c>
      <c r="BK880" s="1" t="s">
        <v>99</v>
      </c>
      <c r="BL880" s="1" t="s">
        <v>17586</v>
      </c>
      <c r="BM880" s="1" t="s">
        <v>17587</v>
      </c>
      <c r="BN880" s="1" t="s">
        <v>74</v>
      </c>
      <c r="BO880" s="1" t="s">
        <v>74</v>
      </c>
      <c r="BP880" s="1" t="s">
        <v>74</v>
      </c>
      <c r="BQ880" s="1" t="s">
        <v>74</v>
      </c>
      <c r="BR880" s="1" t="s">
        <v>102</v>
      </c>
      <c r="BS880" s="1" t="s">
        <v>17588</v>
      </c>
      <c r="BT880" s="1" t="str">
        <f>HYPERLINK("https%3A%2F%2Fwww.webofscience.com%2Fwos%2Fwoscc%2Ffull-record%2FWOS:000567298100011","View Full Record in Web of Science")</f>
        <v>View Full Record in Web of Science</v>
      </c>
    </row>
    <row r="881" ht="12.75" customHeight="1">
      <c r="A881" s="1" t="s">
        <v>132</v>
      </c>
      <c r="B881" s="1" t="s">
        <v>17589</v>
      </c>
      <c r="C881" s="1" t="s">
        <v>74</v>
      </c>
      <c r="D881" s="1" t="s">
        <v>74</v>
      </c>
      <c r="E881" s="1" t="s">
        <v>74</v>
      </c>
      <c r="F881" s="1" t="s">
        <v>17590</v>
      </c>
      <c r="G881" s="1" t="s">
        <v>74</v>
      </c>
      <c r="H881" s="1" t="s">
        <v>74</v>
      </c>
      <c r="I881" s="1" t="s">
        <v>17591</v>
      </c>
      <c r="J881" s="1" t="s">
        <v>7242</v>
      </c>
      <c r="K881" s="1" t="s">
        <v>74</v>
      </c>
      <c r="L881" s="1" t="s">
        <v>74</v>
      </c>
      <c r="M881" s="1" t="s">
        <v>80</v>
      </c>
      <c r="N881" s="1" t="s">
        <v>136</v>
      </c>
      <c r="O881" s="1" t="s">
        <v>74</v>
      </c>
      <c r="P881" s="1" t="s">
        <v>74</v>
      </c>
      <c r="Q881" s="1" t="s">
        <v>74</v>
      </c>
      <c r="R881" s="1" t="s">
        <v>74</v>
      </c>
      <c r="S881" s="1" t="s">
        <v>74</v>
      </c>
      <c r="T881" s="1" t="s">
        <v>17592</v>
      </c>
      <c r="U881" s="1" t="s">
        <v>17593</v>
      </c>
      <c r="V881" s="1" t="s">
        <v>17594</v>
      </c>
      <c r="W881" s="1" t="s">
        <v>17595</v>
      </c>
      <c r="X881" s="1" t="s">
        <v>17596</v>
      </c>
      <c r="Y881" s="1" t="s">
        <v>17597</v>
      </c>
      <c r="Z881" s="1" t="s">
        <v>17598</v>
      </c>
      <c r="AA881" s="1" t="s">
        <v>14208</v>
      </c>
      <c r="AB881" s="1" t="s">
        <v>17599</v>
      </c>
      <c r="AC881" s="1" t="s">
        <v>17600</v>
      </c>
      <c r="AD881" s="1" t="s">
        <v>17601</v>
      </c>
      <c r="AE881" s="1" t="s">
        <v>17602</v>
      </c>
      <c r="AF881" s="1" t="s">
        <v>74</v>
      </c>
      <c r="AG881" s="1">
        <v>82.0</v>
      </c>
      <c r="AH881" s="1">
        <v>145.0</v>
      </c>
      <c r="AI881" s="1">
        <v>145.0</v>
      </c>
      <c r="AJ881" s="1">
        <v>131.0</v>
      </c>
      <c r="AK881" s="1">
        <v>357.0</v>
      </c>
      <c r="AL881" s="1" t="s">
        <v>192</v>
      </c>
      <c r="AM881" s="1" t="s">
        <v>193</v>
      </c>
      <c r="AN881" s="1" t="s">
        <v>194</v>
      </c>
      <c r="AO881" s="1" t="s">
        <v>7252</v>
      </c>
      <c r="AP881" s="1" t="s">
        <v>7253</v>
      </c>
      <c r="AQ881" s="1" t="s">
        <v>74</v>
      </c>
      <c r="AR881" s="1" t="s">
        <v>7254</v>
      </c>
      <c r="AS881" s="1" t="s">
        <v>7255</v>
      </c>
      <c r="AT881" s="1" t="s">
        <v>1253</v>
      </c>
      <c r="AU881" s="1">
        <v>2023.0</v>
      </c>
      <c r="AV881" s="1">
        <v>28.0</v>
      </c>
      <c r="AW881" s="1">
        <v>4.0</v>
      </c>
      <c r="AX881" s="1" t="s">
        <v>74</v>
      </c>
      <c r="AY881" s="1" t="s">
        <v>74</v>
      </c>
      <c r="AZ881" s="1" t="s">
        <v>74</v>
      </c>
      <c r="BA881" s="1" t="s">
        <v>74</v>
      </c>
      <c r="BB881" s="1">
        <v>4221.0</v>
      </c>
      <c r="BC881" s="1">
        <v>4241.0</v>
      </c>
      <c r="BD881" s="1" t="s">
        <v>74</v>
      </c>
      <c r="BE881" s="1" t="s">
        <v>17603</v>
      </c>
      <c r="BF881" s="2" t="str">
        <f>HYPERLINK("http://dx.doi.org/10.1007/s10639-022-11316-w","http://dx.doi.org/10.1007/s10639-022-11316-w")</f>
        <v>http://dx.doi.org/10.1007/s10639-022-11316-w</v>
      </c>
      <c r="BG881" s="1" t="s">
        <v>74</v>
      </c>
      <c r="BH881" s="1" t="s">
        <v>9035</v>
      </c>
      <c r="BI881" s="1">
        <v>21.0</v>
      </c>
      <c r="BJ881" s="1" t="s">
        <v>171</v>
      </c>
      <c r="BK881" s="1" t="s">
        <v>203</v>
      </c>
      <c r="BL881" s="1" t="s">
        <v>171</v>
      </c>
      <c r="BM881" s="1" t="s">
        <v>17604</v>
      </c>
      <c r="BN881" s="1">
        <v>3.6254344E7</v>
      </c>
      <c r="BO881" s="1" t="s">
        <v>7447</v>
      </c>
      <c r="BP881" s="1" t="s">
        <v>74</v>
      </c>
      <c r="BQ881" s="1" t="s">
        <v>74</v>
      </c>
      <c r="BR881" s="1" t="s">
        <v>102</v>
      </c>
      <c r="BS881" s="1" t="s">
        <v>17605</v>
      </c>
      <c r="BT881" s="1" t="str">
        <f>HYPERLINK("https%3A%2F%2Fwww.webofscience.com%2Fwos%2Fwoscc%2Ffull-record%2FWOS:000867578100004","View Full Record in Web of Science")</f>
        <v>View Full Record in Web of Science</v>
      </c>
    </row>
    <row r="882" ht="12.75" customHeight="1">
      <c r="A882" s="1" t="s">
        <v>132</v>
      </c>
      <c r="B882" s="1" t="s">
        <v>17606</v>
      </c>
      <c r="C882" s="1" t="s">
        <v>74</v>
      </c>
      <c r="D882" s="1" t="s">
        <v>74</v>
      </c>
      <c r="E882" s="1" t="s">
        <v>74</v>
      </c>
      <c r="F882" s="1" t="s">
        <v>17607</v>
      </c>
      <c r="G882" s="1" t="s">
        <v>74</v>
      </c>
      <c r="H882" s="1" t="s">
        <v>74</v>
      </c>
      <c r="I882" s="1" t="s">
        <v>17608</v>
      </c>
      <c r="J882" s="1" t="s">
        <v>17609</v>
      </c>
      <c r="K882" s="1" t="s">
        <v>74</v>
      </c>
      <c r="L882" s="1" t="s">
        <v>74</v>
      </c>
      <c r="M882" s="1" t="s">
        <v>80</v>
      </c>
      <c r="N882" s="1" t="s">
        <v>136</v>
      </c>
      <c r="O882" s="1" t="s">
        <v>74</v>
      </c>
      <c r="P882" s="1" t="s">
        <v>74</v>
      </c>
      <c r="Q882" s="1" t="s">
        <v>74</v>
      </c>
      <c r="R882" s="1" t="s">
        <v>74</v>
      </c>
      <c r="S882" s="1" t="s">
        <v>74</v>
      </c>
      <c r="T882" s="1" t="s">
        <v>17610</v>
      </c>
      <c r="U882" s="1" t="s">
        <v>17611</v>
      </c>
      <c r="V882" s="1" t="s">
        <v>17612</v>
      </c>
      <c r="W882" s="1" t="s">
        <v>17613</v>
      </c>
      <c r="X882" s="1" t="s">
        <v>17614</v>
      </c>
      <c r="Y882" s="1" t="s">
        <v>17615</v>
      </c>
      <c r="Z882" s="1" t="s">
        <v>17616</v>
      </c>
      <c r="AA882" s="1" t="s">
        <v>17617</v>
      </c>
      <c r="AB882" s="1" t="s">
        <v>17618</v>
      </c>
      <c r="AC882" s="1" t="s">
        <v>74</v>
      </c>
      <c r="AD882" s="1" t="s">
        <v>74</v>
      </c>
      <c r="AE882" s="1" t="s">
        <v>74</v>
      </c>
      <c r="AF882" s="1" t="s">
        <v>74</v>
      </c>
      <c r="AG882" s="1">
        <v>26.0</v>
      </c>
      <c r="AH882" s="1">
        <v>13.0</v>
      </c>
      <c r="AI882" s="1">
        <v>13.0</v>
      </c>
      <c r="AJ882" s="1">
        <v>4.0</v>
      </c>
      <c r="AK882" s="1">
        <v>19.0</v>
      </c>
      <c r="AL882" s="1" t="s">
        <v>192</v>
      </c>
      <c r="AM882" s="1" t="s">
        <v>193</v>
      </c>
      <c r="AN882" s="1" t="s">
        <v>194</v>
      </c>
      <c r="AO882" s="1" t="s">
        <v>17619</v>
      </c>
      <c r="AP882" s="1" t="s">
        <v>17620</v>
      </c>
      <c r="AQ882" s="1" t="s">
        <v>74</v>
      </c>
      <c r="AR882" s="1" t="s">
        <v>17621</v>
      </c>
      <c r="AS882" s="1" t="s">
        <v>13210</v>
      </c>
      <c r="AT882" s="1" t="s">
        <v>302</v>
      </c>
      <c r="AU882" s="1">
        <v>2020.0</v>
      </c>
      <c r="AV882" s="1">
        <v>14.0</v>
      </c>
      <c r="AW882" s="1">
        <v>4.0</v>
      </c>
      <c r="AX882" s="1" t="s">
        <v>74</v>
      </c>
      <c r="AY882" s="1" t="s">
        <v>74</v>
      </c>
      <c r="AZ882" s="1" t="s">
        <v>74</v>
      </c>
      <c r="BA882" s="1" t="s">
        <v>74</v>
      </c>
      <c r="BB882" s="1">
        <v>511.0</v>
      </c>
      <c r="BC882" s="1">
        <v>517.0</v>
      </c>
      <c r="BD882" s="1" t="s">
        <v>74</v>
      </c>
      <c r="BE882" s="1" t="s">
        <v>17622</v>
      </c>
      <c r="BF882" s="2" t="str">
        <f>HYPERLINK("http://dx.doi.org/10.1007/s11684-020-0742-4","http://dx.doi.org/10.1007/s11684-020-0742-4")</f>
        <v>http://dx.doi.org/10.1007/s11684-020-0742-4</v>
      </c>
      <c r="BG882" s="1" t="s">
        <v>74</v>
      </c>
      <c r="BH882" s="1" t="s">
        <v>17623</v>
      </c>
      <c r="BI882" s="1">
        <v>7.0</v>
      </c>
      <c r="BJ882" s="1" t="s">
        <v>17624</v>
      </c>
      <c r="BK882" s="1" t="s">
        <v>149</v>
      </c>
      <c r="BL882" s="1" t="s">
        <v>17625</v>
      </c>
      <c r="BM882" s="1" t="s">
        <v>17626</v>
      </c>
      <c r="BN882" s="1">
        <v>3.2458189E7</v>
      </c>
      <c r="BO882" s="1" t="s">
        <v>74</v>
      </c>
      <c r="BP882" s="1" t="s">
        <v>74</v>
      </c>
      <c r="BQ882" s="1" t="s">
        <v>74</v>
      </c>
      <c r="BR882" s="1" t="s">
        <v>102</v>
      </c>
      <c r="BS882" s="1" t="s">
        <v>17627</v>
      </c>
      <c r="BT882" s="1" t="str">
        <f>HYPERLINK("https%3A%2F%2Fwww.webofscience.com%2Fwos%2Fwoscc%2Ffull-record%2FWOS:000535671400001","View Full Record in Web of Science")</f>
        <v>View Full Record in Web of Science</v>
      </c>
    </row>
    <row r="883" ht="12.75" customHeight="1">
      <c r="A883" s="1" t="s">
        <v>132</v>
      </c>
      <c r="B883" s="1" t="s">
        <v>17628</v>
      </c>
      <c r="C883" s="1" t="s">
        <v>74</v>
      </c>
      <c r="D883" s="1" t="s">
        <v>74</v>
      </c>
      <c r="E883" s="1" t="s">
        <v>74</v>
      </c>
      <c r="F883" s="1" t="s">
        <v>17629</v>
      </c>
      <c r="G883" s="1" t="s">
        <v>74</v>
      </c>
      <c r="H883" s="1" t="s">
        <v>74</v>
      </c>
      <c r="I883" s="1" t="s">
        <v>17630</v>
      </c>
      <c r="J883" s="1" t="s">
        <v>17631</v>
      </c>
      <c r="K883" s="1" t="s">
        <v>74</v>
      </c>
      <c r="L883" s="1" t="s">
        <v>74</v>
      </c>
      <c r="M883" s="1" t="s">
        <v>80</v>
      </c>
      <c r="N883" s="1" t="s">
        <v>136</v>
      </c>
      <c r="O883" s="1" t="s">
        <v>74</v>
      </c>
      <c r="P883" s="1" t="s">
        <v>74</v>
      </c>
      <c r="Q883" s="1" t="s">
        <v>74</v>
      </c>
      <c r="R883" s="1" t="s">
        <v>74</v>
      </c>
      <c r="S883" s="1" t="s">
        <v>74</v>
      </c>
      <c r="T883" s="1" t="s">
        <v>17632</v>
      </c>
      <c r="U883" s="1" t="s">
        <v>17633</v>
      </c>
      <c r="V883" s="1" t="s">
        <v>17634</v>
      </c>
      <c r="W883" s="1" t="s">
        <v>17635</v>
      </c>
      <c r="X883" s="1" t="s">
        <v>17636</v>
      </c>
      <c r="Y883" s="1" t="s">
        <v>17637</v>
      </c>
      <c r="Z883" s="1" t="s">
        <v>17638</v>
      </c>
      <c r="AA883" s="1" t="s">
        <v>74</v>
      </c>
      <c r="AB883" s="1" t="s">
        <v>74</v>
      </c>
      <c r="AC883" s="1" t="s">
        <v>17639</v>
      </c>
      <c r="AD883" s="1" t="s">
        <v>17640</v>
      </c>
      <c r="AE883" s="1" t="s">
        <v>17641</v>
      </c>
      <c r="AF883" s="1" t="s">
        <v>74</v>
      </c>
      <c r="AG883" s="1">
        <v>134.0</v>
      </c>
      <c r="AH883" s="1">
        <v>13.0</v>
      </c>
      <c r="AI883" s="1">
        <v>13.0</v>
      </c>
      <c r="AJ883" s="1">
        <v>17.0</v>
      </c>
      <c r="AK883" s="1">
        <v>22.0</v>
      </c>
      <c r="AL883" s="1" t="s">
        <v>1357</v>
      </c>
      <c r="AM883" s="1" t="s">
        <v>1358</v>
      </c>
      <c r="AN883" s="1" t="s">
        <v>1359</v>
      </c>
      <c r="AO883" s="1" t="s">
        <v>17642</v>
      </c>
      <c r="AP883" s="1" t="s">
        <v>74</v>
      </c>
      <c r="AQ883" s="1" t="s">
        <v>74</v>
      </c>
      <c r="AR883" s="1" t="s">
        <v>17643</v>
      </c>
      <c r="AS883" s="1" t="s">
        <v>17644</v>
      </c>
      <c r="AT883" s="1" t="s">
        <v>1027</v>
      </c>
      <c r="AU883" s="1">
        <v>2024.0</v>
      </c>
      <c r="AV883" s="1">
        <v>3.0</v>
      </c>
      <c r="AW883" s="1">
        <v>3.0</v>
      </c>
      <c r="AX883" s="1" t="s">
        <v>74</v>
      </c>
      <c r="AY883" s="1" t="s">
        <v>74</v>
      </c>
      <c r="AZ883" s="1" t="s">
        <v>474</v>
      </c>
      <c r="BA883" s="1" t="s">
        <v>74</v>
      </c>
      <c r="BB883" s="1" t="s">
        <v>74</v>
      </c>
      <c r="BC883" s="1" t="s">
        <v>74</v>
      </c>
      <c r="BD883" s="1">
        <v>2300009.0</v>
      </c>
      <c r="BE883" s="1" t="s">
        <v>17645</v>
      </c>
      <c r="BF883" s="2" t="str">
        <f>HYPERLINK("http://dx.doi.org/10.1002/adsr.202300009","http://dx.doi.org/10.1002/adsr.202300009")</f>
        <v>http://dx.doi.org/10.1002/adsr.202300009</v>
      </c>
      <c r="BG883" s="1" t="s">
        <v>74</v>
      </c>
      <c r="BH883" s="1" t="s">
        <v>74</v>
      </c>
      <c r="BI883" s="1">
        <v>15.0</v>
      </c>
      <c r="BJ883" s="1" t="s">
        <v>17646</v>
      </c>
      <c r="BK883" s="1" t="s">
        <v>172</v>
      </c>
      <c r="BL883" s="1" t="s">
        <v>17647</v>
      </c>
      <c r="BM883" s="1" t="s">
        <v>17648</v>
      </c>
      <c r="BN883" s="1" t="s">
        <v>74</v>
      </c>
      <c r="BO883" s="1" t="s">
        <v>174</v>
      </c>
      <c r="BP883" s="1" t="s">
        <v>74</v>
      </c>
      <c r="BQ883" s="1" t="s">
        <v>74</v>
      </c>
      <c r="BR883" s="1" t="s">
        <v>102</v>
      </c>
      <c r="BS883" s="1" t="s">
        <v>17649</v>
      </c>
      <c r="BT883" s="1" t="str">
        <f>HYPERLINK("https%3A%2F%2Fwww.webofscience.com%2Fwos%2Fwoscc%2Ffull-record%2FWOS:001247154900006","View Full Record in Web of Science")</f>
        <v>View Full Record in Web of Science</v>
      </c>
    </row>
    <row r="884" ht="12.75" customHeight="1">
      <c r="A884" s="1" t="s">
        <v>72</v>
      </c>
      <c r="B884" s="1" t="s">
        <v>17650</v>
      </c>
      <c r="C884" s="1" t="s">
        <v>74</v>
      </c>
      <c r="D884" s="1" t="s">
        <v>17651</v>
      </c>
      <c r="E884" s="1" t="s">
        <v>74</v>
      </c>
      <c r="F884" s="1" t="s">
        <v>17652</v>
      </c>
      <c r="G884" s="1" t="s">
        <v>74</v>
      </c>
      <c r="H884" s="1" t="s">
        <v>74</v>
      </c>
      <c r="I884" s="1" t="s">
        <v>17653</v>
      </c>
      <c r="J884" s="1" t="s">
        <v>17654</v>
      </c>
      <c r="K884" s="1" t="s">
        <v>74</v>
      </c>
      <c r="L884" s="1" t="s">
        <v>74</v>
      </c>
      <c r="M884" s="1" t="s">
        <v>80</v>
      </c>
      <c r="N884" s="1" t="s">
        <v>81</v>
      </c>
      <c r="O884" s="1" t="s">
        <v>17655</v>
      </c>
      <c r="P884" s="1" t="s">
        <v>17656</v>
      </c>
      <c r="Q884" s="1" t="s">
        <v>15631</v>
      </c>
      <c r="R884" s="1" t="s">
        <v>74</v>
      </c>
      <c r="S884" s="1" t="s">
        <v>74</v>
      </c>
      <c r="T884" s="1" t="s">
        <v>17657</v>
      </c>
      <c r="U884" s="1" t="s">
        <v>74</v>
      </c>
      <c r="V884" s="1" t="s">
        <v>17658</v>
      </c>
      <c r="W884" s="1" t="s">
        <v>17659</v>
      </c>
      <c r="X884" s="1" t="s">
        <v>74</v>
      </c>
      <c r="Y884" s="1" t="s">
        <v>17660</v>
      </c>
      <c r="Z884" s="1" t="s">
        <v>74</v>
      </c>
      <c r="AA884" s="1" t="s">
        <v>74</v>
      </c>
      <c r="AB884" s="1" t="s">
        <v>74</v>
      </c>
      <c r="AC884" s="1" t="s">
        <v>74</v>
      </c>
      <c r="AD884" s="1" t="s">
        <v>74</v>
      </c>
      <c r="AE884" s="1" t="s">
        <v>74</v>
      </c>
      <c r="AF884" s="1" t="s">
        <v>74</v>
      </c>
      <c r="AG884" s="1">
        <v>7.0</v>
      </c>
      <c r="AH884" s="1">
        <v>2.0</v>
      </c>
      <c r="AI884" s="1">
        <v>2.0</v>
      </c>
      <c r="AJ884" s="1">
        <v>1.0</v>
      </c>
      <c r="AK884" s="1">
        <v>11.0</v>
      </c>
      <c r="AL884" s="1" t="s">
        <v>17661</v>
      </c>
      <c r="AM884" s="1" t="s">
        <v>17662</v>
      </c>
      <c r="AN884" s="1" t="s">
        <v>17663</v>
      </c>
      <c r="AO884" s="1" t="s">
        <v>74</v>
      </c>
      <c r="AP884" s="1" t="s">
        <v>74</v>
      </c>
      <c r="AQ884" s="1" t="s">
        <v>17664</v>
      </c>
      <c r="AR884" s="1" t="s">
        <v>74</v>
      </c>
      <c r="AS884" s="1" t="s">
        <v>74</v>
      </c>
      <c r="AT884" s="1" t="s">
        <v>74</v>
      </c>
      <c r="AU884" s="1">
        <v>2019.0</v>
      </c>
      <c r="AV884" s="1" t="s">
        <v>74</v>
      </c>
      <c r="AW884" s="1" t="s">
        <v>74</v>
      </c>
      <c r="AX884" s="1" t="s">
        <v>74</v>
      </c>
      <c r="AY884" s="1" t="s">
        <v>74</v>
      </c>
      <c r="AZ884" s="1" t="s">
        <v>74</v>
      </c>
      <c r="BA884" s="1" t="s">
        <v>74</v>
      </c>
      <c r="BB884" s="1">
        <v>194.0</v>
      </c>
      <c r="BC884" s="1">
        <v>198.0</v>
      </c>
      <c r="BD884" s="1" t="s">
        <v>74</v>
      </c>
      <c r="BE884" s="1" t="s">
        <v>17665</v>
      </c>
      <c r="BF884" s="2" t="str">
        <f>HYPERLINK("http://dx.doi.org/10.5220/0007767701940198","http://dx.doi.org/10.5220/0007767701940198")</f>
        <v>http://dx.doi.org/10.5220/0007767701940198</v>
      </c>
      <c r="BG884" s="1" t="s">
        <v>74</v>
      </c>
      <c r="BH884" s="1" t="s">
        <v>74</v>
      </c>
      <c r="BI884" s="1">
        <v>5.0</v>
      </c>
      <c r="BJ884" s="1" t="s">
        <v>17666</v>
      </c>
      <c r="BK884" s="1" t="s">
        <v>128</v>
      </c>
      <c r="BL884" s="1" t="s">
        <v>17667</v>
      </c>
      <c r="BM884" s="1" t="s">
        <v>17668</v>
      </c>
      <c r="BN884" s="1" t="s">
        <v>74</v>
      </c>
      <c r="BO884" s="1" t="s">
        <v>306</v>
      </c>
      <c r="BP884" s="1" t="s">
        <v>74</v>
      </c>
      <c r="BQ884" s="1" t="s">
        <v>74</v>
      </c>
      <c r="BR884" s="1" t="s">
        <v>102</v>
      </c>
      <c r="BS884" s="1" t="s">
        <v>17669</v>
      </c>
      <c r="BT884" s="1" t="str">
        <f>HYPERLINK("https%3A%2F%2Fwww.webofscience.com%2Fwos%2Fwoscc%2Ffull-record%2FWOS:000570489100021","View Full Record in Web of Science")</f>
        <v>View Full Record in Web of Science</v>
      </c>
    </row>
    <row r="885" ht="12.75" customHeight="1">
      <c r="A885" s="1" t="s">
        <v>72</v>
      </c>
      <c r="B885" s="1" t="s">
        <v>17670</v>
      </c>
      <c r="C885" s="1" t="s">
        <v>74</v>
      </c>
      <c r="D885" s="1" t="s">
        <v>74</v>
      </c>
      <c r="E885" s="1" t="s">
        <v>236</v>
      </c>
      <c r="F885" s="1" t="s">
        <v>17671</v>
      </c>
      <c r="G885" s="1" t="s">
        <v>74</v>
      </c>
      <c r="H885" s="1" t="s">
        <v>74</v>
      </c>
      <c r="I885" s="1" t="s">
        <v>17672</v>
      </c>
      <c r="J885" s="1" t="s">
        <v>17673</v>
      </c>
      <c r="K885" s="1" t="s">
        <v>17674</v>
      </c>
      <c r="L885" s="1" t="s">
        <v>74</v>
      </c>
      <c r="M885" s="1" t="s">
        <v>80</v>
      </c>
      <c r="N885" s="1" t="s">
        <v>81</v>
      </c>
      <c r="O885" s="1" t="s">
        <v>17675</v>
      </c>
      <c r="P885" s="1" t="s">
        <v>17676</v>
      </c>
      <c r="Q885" s="1" t="s">
        <v>8279</v>
      </c>
      <c r="R885" s="1" t="s">
        <v>74</v>
      </c>
      <c r="S885" s="1" t="s">
        <v>74</v>
      </c>
      <c r="T885" s="1" t="s">
        <v>17677</v>
      </c>
      <c r="U885" s="1" t="s">
        <v>74</v>
      </c>
      <c r="V885" s="1" t="s">
        <v>17678</v>
      </c>
      <c r="W885" s="1" t="s">
        <v>17679</v>
      </c>
      <c r="X885" s="1" t="s">
        <v>17680</v>
      </c>
      <c r="Y885" s="1" t="s">
        <v>17681</v>
      </c>
      <c r="Z885" s="1" t="s">
        <v>17682</v>
      </c>
      <c r="AA885" s="1" t="s">
        <v>17683</v>
      </c>
      <c r="AB885" s="1" t="s">
        <v>74</v>
      </c>
      <c r="AC885" s="1" t="s">
        <v>74</v>
      </c>
      <c r="AD885" s="1" t="s">
        <v>74</v>
      </c>
      <c r="AE885" s="1" t="s">
        <v>74</v>
      </c>
      <c r="AF885" s="1" t="s">
        <v>74</v>
      </c>
      <c r="AG885" s="1">
        <v>7.0</v>
      </c>
      <c r="AH885" s="1">
        <v>3.0</v>
      </c>
      <c r="AI885" s="1">
        <v>3.0</v>
      </c>
      <c r="AJ885" s="1">
        <v>7.0</v>
      </c>
      <c r="AK885" s="1">
        <v>38.0</v>
      </c>
      <c r="AL885" s="1" t="s">
        <v>236</v>
      </c>
      <c r="AM885" s="1" t="s">
        <v>193</v>
      </c>
      <c r="AN885" s="1" t="s">
        <v>252</v>
      </c>
      <c r="AO885" s="1" t="s">
        <v>17684</v>
      </c>
      <c r="AP885" s="1" t="s">
        <v>74</v>
      </c>
      <c r="AQ885" s="1" t="s">
        <v>17685</v>
      </c>
      <c r="AR885" s="1" t="s">
        <v>17686</v>
      </c>
      <c r="AS885" s="1" t="s">
        <v>74</v>
      </c>
      <c r="AT885" s="1" t="s">
        <v>74</v>
      </c>
      <c r="AU885" s="1">
        <v>2021.0</v>
      </c>
      <c r="AV885" s="1" t="s">
        <v>74</v>
      </c>
      <c r="AW885" s="1" t="s">
        <v>74</v>
      </c>
      <c r="AX885" s="1" t="s">
        <v>74</v>
      </c>
      <c r="AY885" s="1" t="s">
        <v>74</v>
      </c>
      <c r="AZ885" s="1" t="s">
        <v>74</v>
      </c>
      <c r="BA885" s="1" t="s">
        <v>74</v>
      </c>
      <c r="BB885" s="1" t="s">
        <v>74</v>
      </c>
      <c r="BC885" s="1" t="s">
        <v>74</v>
      </c>
      <c r="BD885" s="1" t="s">
        <v>74</v>
      </c>
      <c r="BE885" s="1" t="s">
        <v>17687</v>
      </c>
      <c r="BF885" s="2" t="str">
        <f>HYPERLINK("http://dx.doi.org/10.1109/RAMS48097.2021.9605795","http://dx.doi.org/10.1109/RAMS48097.2021.9605795")</f>
        <v>http://dx.doi.org/10.1109/RAMS48097.2021.9605795</v>
      </c>
      <c r="BG885" s="1" t="s">
        <v>74</v>
      </c>
      <c r="BH885" s="1" t="s">
        <v>74</v>
      </c>
      <c r="BI885" s="1">
        <v>7.0</v>
      </c>
      <c r="BJ885" s="1" t="s">
        <v>17688</v>
      </c>
      <c r="BK885" s="1" t="s">
        <v>128</v>
      </c>
      <c r="BL885" s="1" t="s">
        <v>6006</v>
      </c>
      <c r="BM885" s="1" t="s">
        <v>17689</v>
      </c>
      <c r="BN885" s="1" t="s">
        <v>74</v>
      </c>
      <c r="BO885" s="1" t="s">
        <v>74</v>
      </c>
      <c r="BP885" s="1" t="s">
        <v>74</v>
      </c>
      <c r="BQ885" s="1" t="s">
        <v>74</v>
      </c>
      <c r="BR885" s="1" t="s">
        <v>102</v>
      </c>
      <c r="BS885" s="1" t="s">
        <v>17690</v>
      </c>
      <c r="BT885" s="1" t="str">
        <f>HYPERLINK("https%3A%2F%2Fwww.webofscience.com%2Fwos%2Fwoscc%2Ffull-record%2FWOS:000784131300093","View Full Record in Web of Science")</f>
        <v>View Full Record in Web of Science</v>
      </c>
    </row>
    <row r="886" ht="12.75" customHeight="1">
      <c r="A886" s="1" t="s">
        <v>132</v>
      </c>
      <c r="B886" s="1" t="s">
        <v>17691</v>
      </c>
      <c r="C886" s="1" t="s">
        <v>74</v>
      </c>
      <c r="D886" s="1" t="s">
        <v>74</v>
      </c>
      <c r="E886" s="1" t="s">
        <v>74</v>
      </c>
      <c r="F886" s="1" t="s">
        <v>17692</v>
      </c>
      <c r="G886" s="1" t="s">
        <v>74</v>
      </c>
      <c r="H886" s="1" t="s">
        <v>74</v>
      </c>
      <c r="I886" s="1" t="s">
        <v>17693</v>
      </c>
      <c r="J886" s="1" t="s">
        <v>17694</v>
      </c>
      <c r="K886" s="1" t="s">
        <v>74</v>
      </c>
      <c r="L886" s="1" t="s">
        <v>74</v>
      </c>
      <c r="M886" s="1" t="s">
        <v>80</v>
      </c>
      <c r="N886" s="1" t="s">
        <v>1010</v>
      </c>
      <c r="O886" s="1" t="s">
        <v>74</v>
      </c>
      <c r="P886" s="1" t="s">
        <v>74</v>
      </c>
      <c r="Q886" s="1" t="s">
        <v>74</v>
      </c>
      <c r="R886" s="1" t="s">
        <v>74</v>
      </c>
      <c r="S886" s="1" t="s">
        <v>74</v>
      </c>
      <c r="T886" s="1" t="s">
        <v>17695</v>
      </c>
      <c r="U886" s="1" t="s">
        <v>74</v>
      </c>
      <c r="V886" s="1" t="s">
        <v>17696</v>
      </c>
      <c r="W886" s="1" t="s">
        <v>17697</v>
      </c>
      <c r="X886" s="1" t="s">
        <v>17698</v>
      </c>
      <c r="Y886" s="1" t="s">
        <v>17699</v>
      </c>
      <c r="Z886" s="1" t="s">
        <v>17700</v>
      </c>
      <c r="AA886" s="1" t="s">
        <v>17701</v>
      </c>
      <c r="AB886" s="1" t="s">
        <v>17702</v>
      </c>
      <c r="AC886" s="1" t="s">
        <v>17703</v>
      </c>
      <c r="AD886" s="1" t="s">
        <v>17703</v>
      </c>
      <c r="AE886" s="1" t="s">
        <v>17704</v>
      </c>
      <c r="AF886" s="1" t="s">
        <v>74</v>
      </c>
      <c r="AG886" s="1">
        <v>12.0</v>
      </c>
      <c r="AH886" s="1">
        <v>13.0</v>
      </c>
      <c r="AI886" s="1">
        <v>14.0</v>
      </c>
      <c r="AJ886" s="1">
        <v>1.0</v>
      </c>
      <c r="AK886" s="1">
        <v>12.0</v>
      </c>
      <c r="AL886" s="1" t="s">
        <v>192</v>
      </c>
      <c r="AM886" s="1" t="s">
        <v>193</v>
      </c>
      <c r="AN886" s="1" t="s">
        <v>194</v>
      </c>
      <c r="AO886" s="1" t="s">
        <v>17705</v>
      </c>
      <c r="AP886" s="1" t="s">
        <v>17706</v>
      </c>
      <c r="AQ886" s="1" t="s">
        <v>74</v>
      </c>
      <c r="AR886" s="1" t="s">
        <v>17707</v>
      </c>
      <c r="AS886" s="1" t="s">
        <v>17708</v>
      </c>
      <c r="AT886" s="1" t="s">
        <v>302</v>
      </c>
      <c r="AU886" s="1">
        <v>2023.0</v>
      </c>
      <c r="AV886" s="1">
        <v>149.0</v>
      </c>
      <c r="AW886" s="1">
        <v>10.0</v>
      </c>
      <c r="AX886" s="1" t="s">
        <v>74</v>
      </c>
      <c r="AY886" s="1" t="s">
        <v>74</v>
      </c>
      <c r="AZ886" s="1" t="s">
        <v>74</v>
      </c>
      <c r="BA886" s="1" t="s">
        <v>74</v>
      </c>
      <c r="BB886" s="1">
        <v>7995.0</v>
      </c>
      <c r="BC886" s="1">
        <v>7996.0</v>
      </c>
      <c r="BD886" s="1" t="s">
        <v>74</v>
      </c>
      <c r="BE886" s="1" t="s">
        <v>17709</v>
      </c>
      <c r="BF886" s="2" t="str">
        <f>HYPERLINK("http://dx.doi.org/10.1007/s00432-023-04666-6","http://dx.doi.org/10.1007/s00432-023-04666-6")</f>
        <v>http://dx.doi.org/10.1007/s00432-023-04666-6</v>
      </c>
      <c r="BG886" s="1" t="s">
        <v>74</v>
      </c>
      <c r="BH886" s="1" t="s">
        <v>330</v>
      </c>
      <c r="BI886" s="1">
        <v>2.0</v>
      </c>
      <c r="BJ886" s="1" t="s">
        <v>1904</v>
      </c>
      <c r="BK886" s="1" t="s">
        <v>149</v>
      </c>
      <c r="BL886" s="1" t="s">
        <v>1904</v>
      </c>
      <c r="BM886" s="1" t="s">
        <v>17710</v>
      </c>
      <c r="BN886" s="1">
        <v>3.6920564E7</v>
      </c>
      <c r="BO886" s="1" t="s">
        <v>306</v>
      </c>
      <c r="BP886" s="1" t="s">
        <v>74</v>
      </c>
      <c r="BQ886" s="1" t="s">
        <v>74</v>
      </c>
      <c r="BR886" s="1" t="s">
        <v>102</v>
      </c>
      <c r="BS886" s="1" t="s">
        <v>17711</v>
      </c>
      <c r="BT886" s="1" t="str">
        <f>HYPERLINK("https%3A%2F%2Fwww.webofscience.com%2Fwos%2Fwoscc%2Ffull-record%2FWOS:000950059800002","View Full Record in Web of Science")</f>
        <v>View Full Record in Web of Science</v>
      </c>
    </row>
    <row r="887" ht="12.75" customHeight="1">
      <c r="A887" s="1" t="s">
        <v>132</v>
      </c>
      <c r="B887" s="1" t="s">
        <v>17712</v>
      </c>
      <c r="C887" s="1" t="s">
        <v>74</v>
      </c>
      <c r="D887" s="1" t="s">
        <v>74</v>
      </c>
      <c r="E887" s="1" t="s">
        <v>74</v>
      </c>
      <c r="F887" s="1" t="s">
        <v>17713</v>
      </c>
      <c r="G887" s="1" t="s">
        <v>74</v>
      </c>
      <c r="H887" s="1" t="s">
        <v>74</v>
      </c>
      <c r="I887" s="1" t="s">
        <v>17714</v>
      </c>
      <c r="J887" s="1" t="s">
        <v>1009</v>
      </c>
      <c r="K887" s="1" t="s">
        <v>74</v>
      </c>
      <c r="L887" s="1" t="s">
        <v>74</v>
      </c>
      <c r="M887" s="1" t="s">
        <v>80</v>
      </c>
      <c r="N887" s="1" t="s">
        <v>1010</v>
      </c>
      <c r="O887" s="1" t="s">
        <v>74</v>
      </c>
      <c r="P887" s="1" t="s">
        <v>74</v>
      </c>
      <c r="Q887" s="1" t="s">
        <v>74</v>
      </c>
      <c r="R887" s="1" t="s">
        <v>74</v>
      </c>
      <c r="S887" s="1" t="s">
        <v>74</v>
      </c>
      <c r="T887" s="1" t="s">
        <v>17715</v>
      </c>
      <c r="U887" s="1" t="s">
        <v>17716</v>
      </c>
      <c r="V887" s="1" t="s">
        <v>17717</v>
      </c>
      <c r="W887" s="1" t="s">
        <v>17718</v>
      </c>
      <c r="X887" s="1" t="s">
        <v>17719</v>
      </c>
      <c r="Y887" s="1" t="s">
        <v>17720</v>
      </c>
      <c r="Z887" s="1" t="s">
        <v>17721</v>
      </c>
      <c r="AA887" s="1" t="s">
        <v>74</v>
      </c>
      <c r="AB887" s="1" t="s">
        <v>74</v>
      </c>
      <c r="AC887" s="1" t="s">
        <v>17722</v>
      </c>
      <c r="AD887" s="1" t="s">
        <v>17723</v>
      </c>
      <c r="AE887" s="1" t="s">
        <v>17724</v>
      </c>
      <c r="AF887" s="1" t="s">
        <v>74</v>
      </c>
      <c r="AG887" s="1">
        <v>94.0</v>
      </c>
      <c r="AH887" s="1">
        <v>19.0</v>
      </c>
      <c r="AI887" s="1">
        <v>19.0</v>
      </c>
      <c r="AJ887" s="1">
        <v>1.0</v>
      </c>
      <c r="AK887" s="1">
        <v>10.0</v>
      </c>
      <c r="AL887" s="1" t="s">
        <v>1020</v>
      </c>
      <c r="AM887" s="1" t="s">
        <v>1021</v>
      </c>
      <c r="AN887" s="1" t="s">
        <v>1022</v>
      </c>
      <c r="AO887" s="1" t="s">
        <v>1023</v>
      </c>
      <c r="AP887" s="1" t="s">
        <v>1024</v>
      </c>
      <c r="AQ887" s="1" t="s">
        <v>74</v>
      </c>
      <c r="AR887" s="1" t="s">
        <v>1025</v>
      </c>
      <c r="AS887" s="1" t="s">
        <v>1026</v>
      </c>
      <c r="AT887" s="1" t="s">
        <v>1709</v>
      </c>
      <c r="AU887" s="1">
        <v>2020.0</v>
      </c>
      <c r="AV887" s="1">
        <v>31.0</v>
      </c>
      <c r="AW887" s="1">
        <v>5.0</v>
      </c>
      <c r="AX887" s="1" t="s">
        <v>74</v>
      </c>
      <c r="AY887" s="1" t="s">
        <v>74</v>
      </c>
      <c r="AZ887" s="1" t="s">
        <v>74</v>
      </c>
      <c r="BA887" s="1" t="s">
        <v>74</v>
      </c>
      <c r="BB887" s="1">
        <v>337.0</v>
      </c>
      <c r="BC887" s="1">
        <v>350.0</v>
      </c>
      <c r="BD887" s="1" t="s">
        <v>74</v>
      </c>
      <c r="BE887" s="1" t="s">
        <v>17725</v>
      </c>
      <c r="BF887" s="2" t="str">
        <f>HYPERLINK("http://dx.doi.org/10.1097/ICU.0000000000000678","http://dx.doi.org/10.1097/ICU.0000000000000678")</f>
        <v>http://dx.doi.org/10.1097/ICU.0000000000000678</v>
      </c>
      <c r="BG887" s="1" t="s">
        <v>74</v>
      </c>
      <c r="BH887" s="1" t="s">
        <v>74</v>
      </c>
      <c r="BI887" s="1">
        <v>14.0</v>
      </c>
      <c r="BJ887" s="1" t="s">
        <v>1029</v>
      </c>
      <c r="BK887" s="1" t="s">
        <v>149</v>
      </c>
      <c r="BL887" s="1" t="s">
        <v>1029</v>
      </c>
      <c r="BM887" s="1" t="s">
        <v>4685</v>
      </c>
      <c r="BN887" s="1">
        <v>3.2740059E7</v>
      </c>
      <c r="BO887" s="1" t="s">
        <v>4126</v>
      </c>
      <c r="BP887" s="1" t="s">
        <v>74</v>
      </c>
      <c r="BQ887" s="1" t="s">
        <v>74</v>
      </c>
      <c r="BR887" s="1" t="s">
        <v>102</v>
      </c>
      <c r="BS887" s="1" t="s">
        <v>17726</v>
      </c>
      <c r="BT887" s="1" t="str">
        <f>HYPERLINK("https%3A%2F%2Fwww.webofscience.com%2Fwos%2Fwoscc%2Ffull-record%2FWOS:000570190900006","View Full Record in Web of Science")</f>
        <v>View Full Record in Web of Science</v>
      </c>
    </row>
    <row r="888" ht="12.75" customHeight="1">
      <c r="A888" s="1" t="s">
        <v>132</v>
      </c>
      <c r="B888" s="1" t="s">
        <v>17727</v>
      </c>
      <c r="C888" s="1" t="s">
        <v>74</v>
      </c>
      <c r="D888" s="1" t="s">
        <v>74</v>
      </c>
      <c r="E888" s="1" t="s">
        <v>74</v>
      </c>
      <c r="F888" s="1" t="s">
        <v>17728</v>
      </c>
      <c r="G888" s="1" t="s">
        <v>74</v>
      </c>
      <c r="H888" s="1" t="s">
        <v>74</v>
      </c>
      <c r="I888" s="1" t="s">
        <v>17729</v>
      </c>
      <c r="J888" s="1" t="s">
        <v>17730</v>
      </c>
      <c r="K888" s="1" t="s">
        <v>74</v>
      </c>
      <c r="L888" s="1" t="s">
        <v>74</v>
      </c>
      <c r="M888" s="1" t="s">
        <v>80</v>
      </c>
      <c r="N888" s="1" t="s">
        <v>136</v>
      </c>
      <c r="O888" s="1" t="s">
        <v>74</v>
      </c>
      <c r="P888" s="1" t="s">
        <v>74</v>
      </c>
      <c r="Q888" s="1" t="s">
        <v>74</v>
      </c>
      <c r="R888" s="1" t="s">
        <v>74</v>
      </c>
      <c r="S888" s="1" t="s">
        <v>74</v>
      </c>
      <c r="T888" s="1" t="s">
        <v>17731</v>
      </c>
      <c r="U888" s="1" t="s">
        <v>14585</v>
      </c>
      <c r="V888" s="1" t="s">
        <v>17732</v>
      </c>
      <c r="W888" s="1" t="s">
        <v>17733</v>
      </c>
      <c r="X888" s="1" t="s">
        <v>17734</v>
      </c>
      <c r="Y888" s="1" t="s">
        <v>17735</v>
      </c>
      <c r="Z888" s="1" t="s">
        <v>17736</v>
      </c>
      <c r="AA888" s="1" t="s">
        <v>74</v>
      </c>
      <c r="AB888" s="1" t="s">
        <v>74</v>
      </c>
      <c r="AC888" s="1" t="s">
        <v>74</v>
      </c>
      <c r="AD888" s="1" t="s">
        <v>74</v>
      </c>
      <c r="AE888" s="1" t="s">
        <v>74</v>
      </c>
      <c r="AF888" s="1" t="s">
        <v>74</v>
      </c>
      <c r="AG888" s="1">
        <v>16.0</v>
      </c>
      <c r="AH888" s="1">
        <v>2.0</v>
      </c>
      <c r="AI888" s="1">
        <v>2.0</v>
      </c>
      <c r="AJ888" s="1">
        <v>35.0</v>
      </c>
      <c r="AK888" s="1">
        <v>69.0</v>
      </c>
      <c r="AL888" s="1" t="s">
        <v>17737</v>
      </c>
      <c r="AM888" s="1" t="s">
        <v>17738</v>
      </c>
      <c r="AN888" s="1" t="s">
        <v>17739</v>
      </c>
      <c r="AO888" s="1" t="s">
        <v>17740</v>
      </c>
      <c r="AP888" s="1" t="s">
        <v>17741</v>
      </c>
      <c r="AQ888" s="1" t="s">
        <v>74</v>
      </c>
      <c r="AR888" s="1" t="s">
        <v>17742</v>
      </c>
      <c r="AS888" s="1" t="s">
        <v>17743</v>
      </c>
      <c r="AT888" s="1" t="s">
        <v>1027</v>
      </c>
      <c r="AU888" s="1">
        <v>2024.0</v>
      </c>
      <c r="AV888" s="1">
        <v>44.0</v>
      </c>
      <c r="AW888" s="1">
        <v>2.0</v>
      </c>
      <c r="AX888" s="1" t="s">
        <v>74</v>
      </c>
      <c r="AY888" s="1" t="s">
        <v>74</v>
      </c>
      <c r="AZ888" s="1" t="s">
        <v>74</v>
      </c>
      <c r="BA888" s="1" t="s">
        <v>74</v>
      </c>
      <c r="BB888" s="1">
        <v>124.0</v>
      </c>
      <c r="BC888" s="1">
        <v>129.0</v>
      </c>
      <c r="BD888" s="1" t="s">
        <v>74</v>
      </c>
      <c r="BE888" s="1" t="s">
        <v>17744</v>
      </c>
      <c r="BF888" s="2" t="str">
        <f>HYPERLINK("http://dx.doi.org/10.14429/djlit.44.02.18958","http://dx.doi.org/10.14429/djlit.44.02.18958")</f>
        <v>http://dx.doi.org/10.14429/djlit.44.02.18958</v>
      </c>
      <c r="BG888" s="1" t="s">
        <v>74</v>
      </c>
      <c r="BH888" s="1" t="s">
        <v>74</v>
      </c>
      <c r="BI888" s="1">
        <v>6.0</v>
      </c>
      <c r="BJ888" s="1" t="s">
        <v>358</v>
      </c>
      <c r="BK888" s="1" t="s">
        <v>172</v>
      </c>
      <c r="BL888" s="1" t="s">
        <v>358</v>
      </c>
      <c r="BM888" s="1" t="s">
        <v>17745</v>
      </c>
      <c r="BN888" s="1" t="s">
        <v>74</v>
      </c>
      <c r="BO888" s="1" t="s">
        <v>74</v>
      </c>
      <c r="BP888" s="1" t="s">
        <v>74</v>
      </c>
      <c r="BQ888" s="1" t="s">
        <v>74</v>
      </c>
      <c r="BR888" s="1" t="s">
        <v>102</v>
      </c>
      <c r="BS888" s="1" t="s">
        <v>17746</v>
      </c>
      <c r="BT888" s="1" t="str">
        <f>HYPERLINK("https%3A%2F%2Fwww.webofscience.com%2Fwos%2Fwoscc%2Ffull-record%2FWOS:001203551800002","View Full Record in Web of Science")</f>
        <v>View Full Record in Web of Science</v>
      </c>
    </row>
    <row r="889" ht="12.75" customHeight="1">
      <c r="A889" s="1" t="s">
        <v>132</v>
      </c>
      <c r="B889" s="1" t="s">
        <v>17747</v>
      </c>
      <c r="C889" s="1" t="s">
        <v>74</v>
      </c>
      <c r="D889" s="1" t="s">
        <v>74</v>
      </c>
      <c r="E889" s="1" t="s">
        <v>74</v>
      </c>
      <c r="F889" s="1" t="s">
        <v>17748</v>
      </c>
      <c r="G889" s="1" t="s">
        <v>74</v>
      </c>
      <c r="H889" s="1" t="s">
        <v>74</v>
      </c>
      <c r="I889" s="1" t="s">
        <v>17749</v>
      </c>
      <c r="J889" s="1" t="s">
        <v>8725</v>
      </c>
      <c r="K889" s="1" t="s">
        <v>74</v>
      </c>
      <c r="L889" s="1" t="s">
        <v>74</v>
      </c>
      <c r="M889" s="1" t="s">
        <v>80</v>
      </c>
      <c r="N889" s="1" t="s">
        <v>1010</v>
      </c>
      <c r="O889" s="1" t="s">
        <v>74</v>
      </c>
      <c r="P889" s="1" t="s">
        <v>74</v>
      </c>
      <c r="Q889" s="1" t="s">
        <v>74</v>
      </c>
      <c r="R889" s="1" t="s">
        <v>74</v>
      </c>
      <c r="S889" s="1" t="s">
        <v>74</v>
      </c>
      <c r="T889" s="1" t="s">
        <v>17750</v>
      </c>
      <c r="U889" s="1" t="s">
        <v>17751</v>
      </c>
      <c r="V889" s="1" t="s">
        <v>17752</v>
      </c>
      <c r="W889" s="1" t="s">
        <v>17753</v>
      </c>
      <c r="X889" s="1" t="s">
        <v>17754</v>
      </c>
      <c r="Y889" s="1" t="s">
        <v>17755</v>
      </c>
      <c r="Z889" s="1" t="s">
        <v>17756</v>
      </c>
      <c r="AA889" s="1" t="s">
        <v>17757</v>
      </c>
      <c r="AB889" s="1" t="s">
        <v>17758</v>
      </c>
      <c r="AC889" s="1" t="s">
        <v>74</v>
      </c>
      <c r="AD889" s="1" t="s">
        <v>74</v>
      </c>
      <c r="AE889" s="1" t="s">
        <v>74</v>
      </c>
      <c r="AF889" s="1" t="s">
        <v>74</v>
      </c>
      <c r="AG889" s="1">
        <v>67.0</v>
      </c>
      <c r="AH889" s="1">
        <v>16.0</v>
      </c>
      <c r="AI889" s="1">
        <v>19.0</v>
      </c>
      <c r="AJ889" s="1">
        <v>46.0</v>
      </c>
      <c r="AK889" s="1">
        <v>278.0</v>
      </c>
      <c r="AL889" s="1" t="s">
        <v>1357</v>
      </c>
      <c r="AM889" s="1" t="s">
        <v>1358</v>
      </c>
      <c r="AN889" s="1" t="s">
        <v>1359</v>
      </c>
      <c r="AO889" s="1" t="s">
        <v>8738</v>
      </c>
      <c r="AP889" s="1" t="s">
        <v>8739</v>
      </c>
      <c r="AQ889" s="1" t="s">
        <v>74</v>
      </c>
      <c r="AR889" s="1" t="s">
        <v>8740</v>
      </c>
      <c r="AS889" s="1" t="s">
        <v>8741</v>
      </c>
      <c r="AT889" s="1" t="s">
        <v>1709</v>
      </c>
      <c r="AU889" s="1">
        <v>2021.0</v>
      </c>
      <c r="AV889" s="1">
        <v>35.0</v>
      </c>
      <c r="AW889" s="1">
        <v>4.0</v>
      </c>
      <c r="AX889" s="1" t="s">
        <v>74</v>
      </c>
      <c r="AY889" s="1" t="s">
        <v>74</v>
      </c>
      <c r="AZ889" s="1" t="s">
        <v>74</v>
      </c>
      <c r="BA889" s="1" t="s">
        <v>74</v>
      </c>
      <c r="BB889" s="1">
        <v>1045.0</v>
      </c>
      <c r="BC889" s="1">
        <v>1072.0</v>
      </c>
      <c r="BD889" s="1" t="s">
        <v>74</v>
      </c>
      <c r="BE889" s="1" t="s">
        <v>17759</v>
      </c>
      <c r="BF889" s="2" t="str">
        <f>HYPERLINK("http://dx.doi.org/10.1111/joes.12422","http://dx.doi.org/10.1111/joes.12422")</f>
        <v>http://dx.doi.org/10.1111/joes.12422</v>
      </c>
      <c r="BG889" s="1" t="s">
        <v>74</v>
      </c>
      <c r="BH889" s="1" t="s">
        <v>10410</v>
      </c>
      <c r="BI889" s="1">
        <v>28.0</v>
      </c>
      <c r="BJ889" s="1" t="s">
        <v>202</v>
      </c>
      <c r="BK889" s="1" t="s">
        <v>203</v>
      </c>
      <c r="BL889" s="1" t="s">
        <v>204</v>
      </c>
      <c r="BM889" s="1" t="s">
        <v>17760</v>
      </c>
      <c r="BN889" s="1" t="s">
        <v>74</v>
      </c>
      <c r="BO889" s="1" t="s">
        <v>74</v>
      </c>
      <c r="BP889" s="1" t="s">
        <v>74</v>
      </c>
      <c r="BQ889" s="1" t="s">
        <v>74</v>
      </c>
      <c r="BR889" s="1" t="s">
        <v>102</v>
      </c>
      <c r="BS889" s="1" t="s">
        <v>17761</v>
      </c>
      <c r="BT889" s="1" t="str">
        <f>HYPERLINK("https%3A%2F%2Fwww.webofscience.com%2Fwos%2Fwoscc%2Ffull-record%2FWOS:000643576800001","View Full Record in Web of Science")</f>
        <v>View Full Record in Web of Science</v>
      </c>
    </row>
    <row r="890" ht="12.75" customHeight="1">
      <c r="A890" s="1" t="s">
        <v>132</v>
      </c>
      <c r="B890" s="1" t="s">
        <v>17762</v>
      </c>
      <c r="C890" s="1" t="s">
        <v>74</v>
      </c>
      <c r="D890" s="1" t="s">
        <v>74</v>
      </c>
      <c r="E890" s="1" t="s">
        <v>74</v>
      </c>
      <c r="F890" s="1" t="s">
        <v>17763</v>
      </c>
      <c r="G890" s="1" t="s">
        <v>74</v>
      </c>
      <c r="H890" s="1" t="s">
        <v>74</v>
      </c>
      <c r="I890" s="1" t="s">
        <v>17764</v>
      </c>
      <c r="J890" s="1" t="s">
        <v>17765</v>
      </c>
      <c r="K890" s="1" t="s">
        <v>74</v>
      </c>
      <c r="L890" s="1" t="s">
        <v>74</v>
      </c>
      <c r="M890" s="1" t="s">
        <v>80</v>
      </c>
      <c r="N890" s="1" t="s">
        <v>136</v>
      </c>
      <c r="O890" s="1" t="s">
        <v>74</v>
      </c>
      <c r="P890" s="1" t="s">
        <v>74</v>
      </c>
      <c r="Q890" s="1" t="s">
        <v>74</v>
      </c>
      <c r="R890" s="1" t="s">
        <v>74</v>
      </c>
      <c r="S890" s="1" t="s">
        <v>74</v>
      </c>
      <c r="T890" s="1" t="s">
        <v>17766</v>
      </c>
      <c r="U890" s="1" t="s">
        <v>17767</v>
      </c>
      <c r="V890" s="1" t="s">
        <v>17768</v>
      </c>
      <c r="W890" s="1" t="s">
        <v>17769</v>
      </c>
      <c r="X890" s="1" t="s">
        <v>17770</v>
      </c>
      <c r="Y890" s="1" t="s">
        <v>17771</v>
      </c>
      <c r="Z890" s="1" t="s">
        <v>17772</v>
      </c>
      <c r="AA890" s="1" t="s">
        <v>17773</v>
      </c>
      <c r="AB890" s="1" t="s">
        <v>17774</v>
      </c>
      <c r="AC890" s="1" t="s">
        <v>74</v>
      </c>
      <c r="AD890" s="1" t="s">
        <v>74</v>
      </c>
      <c r="AE890" s="1" t="s">
        <v>74</v>
      </c>
      <c r="AF890" s="1" t="s">
        <v>74</v>
      </c>
      <c r="AG890" s="1">
        <v>145.0</v>
      </c>
      <c r="AH890" s="1">
        <v>5.0</v>
      </c>
      <c r="AI890" s="1">
        <v>5.0</v>
      </c>
      <c r="AJ890" s="1">
        <v>41.0</v>
      </c>
      <c r="AK890" s="1">
        <v>160.0</v>
      </c>
      <c r="AL890" s="1" t="s">
        <v>3551</v>
      </c>
      <c r="AM890" s="1" t="s">
        <v>193</v>
      </c>
      <c r="AN890" s="1" t="s">
        <v>3552</v>
      </c>
      <c r="AO890" s="1" t="s">
        <v>17775</v>
      </c>
      <c r="AP890" s="1" t="s">
        <v>17776</v>
      </c>
      <c r="AQ890" s="1" t="s">
        <v>74</v>
      </c>
      <c r="AR890" s="1" t="s">
        <v>17777</v>
      </c>
      <c r="AS890" s="1" t="s">
        <v>17778</v>
      </c>
      <c r="AT890" s="1" t="s">
        <v>1364</v>
      </c>
      <c r="AU890" s="1">
        <v>2023.0</v>
      </c>
      <c r="AV890" s="1">
        <v>160.0</v>
      </c>
      <c r="AW890" s="1" t="s">
        <v>74</v>
      </c>
      <c r="AX890" s="1" t="s">
        <v>74</v>
      </c>
      <c r="AY890" s="1" t="s">
        <v>74</v>
      </c>
      <c r="AZ890" s="1" t="s">
        <v>74</v>
      </c>
      <c r="BA890" s="1" t="s">
        <v>74</v>
      </c>
      <c r="BB890" s="1" t="s">
        <v>74</v>
      </c>
      <c r="BC890" s="1" t="s">
        <v>74</v>
      </c>
      <c r="BD890" s="1">
        <v>113813.0</v>
      </c>
      <c r="BE890" s="1" t="s">
        <v>17779</v>
      </c>
      <c r="BF890" s="2" t="str">
        <f>HYPERLINK("http://dx.doi.org/10.1016/j.jbusres.2023.113813","http://dx.doi.org/10.1016/j.jbusres.2023.113813")</f>
        <v>http://dx.doi.org/10.1016/j.jbusres.2023.113813</v>
      </c>
      <c r="BG890" s="1" t="s">
        <v>74</v>
      </c>
      <c r="BH890" s="1" t="s">
        <v>330</v>
      </c>
      <c r="BI890" s="1">
        <v>14.0</v>
      </c>
      <c r="BJ890" s="1" t="s">
        <v>2040</v>
      </c>
      <c r="BK890" s="1" t="s">
        <v>203</v>
      </c>
      <c r="BL890" s="1" t="s">
        <v>204</v>
      </c>
      <c r="BM890" s="1" t="s">
        <v>17780</v>
      </c>
      <c r="BN890" s="1" t="s">
        <v>74</v>
      </c>
      <c r="BO890" s="1" t="s">
        <v>74</v>
      </c>
      <c r="BP890" s="1" t="s">
        <v>74</v>
      </c>
      <c r="BQ890" s="1" t="s">
        <v>74</v>
      </c>
      <c r="BR890" s="1" t="s">
        <v>102</v>
      </c>
      <c r="BS890" s="1" t="s">
        <v>17781</v>
      </c>
      <c r="BT890" s="1" t="str">
        <f>HYPERLINK("https%3A%2F%2Fwww.webofscience.com%2Fwos%2Fwoscc%2Ffull-record%2FWOS:000955232700001","View Full Record in Web of Science")</f>
        <v>View Full Record in Web of Science</v>
      </c>
    </row>
    <row r="891" ht="12.75" customHeight="1">
      <c r="A891" s="1" t="s">
        <v>132</v>
      </c>
      <c r="B891" s="1" t="s">
        <v>17782</v>
      </c>
      <c r="C891" s="1" t="s">
        <v>74</v>
      </c>
      <c r="D891" s="1" t="s">
        <v>74</v>
      </c>
      <c r="E891" s="1" t="s">
        <v>74</v>
      </c>
      <c r="F891" s="1" t="s">
        <v>17783</v>
      </c>
      <c r="G891" s="1" t="s">
        <v>74</v>
      </c>
      <c r="H891" s="1" t="s">
        <v>74</v>
      </c>
      <c r="I891" s="1" t="s">
        <v>17784</v>
      </c>
      <c r="J891" s="1" t="s">
        <v>17785</v>
      </c>
      <c r="K891" s="1" t="s">
        <v>74</v>
      </c>
      <c r="L891" s="1" t="s">
        <v>74</v>
      </c>
      <c r="M891" s="1" t="s">
        <v>80</v>
      </c>
      <c r="N891" s="1" t="s">
        <v>136</v>
      </c>
      <c r="O891" s="1" t="s">
        <v>74</v>
      </c>
      <c r="P891" s="1" t="s">
        <v>74</v>
      </c>
      <c r="Q891" s="1" t="s">
        <v>74</v>
      </c>
      <c r="R891" s="1" t="s">
        <v>74</v>
      </c>
      <c r="S891" s="1" t="s">
        <v>74</v>
      </c>
      <c r="T891" s="1" t="s">
        <v>17786</v>
      </c>
      <c r="U891" s="1" t="s">
        <v>74</v>
      </c>
      <c r="V891" s="1" t="s">
        <v>17787</v>
      </c>
      <c r="W891" s="1" t="s">
        <v>17788</v>
      </c>
      <c r="X891" s="1" t="s">
        <v>17789</v>
      </c>
      <c r="Y891" s="1" t="s">
        <v>17790</v>
      </c>
      <c r="Z891" s="1" t="s">
        <v>17791</v>
      </c>
      <c r="AA891" s="1" t="s">
        <v>17792</v>
      </c>
      <c r="AB891" s="1" t="s">
        <v>17793</v>
      </c>
      <c r="AC891" s="1" t="s">
        <v>17794</v>
      </c>
      <c r="AD891" s="1" t="s">
        <v>17795</v>
      </c>
      <c r="AE891" s="1" t="s">
        <v>17796</v>
      </c>
      <c r="AF891" s="1" t="s">
        <v>74</v>
      </c>
      <c r="AG891" s="1">
        <v>11.0</v>
      </c>
      <c r="AH891" s="1">
        <v>4.0</v>
      </c>
      <c r="AI891" s="1">
        <v>4.0</v>
      </c>
      <c r="AJ891" s="1">
        <v>2.0</v>
      </c>
      <c r="AK891" s="1">
        <v>20.0</v>
      </c>
      <c r="AL891" s="1" t="s">
        <v>17797</v>
      </c>
      <c r="AM891" s="1" t="s">
        <v>193</v>
      </c>
      <c r="AN891" s="1" t="s">
        <v>17798</v>
      </c>
      <c r="AO891" s="1" t="s">
        <v>17799</v>
      </c>
      <c r="AP891" s="1" t="s">
        <v>17800</v>
      </c>
      <c r="AQ891" s="1" t="s">
        <v>74</v>
      </c>
      <c r="AR891" s="1" t="s">
        <v>17801</v>
      </c>
      <c r="AS891" s="1" t="s">
        <v>17802</v>
      </c>
      <c r="AT891" s="1" t="s">
        <v>6830</v>
      </c>
      <c r="AU891" s="1">
        <v>2022.0</v>
      </c>
      <c r="AV891" s="1">
        <v>144.0</v>
      </c>
      <c r="AW891" s="1">
        <v>10.0</v>
      </c>
      <c r="AX891" s="1" t="s">
        <v>74</v>
      </c>
      <c r="AY891" s="1" t="s">
        <v>74</v>
      </c>
      <c r="AZ891" s="1" t="s">
        <v>74</v>
      </c>
      <c r="BA891" s="1" t="s">
        <v>74</v>
      </c>
      <c r="BB891" s="1" t="s">
        <v>74</v>
      </c>
      <c r="BC891" s="1" t="s">
        <v>74</v>
      </c>
      <c r="BD891" s="1">
        <v>104501.0</v>
      </c>
      <c r="BE891" s="1" t="s">
        <v>17803</v>
      </c>
      <c r="BF891" s="2" t="str">
        <f>HYPERLINK("http://dx.doi.org/10.1115/1.4054723","http://dx.doi.org/10.1115/1.4054723")</f>
        <v>http://dx.doi.org/10.1115/1.4054723</v>
      </c>
      <c r="BG891" s="1" t="s">
        <v>74</v>
      </c>
      <c r="BH891" s="1" t="s">
        <v>74</v>
      </c>
      <c r="BI891" s="1">
        <v>6.0</v>
      </c>
      <c r="BJ891" s="1" t="s">
        <v>17804</v>
      </c>
      <c r="BK891" s="1" t="s">
        <v>149</v>
      </c>
      <c r="BL891" s="1" t="s">
        <v>3052</v>
      </c>
      <c r="BM891" s="1" t="s">
        <v>17805</v>
      </c>
      <c r="BN891" s="1" t="s">
        <v>74</v>
      </c>
      <c r="BO891" s="1" t="s">
        <v>632</v>
      </c>
      <c r="BP891" s="1" t="s">
        <v>74</v>
      </c>
      <c r="BQ891" s="1" t="s">
        <v>74</v>
      </c>
      <c r="BR891" s="1" t="s">
        <v>102</v>
      </c>
      <c r="BS891" s="1" t="s">
        <v>17806</v>
      </c>
      <c r="BT891" s="1" t="str">
        <f>HYPERLINK("https%3A%2F%2Fwww.webofscience.com%2Fwos%2Fwoscc%2Ffull-record%2FWOS:000850286700008","View Full Record in Web of Science")</f>
        <v>View Full Record in Web of Science</v>
      </c>
    </row>
    <row r="892" ht="12.75" customHeight="1">
      <c r="A892" s="1" t="s">
        <v>132</v>
      </c>
      <c r="B892" s="1" t="s">
        <v>17807</v>
      </c>
      <c r="C892" s="1" t="s">
        <v>74</v>
      </c>
      <c r="D892" s="1" t="s">
        <v>74</v>
      </c>
      <c r="E892" s="1" t="s">
        <v>74</v>
      </c>
      <c r="F892" s="1" t="s">
        <v>17808</v>
      </c>
      <c r="G892" s="1" t="s">
        <v>74</v>
      </c>
      <c r="H892" s="1" t="s">
        <v>74</v>
      </c>
      <c r="I892" s="1" t="s">
        <v>17809</v>
      </c>
      <c r="J892" s="1" t="s">
        <v>17810</v>
      </c>
      <c r="K892" s="1" t="s">
        <v>74</v>
      </c>
      <c r="L892" s="1" t="s">
        <v>74</v>
      </c>
      <c r="M892" s="1" t="s">
        <v>80</v>
      </c>
      <c r="N892" s="1" t="s">
        <v>136</v>
      </c>
      <c r="O892" s="1" t="s">
        <v>74</v>
      </c>
      <c r="P892" s="1" t="s">
        <v>74</v>
      </c>
      <c r="Q892" s="1" t="s">
        <v>74</v>
      </c>
      <c r="R892" s="1" t="s">
        <v>74</v>
      </c>
      <c r="S892" s="1" t="s">
        <v>74</v>
      </c>
      <c r="T892" s="1" t="s">
        <v>17811</v>
      </c>
      <c r="U892" s="1" t="s">
        <v>17812</v>
      </c>
      <c r="V892" s="1" t="s">
        <v>17813</v>
      </c>
      <c r="W892" s="1" t="s">
        <v>17814</v>
      </c>
      <c r="X892" s="1" t="s">
        <v>17815</v>
      </c>
      <c r="Y892" s="1" t="s">
        <v>17816</v>
      </c>
      <c r="Z892" s="1" t="s">
        <v>17817</v>
      </c>
      <c r="AA892" s="1" t="s">
        <v>6638</v>
      </c>
      <c r="AB892" s="1" t="s">
        <v>6639</v>
      </c>
      <c r="AC892" s="1" t="s">
        <v>74</v>
      </c>
      <c r="AD892" s="1" t="s">
        <v>74</v>
      </c>
      <c r="AE892" s="1" t="s">
        <v>74</v>
      </c>
      <c r="AF892" s="1" t="s">
        <v>74</v>
      </c>
      <c r="AG892" s="1">
        <v>74.0</v>
      </c>
      <c r="AH892" s="1">
        <v>13.0</v>
      </c>
      <c r="AI892" s="1">
        <v>13.0</v>
      </c>
      <c r="AJ892" s="1">
        <v>25.0</v>
      </c>
      <c r="AK892" s="1">
        <v>142.0</v>
      </c>
      <c r="AL892" s="1" t="s">
        <v>17818</v>
      </c>
      <c r="AM892" s="1" t="s">
        <v>17819</v>
      </c>
      <c r="AN892" s="1" t="s">
        <v>17820</v>
      </c>
      <c r="AO892" s="1" t="s">
        <v>17821</v>
      </c>
      <c r="AP892" s="1" t="s">
        <v>17822</v>
      </c>
      <c r="AQ892" s="1" t="s">
        <v>74</v>
      </c>
      <c r="AR892" s="1" t="s">
        <v>17823</v>
      </c>
      <c r="AS892" s="1" t="s">
        <v>17824</v>
      </c>
      <c r="AT892" s="1" t="s">
        <v>17825</v>
      </c>
      <c r="AU892" s="1">
        <v>2023.0</v>
      </c>
      <c r="AV892" s="1">
        <v>33.0</v>
      </c>
      <c r="AW892" s="1" t="s">
        <v>3048</v>
      </c>
      <c r="AX892" s="1" t="s">
        <v>74</v>
      </c>
      <c r="AY892" s="1" t="s">
        <v>74</v>
      </c>
      <c r="AZ892" s="1" t="s">
        <v>474</v>
      </c>
      <c r="BA892" s="1" t="s">
        <v>74</v>
      </c>
      <c r="BB892" s="1">
        <v>164.0</v>
      </c>
      <c r="BC892" s="1">
        <v>173.0</v>
      </c>
      <c r="BD892" s="1" t="s">
        <v>74</v>
      </c>
      <c r="BE892" s="1" t="s">
        <v>17826</v>
      </c>
      <c r="BF892" s="2" t="str">
        <f>HYPERLINK("http://dx.doi.org/10.1093/ct/qtad006","http://dx.doi.org/10.1093/ct/qtad006")</f>
        <v>http://dx.doi.org/10.1093/ct/qtad006</v>
      </c>
      <c r="BG892" s="1" t="s">
        <v>74</v>
      </c>
      <c r="BH892" s="1" t="s">
        <v>4124</v>
      </c>
      <c r="BI892" s="1">
        <v>10.0</v>
      </c>
      <c r="BJ892" s="1" t="s">
        <v>2183</v>
      </c>
      <c r="BK892" s="1" t="s">
        <v>203</v>
      </c>
      <c r="BL892" s="1" t="s">
        <v>2183</v>
      </c>
      <c r="BM892" s="1" t="s">
        <v>17827</v>
      </c>
      <c r="BN892" s="1" t="s">
        <v>74</v>
      </c>
      <c r="BO892" s="1" t="s">
        <v>306</v>
      </c>
      <c r="BP892" s="1" t="s">
        <v>74</v>
      </c>
      <c r="BQ892" s="1" t="s">
        <v>74</v>
      </c>
      <c r="BR892" s="1" t="s">
        <v>102</v>
      </c>
      <c r="BS892" s="1" t="s">
        <v>17828</v>
      </c>
      <c r="BT892" s="1" t="str">
        <f>HYPERLINK("https%3A%2F%2Fwww.webofscience.com%2Fwos%2Fwoscc%2Ffull-record%2FWOS:001008157600001","View Full Record in Web of Science")</f>
        <v>View Full Record in Web of Science</v>
      </c>
    </row>
    <row r="893" ht="12.75" customHeight="1">
      <c r="A893" s="1" t="s">
        <v>132</v>
      </c>
      <c r="B893" s="1" t="s">
        <v>17829</v>
      </c>
      <c r="C893" s="1" t="s">
        <v>74</v>
      </c>
      <c r="D893" s="1" t="s">
        <v>74</v>
      </c>
      <c r="E893" s="1" t="s">
        <v>74</v>
      </c>
      <c r="F893" s="1" t="s">
        <v>17830</v>
      </c>
      <c r="G893" s="1" t="s">
        <v>74</v>
      </c>
      <c r="H893" s="1" t="s">
        <v>74</v>
      </c>
      <c r="I893" s="1" t="s">
        <v>17831</v>
      </c>
      <c r="J893" s="1" t="s">
        <v>17832</v>
      </c>
      <c r="K893" s="1" t="s">
        <v>74</v>
      </c>
      <c r="L893" s="1" t="s">
        <v>74</v>
      </c>
      <c r="M893" s="1" t="s">
        <v>80</v>
      </c>
      <c r="N893" s="1" t="s">
        <v>136</v>
      </c>
      <c r="O893" s="1" t="s">
        <v>74</v>
      </c>
      <c r="P893" s="1" t="s">
        <v>74</v>
      </c>
      <c r="Q893" s="1" t="s">
        <v>74</v>
      </c>
      <c r="R893" s="1" t="s">
        <v>74</v>
      </c>
      <c r="S893" s="1" t="s">
        <v>74</v>
      </c>
      <c r="T893" s="1" t="s">
        <v>17833</v>
      </c>
      <c r="U893" s="1" t="s">
        <v>17834</v>
      </c>
      <c r="V893" s="1" t="s">
        <v>17835</v>
      </c>
      <c r="W893" s="1" t="s">
        <v>17836</v>
      </c>
      <c r="X893" s="1" t="s">
        <v>17837</v>
      </c>
      <c r="Y893" s="1" t="s">
        <v>17838</v>
      </c>
      <c r="Z893" s="1" t="s">
        <v>17839</v>
      </c>
      <c r="AA893" s="1" t="s">
        <v>74</v>
      </c>
      <c r="AB893" s="1" t="s">
        <v>17840</v>
      </c>
      <c r="AC893" s="1" t="s">
        <v>17841</v>
      </c>
      <c r="AD893" s="1" t="s">
        <v>17841</v>
      </c>
      <c r="AE893" s="1" t="s">
        <v>17842</v>
      </c>
      <c r="AF893" s="1" t="s">
        <v>74</v>
      </c>
      <c r="AG893" s="1">
        <v>94.0</v>
      </c>
      <c r="AH893" s="1">
        <v>37.0</v>
      </c>
      <c r="AI893" s="1">
        <v>38.0</v>
      </c>
      <c r="AJ893" s="1">
        <v>119.0</v>
      </c>
      <c r="AK893" s="1">
        <v>404.0</v>
      </c>
      <c r="AL893" s="1" t="s">
        <v>192</v>
      </c>
      <c r="AM893" s="1" t="s">
        <v>193</v>
      </c>
      <c r="AN893" s="1" t="s">
        <v>194</v>
      </c>
      <c r="AO893" s="1" t="s">
        <v>17843</v>
      </c>
      <c r="AP893" s="1" t="s">
        <v>17844</v>
      </c>
      <c r="AQ893" s="1" t="s">
        <v>74</v>
      </c>
      <c r="AR893" s="1" t="s">
        <v>17845</v>
      </c>
      <c r="AS893" s="1" t="s">
        <v>17846</v>
      </c>
      <c r="AT893" s="1" t="s">
        <v>199</v>
      </c>
      <c r="AU893" s="1">
        <v>2022.0</v>
      </c>
      <c r="AV893" s="1">
        <v>50.0</v>
      </c>
      <c r="AW893" s="1">
        <v>6.0</v>
      </c>
      <c r="AX893" s="1" t="s">
        <v>74</v>
      </c>
      <c r="AY893" s="1" t="s">
        <v>74</v>
      </c>
      <c r="AZ893" s="1" t="s">
        <v>474</v>
      </c>
      <c r="BA893" s="1" t="s">
        <v>74</v>
      </c>
      <c r="BB893" s="1">
        <v>1176.0</v>
      </c>
      <c r="BC893" s="1">
        <v>1197.0</v>
      </c>
      <c r="BD893" s="1" t="s">
        <v>74</v>
      </c>
      <c r="BE893" s="1" t="s">
        <v>17847</v>
      </c>
      <c r="BF893" s="2" t="str">
        <f>HYPERLINK("http://dx.doi.org/10.1007/s11747-022-00876-5","http://dx.doi.org/10.1007/s11747-022-00876-5")</f>
        <v>http://dx.doi.org/10.1007/s11747-022-00876-5</v>
      </c>
      <c r="BG893" s="1" t="s">
        <v>74</v>
      </c>
      <c r="BH893" s="1" t="s">
        <v>476</v>
      </c>
      <c r="BI893" s="1">
        <v>22.0</v>
      </c>
      <c r="BJ893" s="1" t="s">
        <v>2040</v>
      </c>
      <c r="BK893" s="1" t="s">
        <v>203</v>
      </c>
      <c r="BL893" s="1" t="s">
        <v>204</v>
      </c>
      <c r="BM893" s="1" t="s">
        <v>17848</v>
      </c>
      <c r="BN893" s="1" t="s">
        <v>74</v>
      </c>
      <c r="BO893" s="1" t="s">
        <v>306</v>
      </c>
      <c r="BP893" s="1" t="s">
        <v>74</v>
      </c>
      <c r="BQ893" s="1" t="s">
        <v>74</v>
      </c>
      <c r="BR893" s="1" t="s">
        <v>102</v>
      </c>
      <c r="BS893" s="1" t="s">
        <v>17849</v>
      </c>
      <c r="BT893" s="1" t="str">
        <f>HYPERLINK("https%3A%2F%2Fwww.webofscience.com%2Fwos%2Fwoscc%2Ffull-record%2FWOS:000807966000001","View Full Record in Web of Science")</f>
        <v>View Full Record in Web of Science</v>
      </c>
    </row>
    <row r="894" ht="12.75" customHeight="1">
      <c r="A894" s="1" t="s">
        <v>132</v>
      </c>
      <c r="B894" s="1" t="s">
        <v>17850</v>
      </c>
      <c r="C894" s="1" t="s">
        <v>74</v>
      </c>
      <c r="D894" s="1" t="s">
        <v>74</v>
      </c>
      <c r="E894" s="1" t="s">
        <v>74</v>
      </c>
      <c r="F894" s="1" t="s">
        <v>17851</v>
      </c>
      <c r="G894" s="1" t="s">
        <v>74</v>
      </c>
      <c r="H894" s="1" t="s">
        <v>74</v>
      </c>
      <c r="I894" s="1" t="s">
        <v>17852</v>
      </c>
      <c r="J894" s="1" t="s">
        <v>1602</v>
      </c>
      <c r="K894" s="1" t="s">
        <v>74</v>
      </c>
      <c r="L894" s="1" t="s">
        <v>74</v>
      </c>
      <c r="M894" s="1" t="s">
        <v>80</v>
      </c>
      <c r="N894" s="1" t="s">
        <v>1010</v>
      </c>
      <c r="O894" s="1" t="s">
        <v>74</v>
      </c>
      <c r="P894" s="1" t="s">
        <v>74</v>
      </c>
      <c r="Q894" s="1" t="s">
        <v>74</v>
      </c>
      <c r="R894" s="1" t="s">
        <v>74</v>
      </c>
      <c r="S894" s="1" t="s">
        <v>74</v>
      </c>
      <c r="T894" s="1" t="s">
        <v>17853</v>
      </c>
      <c r="U894" s="1" t="s">
        <v>17854</v>
      </c>
      <c r="V894" s="1" t="s">
        <v>17855</v>
      </c>
      <c r="W894" s="1" t="s">
        <v>17856</v>
      </c>
      <c r="X894" s="1" t="s">
        <v>17857</v>
      </c>
      <c r="Y894" s="1" t="s">
        <v>17858</v>
      </c>
      <c r="Z894" s="1" t="s">
        <v>17859</v>
      </c>
      <c r="AA894" s="1" t="s">
        <v>17860</v>
      </c>
      <c r="AB894" s="1" t="s">
        <v>17861</v>
      </c>
      <c r="AC894" s="1" t="s">
        <v>17862</v>
      </c>
      <c r="AD894" s="1" t="s">
        <v>17863</v>
      </c>
      <c r="AE894" s="1" t="s">
        <v>17864</v>
      </c>
      <c r="AF894" s="1" t="s">
        <v>74</v>
      </c>
      <c r="AG894" s="1">
        <v>103.0</v>
      </c>
      <c r="AH894" s="1">
        <v>29.0</v>
      </c>
      <c r="AI894" s="1">
        <v>29.0</v>
      </c>
      <c r="AJ894" s="1">
        <v>14.0</v>
      </c>
      <c r="AK894" s="1">
        <v>109.0</v>
      </c>
      <c r="AL894" s="1" t="s">
        <v>1612</v>
      </c>
      <c r="AM894" s="1" t="s">
        <v>1613</v>
      </c>
      <c r="AN894" s="1" t="s">
        <v>1614</v>
      </c>
      <c r="AO894" s="1" t="s">
        <v>1615</v>
      </c>
      <c r="AP894" s="1" t="s">
        <v>74</v>
      </c>
      <c r="AQ894" s="1" t="s">
        <v>74</v>
      </c>
      <c r="AR894" s="1" t="s">
        <v>1602</v>
      </c>
      <c r="AS894" s="1" t="s">
        <v>1616</v>
      </c>
      <c r="AT894" s="1" t="s">
        <v>74</v>
      </c>
      <c r="AU894" s="1">
        <v>2019.0</v>
      </c>
      <c r="AV894" s="1">
        <v>7.0</v>
      </c>
      <c r="AW894" s="1" t="s">
        <v>74</v>
      </c>
      <c r="AX894" s="1" t="s">
        <v>74</v>
      </c>
      <c r="AY894" s="1" t="s">
        <v>74</v>
      </c>
      <c r="AZ894" s="1" t="s">
        <v>74</v>
      </c>
      <c r="BA894" s="1" t="s">
        <v>74</v>
      </c>
      <c r="BB894" s="1">
        <v>110628.0</v>
      </c>
      <c r="BC894" s="1">
        <v>110650.0</v>
      </c>
      <c r="BD894" s="1" t="s">
        <v>74</v>
      </c>
      <c r="BE894" s="1" t="s">
        <v>17865</v>
      </c>
      <c r="BF894" s="2" t="str">
        <f>HYPERLINK("http://dx.doi.org/10.1109/ACCESS.2019.2934143","http://dx.doi.org/10.1109/ACCESS.2019.2934143")</f>
        <v>http://dx.doi.org/10.1109/ACCESS.2019.2934143</v>
      </c>
      <c r="BG894" s="1" t="s">
        <v>74</v>
      </c>
      <c r="BH894" s="1" t="s">
        <v>74</v>
      </c>
      <c r="BI894" s="1">
        <v>23.0</v>
      </c>
      <c r="BJ894" s="1" t="s">
        <v>1618</v>
      </c>
      <c r="BK894" s="1" t="s">
        <v>149</v>
      </c>
      <c r="BL894" s="1" t="s">
        <v>1619</v>
      </c>
      <c r="BM894" s="1" t="s">
        <v>17866</v>
      </c>
      <c r="BN894" s="1" t="s">
        <v>74</v>
      </c>
      <c r="BO894" s="1" t="s">
        <v>174</v>
      </c>
      <c r="BP894" s="1" t="s">
        <v>74</v>
      </c>
      <c r="BQ894" s="1" t="s">
        <v>74</v>
      </c>
      <c r="BR894" s="1" t="s">
        <v>102</v>
      </c>
      <c r="BS894" s="1" t="s">
        <v>17867</v>
      </c>
      <c r="BT894" s="1" t="str">
        <f>HYPERLINK("https%3A%2F%2Fwww.webofscience.com%2Fwos%2Fwoscc%2Ffull-record%2FWOS:000482593100001","View Full Record in Web of Science")</f>
        <v>View Full Record in Web of Science</v>
      </c>
    </row>
    <row r="895" ht="12.75" customHeight="1">
      <c r="A895" s="1" t="s">
        <v>132</v>
      </c>
      <c r="B895" s="1" t="s">
        <v>17868</v>
      </c>
      <c r="C895" s="1" t="s">
        <v>74</v>
      </c>
      <c r="D895" s="1" t="s">
        <v>74</v>
      </c>
      <c r="E895" s="1" t="s">
        <v>74</v>
      </c>
      <c r="F895" s="1" t="s">
        <v>17869</v>
      </c>
      <c r="G895" s="1" t="s">
        <v>74</v>
      </c>
      <c r="H895" s="1" t="s">
        <v>74</v>
      </c>
      <c r="I895" s="1" t="s">
        <v>17870</v>
      </c>
      <c r="J895" s="1" t="s">
        <v>17871</v>
      </c>
      <c r="K895" s="1" t="s">
        <v>74</v>
      </c>
      <c r="L895" s="1" t="s">
        <v>74</v>
      </c>
      <c r="M895" s="1" t="s">
        <v>80</v>
      </c>
      <c r="N895" s="1" t="s">
        <v>1563</v>
      </c>
      <c r="O895" s="1" t="s">
        <v>74</v>
      </c>
      <c r="P895" s="1" t="s">
        <v>74</v>
      </c>
      <c r="Q895" s="1" t="s">
        <v>74</v>
      </c>
      <c r="R895" s="1" t="s">
        <v>74</v>
      </c>
      <c r="S895" s="1" t="s">
        <v>74</v>
      </c>
      <c r="T895" s="1" t="s">
        <v>17872</v>
      </c>
      <c r="U895" s="1" t="s">
        <v>74</v>
      </c>
      <c r="V895" s="1" t="s">
        <v>17873</v>
      </c>
      <c r="W895" s="1" t="s">
        <v>17874</v>
      </c>
      <c r="X895" s="1" t="s">
        <v>17875</v>
      </c>
      <c r="Y895" s="1" t="s">
        <v>17876</v>
      </c>
      <c r="Z895" s="1" t="s">
        <v>17877</v>
      </c>
      <c r="AA895" s="1" t="s">
        <v>74</v>
      </c>
      <c r="AB895" s="1" t="s">
        <v>17878</v>
      </c>
      <c r="AC895" s="1" t="s">
        <v>74</v>
      </c>
      <c r="AD895" s="1" t="s">
        <v>74</v>
      </c>
      <c r="AE895" s="1" t="s">
        <v>74</v>
      </c>
      <c r="AF895" s="1" t="s">
        <v>74</v>
      </c>
      <c r="AG895" s="1">
        <v>31.0</v>
      </c>
      <c r="AH895" s="1">
        <v>10.0</v>
      </c>
      <c r="AI895" s="1">
        <v>11.0</v>
      </c>
      <c r="AJ895" s="1">
        <v>12.0</v>
      </c>
      <c r="AK895" s="1">
        <v>52.0</v>
      </c>
      <c r="AL895" s="1" t="s">
        <v>321</v>
      </c>
      <c r="AM895" s="1" t="s">
        <v>322</v>
      </c>
      <c r="AN895" s="1" t="s">
        <v>323</v>
      </c>
      <c r="AO895" s="1" t="s">
        <v>17879</v>
      </c>
      <c r="AP895" s="1" t="s">
        <v>17880</v>
      </c>
      <c r="AQ895" s="1" t="s">
        <v>74</v>
      </c>
      <c r="AR895" s="1" t="s">
        <v>17881</v>
      </c>
      <c r="AS895" s="1" t="s">
        <v>17882</v>
      </c>
      <c r="AT895" s="1" t="s">
        <v>1279</v>
      </c>
      <c r="AU895" s="1">
        <v>2023.0</v>
      </c>
      <c r="AV895" s="1">
        <v>181.0</v>
      </c>
      <c r="AW895" s="1" t="s">
        <v>74</v>
      </c>
      <c r="AX895" s="1" t="s">
        <v>74</v>
      </c>
      <c r="AY895" s="1" t="s">
        <v>74</v>
      </c>
      <c r="AZ895" s="1" t="s">
        <v>74</v>
      </c>
      <c r="BA895" s="1" t="s">
        <v>74</v>
      </c>
      <c r="BB895" s="1" t="s">
        <v>74</v>
      </c>
      <c r="BC895" s="1" t="s">
        <v>74</v>
      </c>
      <c r="BD895" s="1">
        <v>108621.0</v>
      </c>
      <c r="BE895" s="1" t="s">
        <v>17883</v>
      </c>
      <c r="BF895" s="2" t="str">
        <f>HYPERLINK("http://dx.doi.org/10.1016/j.biopsycho.2023.108621","http://dx.doi.org/10.1016/j.biopsycho.2023.108621")</f>
        <v>http://dx.doi.org/10.1016/j.biopsycho.2023.108621</v>
      </c>
      <c r="BG895" s="1" t="s">
        <v>74</v>
      </c>
      <c r="BH895" s="1" t="s">
        <v>3074</v>
      </c>
      <c r="BI895" s="1">
        <v>5.0</v>
      </c>
      <c r="BJ895" s="1" t="s">
        <v>17884</v>
      </c>
      <c r="BK895" s="1" t="s">
        <v>783</v>
      </c>
      <c r="BL895" s="1" t="s">
        <v>17885</v>
      </c>
      <c r="BM895" s="1" t="s">
        <v>17886</v>
      </c>
      <c r="BN895" s="1">
        <v>3.7356702E7</v>
      </c>
      <c r="BO895" s="1" t="s">
        <v>74</v>
      </c>
      <c r="BP895" s="1" t="s">
        <v>74</v>
      </c>
      <c r="BQ895" s="1" t="s">
        <v>74</v>
      </c>
      <c r="BR895" s="1" t="s">
        <v>102</v>
      </c>
      <c r="BS895" s="1" t="s">
        <v>17887</v>
      </c>
      <c r="BT895" s="1" t="str">
        <f>HYPERLINK("https%3A%2F%2Fwww.webofscience.com%2Fwos%2Fwoscc%2Ffull-record%2FWOS:001147476500001","View Full Record in Web of Science")</f>
        <v>View Full Record in Web of Science</v>
      </c>
    </row>
    <row r="896" ht="12.75" customHeight="1">
      <c r="A896" s="1" t="s">
        <v>132</v>
      </c>
      <c r="B896" s="1" t="s">
        <v>17888</v>
      </c>
      <c r="C896" s="1" t="s">
        <v>74</v>
      </c>
      <c r="D896" s="1" t="s">
        <v>74</v>
      </c>
      <c r="E896" s="1" t="s">
        <v>74</v>
      </c>
      <c r="F896" s="1" t="s">
        <v>17889</v>
      </c>
      <c r="G896" s="1" t="s">
        <v>74</v>
      </c>
      <c r="H896" s="1" t="s">
        <v>74</v>
      </c>
      <c r="I896" s="1" t="s">
        <v>17890</v>
      </c>
      <c r="J896" s="1" t="s">
        <v>16078</v>
      </c>
      <c r="K896" s="1" t="s">
        <v>74</v>
      </c>
      <c r="L896" s="1" t="s">
        <v>74</v>
      </c>
      <c r="M896" s="1" t="s">
        <v>80</v>
      </c>
      <c r="N896" s="1" t="s">
        <v>1010</v>
      </c>
      <c r="O896" s="1" t="s">
        <v>74</v>
      </c>
      <c r="P896" s="1" t="s">
        <v>74</v>
      </c>
      <c r="Q896" s="1" t="s">
        <v>74</v>
      </c>
      <c r="R896" s="1" t="s">
        <v>74</v>
      </c>
      <c r="S896" s="1" t="s">
        <v>74</v>
      </c>
      <c r="T896" s="1" t="s">
        <v>17891</v>
      </c>
      <c r="U896" s="1" t="s">
        <v>17892</v>
      </c>
      <c r="V896" s="1" t="s">
        <v>17893</v>
      </c>
      <c r="W896" s="1" t="s">
        <v>17894</v>
      </c>
      <c r="X896" s="1" t="s">
        <v>17895</v>
      </c>
      <c r="Y896" s="1" t="s">
        <v>17896</v>
      </c>
      <c r="Z896" s="1" t="s">
        <v>17897</v>
      </c>
      <c r="AA896" s="1" t="s">
        <v>17898</v>
      </c>
      <c r="AB896" s="1" t="s">
        <v>17899</v>
      </c>
      <c r="AC896" s="1" t="s">
        <v>17900</v>
      </c>
      <c r="AD896" s="1" t="s">
        <v>17900</v>
      </c>
      <c r="AE896" s="1" t="s">
        <v>17901</v>
      </c>
      <c r="AF896" s="1" t="s">
        <v>74</v>
      </c>
      <c r="AG896" s="1">
        <v>119.0</v>
      </c>
      <c r="AH896" s="1">
        <v>0.0</v>
      </c>
      <c r="AI896" s="1">
        <v>0.0</v>
      </c>
      <c r="AJ896" s="1">
        <v>54.0</v>
      </c>
      <c r="AK896" s="1">
        <v>54.0</v>
      </c>
      <c r="AL896" s="1" t="s">
        <v>2745</v>
      </c>
      <c r="AM896" s="1" t="s">
        <v>2746</v>
      </c>
      <c r="AN896" s="1" t="s">
        <v>2747</v>
      </c>
      <c r="AO896" s="1" t="s">
        <v>16089</v>
      </c>
      <c r="AP896" s="1" t="s">
        <v>16090</v>
      </c>
      <c r="AQ896" s="1" t="s">
        <v>74</v>
      </c>
      <c r="AR896" s="1" t="s">
        <v>16091</v>
      </c>
      <c r="AS896" s="1" t="s">
        <v>16092</v>
      </c>
      <c r="AT896" s="1" t="s">
        <v>870</v>
      </c>
      <c r="AU896" s="1">
        <v>2025.0</v>
      </c>
      <c r="AV896" s="1">
        <v>124.0</v>
      </c>
      <c r="AW896" s="1" t="s">
        <v>74</v>
      </c>
      <c r="AX896" s="1" t="s">
        <v>74</v>
      </c>
      <c r="AY896" s="1" t="s">
        <v>74</v>
      </c>
      <c r="AZ896" s="1" t="s">
        <v>74</v>
      </c>
      <c r="BA896" s="1" t="s">
        <v>74</v>
      </c>
      <c r="BB896" s="1" t="s">
        <v>74</v>
      </c>
      <c r="BC896" s="1" t="s">
        <v>74</v>
      </c>
      <c r="BD896" s="1">
        <v>103986.0</v>
      </c>
      <c r="BE896" s="1" t="s">
        <v>17902</v>
      </c>
      <c r="BF896" s="2" t="str">
        <f>HYPERLINK("http://dx.doi.org/10.1016/j.ijhm.2024.103986","http://dx.doi.org/10.1016/j.ijhm.2024.103986")</f>
        <v>http://dx.doi.org/10.1016/j.ijhm.2024.103986</v>
      </c>
      <c r="BG896" s="1" t="s">
        <v>74</v>
      </c>
      <c r="BH896" s="1" t="s">
        <v>499</v>
      </c>
      <c r="BI896" s="1">
        <v>15.0</v>
      </c>
      <c r="BJ896" s="1" t="s">
        <v>2100</v>
      </c>
      <c r="BK896" s="1" t="s">
        <v>203</v>
      </c>
      <c r="BL896" s="1" t="s">
        <v>100</v>
      </c>
      <c r="BM896" s="1" t="s">
        <v>17903</v>
      </c>
      <c r="BN896" s="1" t="s">
        <v>74</v>
      </c>
      <c r="BO896" s="1" t="s">
        <v>306</v>
      </c>
      <c r="BP896" s="1" t="s">
        <v>74</v>
      </c>
      <c r="BQ896" s="1" t="s">
        <v>74</v>
      </c>
      <c r="BR896" s="1" t="s">
        <v>102</v>
      </c>
      <c r="BS896" s="1" t="s">
        <v>17904</v>
      </c>
      <c r="BT896" s="1" t="str">
        <f>HYPERLINK("https%3A%2F%2Fwww.webofscience.com%2Fwos%2Fwoscc%2Ffull-record%2FWOS:001354504600001","View Full Record in Web of Science")</f>
        <v>View Full Record in Web of Science</v>
      </c>
    </row>
    <row r="897" ht="12.75" customHeight="1">
      <c r="A897" s="1" t="s">
        <v>132</v>
      </c>
      <c r="B897" s="1" t="s">
        <v>17905</v>
      </c>
      <c r="C897" s="1" t="s">
        <v>74</v>
      </c>
      <c r="D897" s="1" t="s">
        <v>74</v>
      </c>
      <c r="E897" s="1" t="s">
        <v>74</v>
      </c>
      <c r="F897" s="1" t="s">
        <v>17906</v>
      </c>
      <c r="G897" s="1" t="s">
        <v>74</v>
      </c>
      <c r="H897" s="1" t="s">
        <v>74</v>
      </c>
      <c r="I897" s="1" t="s">
        <v>17907</v>
      </c>
      <c r="J897" s="1" t="s">
        <v>5870</v>
      </c>
      <c r="K897" s="1" t="s">
        <v>74</v>
      </c>
      <c r="L897" s="1" t="s">
        <v>74</v>
      </c>
      <c r="M897" s="1" t="s">
        <v>80</v>
      </c>
      <c r="N897" s="1" t="s">
        <v>136</v>
      </c>
      <c r="O897" s="1" t="s">
        <v>74</v>
      </c>
      <c r="P897" s="1" t="s">
        <v>74</v>
      </c>
      <c r="Q897" s="1" t="s">
        <v>74</v>
      </c>
      <c r="R897" s="1" t="s">
        <v>74</v>
      </c>
      <c r="S897" s="1" t="s">
        <v>74</v>
      </c>
      <c r="T897" s="1" t="s">
        <v>17908</v>
      </c>
      <c r="U897" s="1" t="s">
        <v>17909</v>
      </c>
      <c r="V897" s="1" t="s">
        <v>17910</v>
      </c>
      <c r="W897" s="1" t="s">
        <v>17911</v>
      </c>
      <c r="X897" s="1" t="s">
        <v>17912</v>
      </c>
      <c r="Y897" s="1" t="s">
        <v>17913</v>
      </c>
      <c r="Z897" s="1" t="s">
        <v>17914</v>
      </c>
      <c r="AA897" s="1" t="s">
        <v>17915</v>
      </c>
      <c r="AB897" s="1" t="s">
        <v>17916</v>
      </c>
      <c r="AC897" s="1" t="s">
        <v>17917</v>
      </c>
      <c r="AD897" s="1" t="s">
        <v>17918</v>
      </c>
      <c r="AE897" s="1" t="s">
        <v>17919</v>
      </c>
      <c r="AF897" s="1" t="s">
        <v>74</v>
      </c>
      <c r="AG897" s="1">
        <v>25.0</v>
      </c>
      <c r="AH897" s="1">
        <v>0.0</v>
      </c>
      <c r="AI897" s="1">
        <v>0.0</v>
      </c>
      <c r="AJ897" s="1">
        <v>1.0</v>
      </c>
      <c r="AK897" s="1">
        <v>4.0</v>
      </c>
      <c r="AL897" s="1" t="s">
        <v>2928</v>
      </c>
      <c r="AM897" s="1" t="s">
        <v>1090</v>
      </c>
      <c r="AN897" s="1" t="s">
        <v>2929</v>
      </c>
      <c r="AO897" s="1" t="s">
        <v>74</v>
      </c>
      <c r="AP897" s="1" t="s">
        <v>5881</v>
      </c>
      <c r="AQ897" s="1" t="s">
        <v>74</v>
      </c>
      <c r="AR897" s="1" t="s">
        <v>5882</v>
      </c>
      <c r="AS897" s="1" t="s">
        <v>5883</v>
      </c>
      <c r="AT897" s="1" t="s">
        <v>17920</v>
      </c>
      <c r="AU897" s="1">
        <v>2023.0</v>
      </c>
      <c r="AV897" s="1">
        <v>4.0</v>
      </c>
      <c r="AW897" s="1">
        <v>4.0</v>
      </c>
      <c r="AX897" s="1" t="s">
        <v>74</v>
      </c>
      <c r="AY897" s="1" t="s">
        <v>74</v>
      </c>
      <c r="AZ897" s="1" t="s">
        <v>74</v>
      </c>
      <c r="BA897" s="1" t="s">
        <v>74</v>
      </c>
      <c r="BB897" s="1">
        <v>291.0</v>
      </c>
      <c r="BC897" s="1">
        <v>301.0</v>
      </c>
      <c r="BD897" s="1" t="s">
        <v>74</v>
      </c>
      <c r="BE897" s="1" t="s">
        <v>17921</v>
      </c>
      <c r="BF897" s="2" t="str">
        <f>HYPERLINK("http://dx.doi.org/10.1093/ehjdh/ztad030","http://dx.doi.org/10.1093/ehjdh/ztad030")</f>
        <v>http://dx.doi.org/10.1093/ehjdh/ztad030</v>
      </c>
      <c r="BG897" s="1" t="s">
        <v>74</v>
      </c>
      <c r="BH897" s="1" t="s">
        <v>8208</v>
      </c>
      <c r="BI897" s="1">
        <v>11.0</v>
      </c>
      <c r="BJ897" s="1" t="s">
        <v>2729</v>
      </c>
      <c r="BK897" s="1" t="s">
        <v>172</v>
      </c>
      <c r="BL897" s="1" t="s">
        <v>2730</v>
      </c>
      <c r="BM897" s="1" t="s">
        <v>17922</v>
      </c>
      <c r="BN897" s="1">
        <v>3.7538145E7</v>
      </c>
      <c r="BO897" s="1" t="s">
        <v>284</v>
      </c>
      <c r="BP897" s="1" t="s">
        <v>74</v>
      </c>
      <c r="BQ897" s="1" t="s">
        <v>74</v>
      </c>
      <c r="BR897" s="1" t="s">
        <v>102</v>
      </c>
      <c r="BS897" s="1" t="s">
        <v>17923</v>
      </c>
      <c r="BT897" s="1" t="str">
        <f>HYPERLINK("https%3A%2F%2Fwww.webofscience.com%2Fwos%2Fwoscc%2Ffull-record%2FWOS:001130388000003","View Full Record in Web of Science")</f>
        <v>View Full Record in Web of Science</v>
      </c>
    </row>
    <row r="898" ht="12.75" customHeight="1">
      <c r="A898" s="1" t="s">
        <v>132</v>
      </c>
      <c r="B898" s="1" t="s">
        <v>17924</v>
      </c>
      <c r="C898" s="1" t="s">
        <v>74</v>
      </c>
      <c r="D898" s="1" t="s">
        <v>74</v>
      </c>
      <c r="E898" s="1" t="s">
        <v>74</v>
      </c>
      <c r="F898" s="1" t="s">
        <v>17925</v>
      </c>
      <c r="G898" s="1" t="s">
        <v>74</v>
      </c>
      <c r="H898" s="1" t="s">
        <v>74</v>
      </c>
      <c r="I898" s="1" t="s">
        <v>17926</v>
      </c>
      <c r="J898" s="1" t="s">
        <v>263</v>
      </c>
      <c r="K898" s="1" t="s">
        <v>74</v>
      </c>
      <c r="L898" s="1" t="s">
        <v>74</v>
      </c>
      <c r="M898" s="1" t="s">
        <v>80</v>
      </c>
      <c r="N898" s="1" t="s">
        <v>136</v>
      </c>
      <c r="O898" s="1" t="s">
        <v>74</v>
      </c>
      <c r="P898" s="1" t="s">
        <v>74</v>
      </c>
      <c r="Q898" s="1" t="s">
        <v>74</v>
      </c>
      <c r="R898" s="1" t="s">
        <v>74</v>
      </c>
      <c r="S898" s="1" t="s">
        <v>74</v>
      </c>
      <c r="T898" s="1" t="s">
        <v>17927</v>
      </c>
      <c r="U898" s="1" t="s">
        <v>17928</v>
      </c>
      <c r="V898" s="1" t="s">
        <v>17929</v>
      </c>
      <c r="W898" s="1" t="s">
        <v>17930</v>
      </c>
      <c r="X898" s="1" t="s">
        <v>17931</v>
      </c>
      <c r="Y898" s="1" t="s">
        <v>17932</v>
      </c>
      <c r="Z898" s="1" t="s">
        <v>17933</v>
      </c>
      <c r="AA898" s="1" t="s">
        <v>17934</v>
      </c>
      <c r="AB898" s="1" t="s">
        <v>17935</v>
      </c>
      <c r="AC898" s="1" t="s">
        <v>17936</v>
      </c>
      <c r="AD898" s="1" t="s">
        <v>17936</v>
      </c>
      <c r="AE898" s="1" t="s">
        <v>17937</v>
      </c>
      <c r="AF898" s="1" t="s">
        <v>74</v>
      </c>
      <c r="AG898" s="1">
        <v>24.0</v>
      </c>
      <c r="AH898" s="1">
        <v>5.0</v>
      </c>
      <c r="AI898" s="1">
        <v>5.0</v>
      </c>
      <c r="AJ898" s="1">
        <v>2.0</v>
      </c>
      <c r="AK898" s="1">
        <v>4.0</v>
      </c>
      <c r="AL898" s="1" t="s">
        <v>275</v>
      </c>
      <c r="AM898" s="1" t="s">
        <v>276</v>
      </c>
      <c r="AN898" s="1" t="s">
        <v>277</v>
      </c>
      <c r="AO898" s="1" t="s">
        <v>74</v>
      </c>
      <c r="AP898" s="1" t="s">
        <v>278</v>
      </c>
      <c r="AQ898" s="1" t="s">
        <v>74</v>
      </c>
      <c r="AR898" s="1" t="s">
        <v>279</v>
      </c>
      <c r="AS898" s="1" t="s">
        <v>280</v>
      </c>
      <c r="AT898" s="1" t="s">
        <v>74</v>
      </c>
      <c r="AU898" s="1">
        <v>2021.0</v>
      </c>
      <c r="AV898" s="1">
        <v>4.0</v>
      </c>
      <c r="AW898" s="1" t="s">
        <v>74</v>
      </c>
      <c r="AX898" s="1" t="s">
        <v>74</v>
      </c>
      <c r="AY898" s="1" t="s">
        <v>74</v>
      </c>
      <c r="AZ898" s="1" t="s">
        <v>74</v>
      </c>
      <c r="BA898" s="1" t="s">
        <v>74</v>
      </c>
      <c r="BB898" s="1" t="s">
        <v>74</v>
      </c>
      <c r="BC898" s="1" t="s">
        <v>74</v>
      </c>
      <c r="BD898" s="1">
        <v>556848.0</v>
      </c>
      <c r="BE898" s="1" t="s">
        <v>17938</v>
      </c>
      <c r="BF898" s="2" t="str">
        <f>HYPERLINK("http://dx.doi.org/10.3389/frai.2021.556848","http://dx.doi.org/10.3389/frai.2021.556848")</f>
        <v>http://dx.doi.org/10.3389/frai.2021.556848</v>
      </c>
      <c r="BG898" s="1" t="s">
        <v>74</v>
      </c>
      <c r="BH898" s="1" t="s">
        <v>74</v>
      </c>
      <c r="BI898" s="1">
        <v>6.0</v>
      </c>
      <c r="BJ898" s="1" t="s">
        <v>282</v>
      </c>
      <c r="BK898" s="1" t="s">
        <v>172</v>
      </c>
      <c r="BL898" s="1" t="s">
        <v>232</v>
      </c>
      <c r="BM898" s="1" t="s">
        <v>283</v>
      </c>
      <c r="BN898" s="1">
        <v>3.373323E7</v>
      </c>
      <c r="BO898" s="1" t="s">
        <v>284</v>
      </c>
      <c r="BP898" s="1" t="s">
        <v>74</v>
      </c>
      <c r="BQ898" s="1" t="s">
        <v>74</v>
      </c>
      <c r="BR898" s="1" t="s">
        <v>102</v>
      </c>
      <c r="BS898" s="1" t="s">
        <v>17939</v>
      </c>
      <c r="BT898" s="1" t="str">
        <f>HYPERLINK("https%3A%2F%2Fwww.webofscience.com%2Fwos%2Fwoscc%2Ffull-record%2FWOS:000751704800007","View Full Record in Web of Science")</f>
        <v>View Full Record in Web of Science</v>
      </c>
    </row>
    <row r="899" ht="12.75" customHeight="1">
      <c r="A899" s="1" t="s">
        <v>132</v>
      </c>
      <c r="B899" s="1" t="s">
        <v>17940</v>
      </c>
      <c r="C899" s="1" t="s">
        <v>74</v>
      </c>
      <c r="D899" s="1" t="s">
        <v>74</v>
      </c>
      <c r="E899" s="1" t="s">
        <v>74</v>
      </c>
      <c r="F899" s="1" t="s">
        <v>17941</v>
      </c>
      <c r="G899" s="1" t="s">
        <v>74</v>
      </c>
      <c r="H899" s="1" t="s">
        <v>74</v>
      </c>
      <c r="I899" s="1" t="s">
        <v>17942</v>
      </c>
      <c r="J899" s="1" t="s">
        <v>2316</v>
      </c>
      <c r="K899" s="1" t="s">
        <v>74</v>
      </c>
      <c r="L899" s="1" t="s">
        <v>74</v>
      </c>
      <c r="M899" s="1" t="s">
        <v>80</v>
      </c>
      <c r="N899" s="1" t="s">
        <v>1010</v>
      </c>
      <c r="O899" s="1" t="s">
        <v>74</v>
      </c>
      <c r="P899" s="1" t="s">
        <v>74</v>
      </c>
      <c r="Q899" s="1" t="s">
        <v>74</v>
      </c>
      <c r="R899" s="1" t="s">
        <v>74</v>
      </c>
      <c r="S899" s="1" t="s">
        <v>74</v>
      </c>
      <c r="T899" s="1" t="s">
        <v>17943</v>
      </c>
      <c r="U899" s="1" t="s">
        <v>17944</v>
      </c>
      <c r="V899" s="1" t="s">
        <v>17945</v>
      </c>
      <c r="W899" s="1" t="s">
        <v>17946</v>
      </c>
      <c r="X899" s="1" t="s">
        <v>17947</v>
      </c>
      <c r="Y899" s="1" t="s">
        <v>17948</v>
      </c>
      <c r="Z899" s="1" t="s">
        <v>17949</v>
      </c>
      <c r="AA899" s="1" t="s">
        <v>17950</v>
      </c>
      <c r="AB899" s="1" t="s">
        <v>17951</v>
      </c>
      <c r="AC899" s="1" t="s">
        <v>74</v>
      </c>
      <c r="AD899" s="1" t="s">
        <v>74</v>
      </c>
      <c r="AE899" s="1" t="s">
        <v>74</v>
      </c>
      <c r="AF899" s="1" t="s">
        <v>74</v>
      </c>
      <c r="AG899" s="1">
        <v>50.0</v>
      </c>
      <c r="AH899" s="1">
        <v>2.0</v>
      </c>
      <c r="AI899" s="1">
        <v>2.0</v>
      </c>
      <c r="AJ899" s="1">
        <v>5.0</v>
      </c>
      <c r="AK899" s="1">
        <v>5.0</v>
      </c>
      <c r="AL899" s="1" t="s">
        <v>1970</v>
      </c>
      <c r="AM899" s="1" t="s">
        <v>1658</v>
      </c>
      <c r="AN899" s="1" t="s">
        <v>1971</v>
      </c>
      <c r="AO899" s="1" t="s">
        <v>74</v>
      </c>
      <c r="AP899" s="1" t="s">
        <v>2326</v>
      </c>
      <c r="AQ899" s="1" t="s">
        <v>74</v>
      </c>
      <c r="AR899" s="1" t="s">
        <v>2316</v>
      </c>
      <c r="AS899" s="1" t="s">
        <v>2327</v>
      </c>
      <c r="AT899" s="1" t="s">
        <v>1364</v>
      </c>
      <c r="AU899" s="1">
        <v>2024.0</v>
      </c>
      <c r="AV899" s="1">
        <v>14.0</v>
      </c>
      <c r="AW899" s="1">
        <v>10.0</v>
      </c>
      <c r="AX899" s="1" t="s">
        <v>74</v>
      </c>
      <c r="AY899" s="1" t="s">
        <v>74</v>
      </c>
      <c r="AZ899" s="1" t="s">
        <v>74</v>
      </c>
      <c r="BA899" s="1" t="s">
        <v>74</v>
      </c>
      <c r="BB899" s="1" t="s">
        <v>74</v>
      </c>
      <c r="BC899" s="1" t="s">
        <v>74</v>
      </c>
      <c r="BD899" s="1">
        <v>1004.0</v>
      </c>
      <c r="BE899" s="1" t="s">
        <v>17952</v>
      </c>
      <c r="BF899" s="2" t="str">
        <f>HYPERLINK("http://dx.doi.org/10.3390/diagnostics14101004","http://dx.doi.org/10.3390/diagnostics14101004")</f>
        <v>http://dx.doi.org/10.3390/diagnostics14101004</v>
      </c>
      <c r="BG899" s="1" t="s">
        <v>74</v>
      </c>
      <c r="BH899" s="1" t="s">
        <v>74</v>
      </c>
      <c r="BI899" s="1">
        <v>19.0</v>
      </c>
      <c r="BJ899" s="1" t="s">
        <v>1158</v>
      </c>
      <c r="BK899" s="1" t="s">
        <v>149</v>
      </c>
      <c r="BL899" s="1" t="s">
        <v>1159</v>
      </c>
      <c r="BM899" s="1" t="s">
        <v>17953</v>
      </c>
      <c r="BN899" s="1">
        <v>3.8786302E7</v>
      </c>
      <c r="BO899" s="1" t="s">
        <v>1161</v>
      </c>
      <c r="BP899" s="1" t="s">
        <v>74</v>
      </c>
      <c r="BQ899" s="1" t="s">
        <v>74</v>
      </c>
      <c r="BR899" s="1" t="s">
        <v>102</v>
      </c>
      <c r="BS899" s="1" t="s">
        <v>17954</v>
      </c>
      <c r="BT899" s="1" t="str">
        <f>HYPERLINK("https%3A%2F%2Fwww.webofscience.com%2Fwos%2Fwoscc%2Ffull-record%2FWOS:001233039500001","View Full Record in Web of Science")</f>
        <v>View Full Record in Web of Science</v>
      </c>
    </row>
    <row r="900" ht="12.75" customHeight="1">
      <c r="A900" s="1" t="s">
        <v>72</v>
      </c>
      <c r="B900" s="1" t="s">
        <v>17955</v>
      </c>
      <c r="C900" s="1" t="s">
        <v>74</v>
      </c>
      <c r="D900" s="1" t="s">
        <v>74</v>
      </c>
      <c r="E900" s="1" t="s">
        <v>236</v>
      </c>
      <c r="F900" s="1" t="s">
        <v>17956</v>
      </c>
      <c r="G900" s="1" t="s">
        <v>74</v>
      </c>
      <c r="H900" s="1" t="s">
        <v>74</v>
      </c>
      <c r="I900" s="1" t="s">
        <v>17957</v>
      </c>
      <c r="J900" s="1" t="s">
        <v>17958</v>
      </c>
      <c r="K900" s="1" t="s">
        <v>74</v>
      </c>
      <c r="L900" s="1" t="s">
        <v>74</v>
      </c>
      <c r="M900" s="1" t="s">
        <v>80</v>
      </c>
      <c r="N900" s="1" t="s">
        <v>81</v>
      </c>
      <c r="O900" s="1" t="s">
        <v>17959</v>
      </c>
      <c r="P900" s="1" t="s">
        <v>17960</v>
      </c>
      <c r="Q900" s="1" t="s">
        <v>17961</v>
      </c>
      <c r="R900" s="1" t="s">
        <v>17962</v>
      </c>
      <c r="S900" s="1" t="s">
        <v>74</v>
      </c>
      <c r="T900" s="1" t="s">
        <v>17963</v>
      </c>
      <c r="U900" s="1" t="s">
        <v>74</v>
      </c>
      <c r="V900" s="1" t="s">
        <v>17964</v>
      </c>
      <c r="W900" s="1" t="s">
        <v>17965</v>
      </c>
      <c r="X900" s="1" t="s">
        <v>17966</v>
      </c>
      <c r="Y900" s="1" t="s">
        <v>17967</v>
      </c>
      <c r="Z900" s="1" t="s">
        <v>17968</v>
      </c>
      <c r="AA900" s="1" t="s">
        <v>74</v>
      </c>
      <c r="AB900" s="1" t="s">
        <v>74</v>
      </c>
      <c r="AC900" s="1" t="s">
        <v>74</v>
      </c>
      <c r="AD900" s="1" t="s">
        <v>74</v>
      </c>
      <c r="AE900" s="1" t="s">
        <v>74</v>
      </c>
      <c r="AF900" s="1" t="s">
        <v>74</v>
      </c>
      <c r="AG900" s="1">
        <v>13.0</v>
      </c>
      <c r="AH900" s="1">
        <v>0.0</v>
      </c>
      <c r="AI900" s="1">
        <v>0.0</v>
      </c>
      <c r="AJ900" s="1">
        <v>3.0</v>
      </c>
      <c r="AK900" s="1">
        <v>17.0</v>
      </c>
      <c r="AL900" s="1" t="s">
        <v>236</v>
      </c>
      <c r="AM900" s="1" t="s">
        <v>193</v>
      </c>
      <c r="AN900" s="1" t="s">
        <v>252</v>
      </c>
      <c r="AO900" s="1" t="s">
        <v>74</v>
      </c>
      <c r="AP900" s="1" t="s">
        <v>74</v>
      </c>
      <c r="AQ900" s="1" t="s">
        <v>17969</v>
      </c>
      <c r="AR900" s="1" t="s">
        <v>74</v>
      </c>
      <c r="AS900" s="1" t="s">
        <v>74</v>
      </c>
      <c r="AT900" s="1" t="s">
        <v>74</v>
      </c>
      <c r="AU900" s="1">
        <v>2020.0</v>
      </c>
      <c r="AV900" s="1" t="s">
        <v>74</v>
      </c>
      <c r="AW900" s="1" t="s">
        <v>74</v>
      </c>
      <c r="AX900" s="1" t="s">
        <v>74</v>
      </c>
      <c r="AY900" s="1" t="s">
        <v>74</v>
      </c>
      <c r="AZ900" s="1" t="s">
        <v>74</v>
      </c>
      <c r="BA900" s="1" t="s">
        <v>74</v>
      </c>
      <c r="BB900" s="1">
        <v>57.0</v>
      </c>
      <c r="BC900" s="1">
        <v>62.0</v>
      </c>
      <c r="BD900" s="1" t="s">
        <v>74</v>
      </c>
      <c r="BE900" s="1" t="s">
        <v>17970</v>
      </c>
      <c r="BF900" s="2" t="str">
        <f>HYPERLINK("http://dx.doi.org/10.1109/SmartBlock52591.2020.00018","http://dx.doi.org/10.1109/SmartBlock52591.2020.00018")</f>
        <v>http://dx.doi.org/10.1109/SmartBlock52591.2020.00018</v>
      </c>
      <c r="BG900" s="1" t="s">
        <v>74</v>
      </c>
      <c r="BH900" s="1" t="s">
        <v>74</v>
      </c>
      <c r="BI900" s="1">
        <v>6.0</v>
      </c>
      <c r="BJ900" s="1" t="s">
        <v>17971</v>
      </c>
      <c r="BK900" s="1" t="s">
        <v>128</v>
      </c>
      <c r="BL900" s="1" t="s">
        <v>232</v>
      </c>
      <c r="BM900" s="1" t="s">
        <v>17972</v>
      </c>
      <c r="BN900" s="1" t="s">
        <v>74</v>
      </c>
      <c r="BO900" s="1" t="s">
        <v>74</v>
      </c>
      <c r="BP900" s="1" t="s">
        <v>74</v>
      </c>
      <c r="BQ900" s="1" t="s">
        <v>74</v>
      </c>
      <c r="BR900" s="1" t="s">
        <v>102</v>
      </c>
      <c r="BS900" s="1" t="s">
        <v>17973</v>
      </c>
      <c r="BT900" s="1" t="str">
        <f>HYPERLINK("https%3A%2F%2Fwww.webofscience.com%2Fwos%2Fwoscc%2Ffull-record%2FWOS:000848522000011","View Full Record in Web of Science")</f>
        <v>View Full Record in Web of Science</v>
      </c>
    </row>
    <row r="901" ht="12.75" customHeight="1">
      <c r="A901" s="1" t="s">
        <v>132</v>
      </c>
      <c r="B901" s="1" t="s">
        <v>17974</v>
      </c>
      <c r="C901" s="1" t="s">
        <v>74</v>
      </c>
      <c r="D901" s="1" t="s">
        <v>74</v>
      </c>
      <c r="E901" s="1" t="s">
        <v>74</v>
      </c>
      <c r="F901" s="1" t="s">
        <v>17975</v>
      </c>
      <c r="G901" s="1" t="s">
        <v>74</v>
      </c>
      <c r="H901" s="1" t="s">
        <v>74</v>
      </c>
      <c r="I901" s="1" t="s">
        <v>17976</v>
      </c>
      <c r="J901" s="1" t="s">
        <v>17977</v>
      </c>
      <c r="K901" s="1" t="s">
        <v>74</v>
      </c>
      <c r="L901" s="1" t="s">
        <v>74</v>
      </c>
      <c r="M901" s="1" t="s">
        <v>80</v>
      </c>
      <c r="N901" s="1" t="s">
        <v>1010</v>
      </c>
      <c r="O901" s="1" t="s">
        <v>74</v>
      </c>
      <c r="P901" s="1" t="s">
        <v>74</v>
      </c>
      <c r="Q901" s="1" t="s">
        <v>74</v>
      </c>
      <c r="R901" s="1" t="s">
        <v>74</v>
      </c>
      <c r="S901" s="1" t="s">
        <v>74</v>
      </c>
      <c r="T901" s="1" t="s">
        <v>17978</v>
      </c>
      <c r="U901" s="1" t="s">
        <v>17979</v>
      </c>
      <c r="V901" s="1" t="s">
        <v>17980</v>
      </c>
      <c r="W901" s="1" t="s">
        <v>17981</v>
      </c>
      <c r="X901" s="1" t="s">
        <v>17982</v>
      </c>
      <c r="Y901" s="1" t="s">
        <v>17983</v>
      </c>
      <c r="Z901" s="1" t="s">
        <v>17984</v>
      </c>
      <c r="AA901" s="1" t="s">
        <v>74</v>
      </c>
      <c r="AB901" s="1" t="s">
        <v>74</v>
      </c>
      <c r="AC901" s="1" t="s">
        <v>74</v>
      </c>
      <c r="AD901" s="1" t="s">
        <v>74</v>
      </c>
      <c r="AE901" s="1" t="s">
        <v>74</v>
      </c>
      <c r="AF901" s="1" t="s">
        <v>74</v>
      </c>
      <c r="AG901" s="1">
        <v>42.0</v>
      </c>
      <c r="AH901" s="1">
        <v>13.0</v>
      </c>
      <c r="AI901" s="1">
        <v>13.0</v>
      </c>
      <c r="AJ901" s="1">
        <v>4.0</v>
      </c>
      <c r="AK901" s="1">
        <v>17.0</v>
      </c>
      <c r="AL901" s="1" t="s">
        <v>12297</v>
      </c>
      <c r="AM901" s="1" t="s">
        <v>1021</v>
      </c>
      <c r="AN901" s="1" t="s">
        <v>12298</v>
      </c>
      <c r="AO901" s="1" t="s">
        <v>17985</v>
      </c>
      <c r="AP901" s="1" t="s">
        <v>17986</v>
      </c>
      <c r="AQ901" s="1" t="s">
        <v>74</v>
      </c>
      <c r="AR901" s="1" t="s">
        <v>17987</v>
      </c>
      <c r="AS901" s="1" t="s">
        <v>17988</v>
      </c>
      <c r="AT901" s="1" t="s">
        <v>17989</v>
      </c>
      <c r="AU901" s="1">
        <v>2022.0</v>
      </c>
      <c r="AV901" s="1">
        <v>42.0</v>
      </c>
      <c r="AW901" s="1">
        <v>6.0</v>
      </c>
      <c r="AX901" s="1" t="s">
        <v>74</v>
      </c>
      <c r="AY901" s="1" t="s">
        <v>74</v>
      </c>
      <c r="AZ901" s="1" t="s">
        <v>74</v>
      </c>
      <c r="BA901" s="1" t="s">
        <v>74</v>
      </c>
      <c r="BB901" s="1">
        <v>1662.0</v>
      </c>
      <c r="BC901" s="1">
        <v>1668.0</v>
      </c>
      <c r="BD901" s="1" t="s">
        <v>74</v>
      </c>
      <c r="BE901" s="1" t="s">
        <v>17990</v>
      </c>
      <c r="BF901" s="2" t="str">
        <f>HYPERLINK("http://dx.doi.org/10.1080/01443615.2022.2056828","http://dx.doi.org/10.1080/01443615.2022.2056828")</f>
        <v>http://dx.doi.org/10.1080/01443615.2022.2056828</v>
      </c>
      <c r="BG901" s="1" t="s">
        <v>74</v>
      </c>
      <c r="BH901" s="1" t="s">
        <v>1366</v>
      </c>
      <c r="BI901" s="1">
        <v>7.0</v>
      </c>
      <c r="BJ901" s="1" t="s">
        <v>6853</v>
      </c>
      <c r="BK901" s="1" t="s">
        <v>149</v>
      </c>
      <c r="BL901" s="1" t="s">
        <v>6853</v>
      </c>
      <c r="BM901" s="1" t="s">
        <v>17991</v>
      </c>
      <c r="BN901" s="1">
        <v>3.5642608E7</v>
      </c>
      <c r="BO901" s="1" t="s">
        <v>74</v>
      </c>
      <c r="BP901" s="1" t="s">
        <v>74</v>
      </c>
      <c r="BQ901" s="1" t="s">
        <v>74</v>
      </c>
      <c r="BR901" s="1" t="s">
        <v>102</v>
      </c>
      <c r="BS901" s="1" t="s">
        <v>17992</v>
      </c>
      <c r="BT901" s="1" t="str">
        <f>HYPERLINK("https%3A%2F%2Fwww.webofscience.com%2Fwos%2Fwoscc%2Ffull-record%2FWOS:000804611000001","View Full Record in Web of Science")</f>
        <v>View Full Record in Web of Science</v>
      </c>
    </row>
    <row r="902" ht="12.75" customHeight="1">
      <c r="A902" s="1" t="s">
        <v>72</v>
      </c>
      <c r="B902" s="1" t="s">
        <v>17993</v>
      </c>
      <c r="C902" s="1" t="s">
        <v>74</v>
      </c>
      <c r="D902" s="1" t="s">
        <v>17994</v>
      </c>
      <c r="E902" s="1" t="s">
        <v>74</v>
      </c>
      <c r="F902" s="1" t="s">
        <v>17995</v>
      </c>
      <c r="G902" s="1" t="s">
        <v>74</v>
      </c>
      <c r="H902" s="1" t="s">
        <v>74</v>
      </c>
      <c r="I902" s="1" t="s">
        <v>17996</v>
      </c>
      <c r="J902" s="1" t="s">
        <v>17997</v>
      </c>
      <c r="K902" s="1" t="s">
        <v>17998</v>
      </c>
      <c r="L902" s="1" t="s">
        <v>74</v>
      </c>
      <c r="M902" s="1" t="s">
        <v>80</v>
      </c>
      <c r="N902" s="1" t="s">
        <v>81</v>
      </c>
      <c r="O902" s="1" t="s">
        <v>17999</v>
      </c>
      <c r="P902" s="1" t="s">
        <v>18000</v>
      </c>
      <c r="Q902" s="1" t="s">
        <v>667</v>
      </c>
      <c r="R902" s="1" t="s">
        <v>74</v>
      </c>
      <c r="S902" s="1" t="s">
        <v>74</v>
      </c>
      <c r="T902" s="1" t="s">
        <v>18001</v>
      </c>
      <c r="U902" s="1" t="s">
        <v>74</v>
      </c>
      <c r="V902" s="1" t="s">
        <v>18002</v>
      </c>
      <c r="W902" s="1" t="s">
        <v>18003</v>
      </c>
      <c r="X902" s="1" t="s">
        <v>18004</v>
      </c>
      <c r="Y902" s="1" t="s">
        <v>18005</v>
      </c>
      <c r="Z902" s="1" t="s">
        <v>18006</v>
      </c>
      <c r="AA902" s="1" t="s">
        <v>18007</v>
      </c>
      <c r="AB902" s="1" t="s">
        <v>18008</v>
      </c>
      <c r="AC902" s="1" t="s">
        <v>18009</v>
      </c>
      <c r="AD902" s="1" t="s">
        <v>16397</v>
      </c>
      <c r="AE902" s="1" t="s">
        <v>18010</v>
      </c>
      <c r="AF902" s="1" t="s">
        <v>74</v>
      </c>
      <c r="AG902" s="1">
        <v>13.0</v>
      </c>
      <c r="AH902" s="1">
        <v>3.0</v>
      </c>
      <c r="AI902" s="1">
        <v>5.0</v>
      </c>
      <c r="AJ902" s="1">
        <v>7.0</v>
      </c>
      <c r="AK902" s="1">
        <v>43.0</v>
      </c>
      <c r="AL902" s="1" t="s">
        <v>18011</v>
      </c>
      <c r="AM902" s="1" t="s">
        <v>18012</v>
      </c>
      <c r="AN902" s="1" t="s">
        <v>18013</v>
      </c>
      <c r="AO902" s="1" t="s">
        <v>18014</v>
      </c>
      <c r="AP902" s="1" t="s">
        <v>74</v>
      </c>
      <c r="AQ902" s="1" t="s">
        <v>74</v>
      </c>
      <c r="AR902" s="1" t="s">
        <v>18015</v>
      </c>
      <c r="AS902" s="1" t="s">
        <v>74</v>
      </c>
      <c r="AT902" s="1" t="s">
        <v>74</v>
      </c>
      <c r="AU902" s="1">
        <v>2020.0</v>
      </c>
      <c r="AV902" s="1" t="s">
        <v>74</v>
      </c>
      <c r="AW902" s="1" t="s">
        <v>74</v>
      </c>
      <c r="AX902" s="1" t="s">
        <v>74</v>
      </c>
      <c r="AY902" s="1" t="s">
        <v>74</v>
      </c>
      <c r="AZ902" s="1" t="s">
        <v>74</v>
      </c>
      <c r="BA902" s="1" t="s">
        <v>74</v>
      </c>
      <c r="BB902" s="1" t="s">
        <v>74</v>
      </c>
      <c r="BC902" s="1" t="s">
        <v>74</v>
      </c>
      <c r="BD902" s="1">
        <v>1019.0</v>
      </c>
      <c r="BE902" s="1" t="s">
        <v>18016</v>
      </c>
      <c r="BF902" s="2" t="str">
        <f>HYPERLINK("http://dx.doi.org/10.1051/shsconf/20208001019","http://dx.doi.org/10.1051/shsconf/20208001019")</f>
        <v>http://dx.doi.org/10.1051/shsconf/20208001019</v>
      </c>
      <c r="BG902" s="1" t="s">
        <v>74</v>
      </c>
      <c r="BH902" s="1" t="s">
        <v>74</v>
      </c>
      <c r="BI902" s="1">
        <v>9.0</v>
      </c>
      <c r="BJ902" s="1" t="s">
        <v>18017</v>
      </c>
      <c r="BK902" s="1" t="s">
        <v>99</v>
      </c>
      <c r="BL902" s="1" t="s">
        <v>688</v>
      </c>
      <c r="BM902" s="1" t="s">
        <v>18018</v>
      </c>
      <c r="BN902" s="1" t="s">
        <v>74</v>
      </c>
      <c r="BO902" s="1" t="s">
        <v>284</v>
      </c>
      <c r="BP902" s="1" t="s">
        <v>74</v>
      </c>
      <c r="BQ902" s="1" t="s">
        <v>74</v>
      </c>
      <c r="BR902" s="1" t="s">
        <v>102</v>
      </c>
      <c r="BS902" s="1" t="s">
        <v>18019</v>
      </c>
      <c r="BT902" s="1" t="str">
        <f>HYPERLINK("https%3A%2F%2Fwww.webofscience.com%2Fwos%2Fwoscc%2Ffull-record%2FWOS:000631256200019","View Full Record in Web of Science")</f>
        <v>View Full Record in Web of Science</v>
      </c>
    </row>
    <row r="903" ht="12.75" customHeight="1">
      <c r="A903" s="1" t="s">
        <v>132</v>
      </c>
      <c r="B903" s="1" t="s">
        <v>18020</v>
      </c>
      <c r="C903" s="1" t="s">
        <v>74</v>
      </c>
      <c r="D903" s="1" t="s">
        <v>74</v>
      </c>
      <c r="E903" s="1" t="s">
        <v>74</v>
      </c>
      <c r="F903" s="1" t="s">
        <v>18021</v>
      </c>
      <c r="G903" s="1" t="s">
        <v>74</v>
      </c>
      <c r="H903" s="1" t="s">
        <v>74</v>
      </c>
      <c r="I903" s="1" t="s">
        <v>18022</v>
      </c>
      <c r="J903" s="1" t="s">
        <v>18023</v>
      </c>
      <c r="K903" s="1" t="s">
        <v>74</v>
      </c>
      <c r="L903" s="1" t="s">
        <v>74</v>
      </c>
      <c r="M903" s="1" t="s">
        <v>80</v>
      </c>
      <c r="N903" s="1" t="s">
        <v>338</v>
      </c>
      <c r="O903" s="1" t="s">
        <v>74</v>
      </c>
      <c r="P903" s="1" t="s">
        <v>74</v>
      </c>
      <c r="Q903" s="1" t="s">
        <v>74</v>
      </c>
      <c r="R903" s="1" t="s">
        <v>74</v>
      </c>
      <c r="S903" s="1" t="s">
        <v>74</v>
      </c>
      <c r="T903" s="1" t="s">
        <v>18024</v>
      </c>
      <c r="U903" s="1" t="s">
        <v>14585</v>
      </c>
      <c r="V903" s="1" t="s">
        <v>18025</v>
      </c>
      <c r="W903" s="1" t="s">
        <v>18026</v>
      </c>
      <c r="X903" s="1" t="s">
        <v>18027</v>
      </c>
      <c r="Y903" s="1" t="s">
        <v>18028</v>
      </c>
      <c r="Z903" s="1" t="s">
        <v>74</v>
      </c>
      <c r="AA903" s="1" t="s">
        <v>18029</v>
      </c>
      <c r="AB903" s="1" t="s">
        <v>18030</v>
      </c>
      <c r="AC903" s="1" t="s">
        <v>74</v>
      </c>
      <c r="AD903" s="1" t="s">
        <v>74</v>
      </c>
      <c r="AE903" s="1" t="s">
        <v>74</v>
      </c>
      <c r="AF903" s="1" t="s">
        <v>74</v>
      </c>
      <c r="AG903" s="1">
        <v>15.0</v>
      </c>
      <c r="AH903" s="1">
        <v>0.0</v>
      </c>
      <c r="AI903" s="1">
        <v>0.0</v>
      </c>
      <c r="AJ903" s="1">
        <v>1.0</v>
      </c>
      <c r="AK903" s="1">
        <v>6.0</v>
      </c>
      <c r="AL903" s="1" t="s">
        <v>466</v>
      </c>
      <c r="AM903" s="1" t="s">
        <v>467</v>
      </c>
      <c r="AN903" s="1" t="s">
        <v>468</v>
      </c>
      <c r="AO903" s="1" t="s">
        <v>18031</v>
      </c>
      <c r="AP903" s="1" t="s">
        <v>18032</v>
      </c>
      <c r="AQ903" s="1" t="s">
        <v>74</v>
      </c>
      <c r="AR903" s="1" t="s">
        <v>18033</v>
      </c>
      <c r="AS903" s="1" t="s">
        <v>18034</v>
      </c>
      <c r="AT903" s="1" t="s">
        <v>18035</v>
      </c>
      <c r="AU903" s="1">
        <v>2023.0</v>
      </c>
      <c r="AV903" s="1" t="s">
        <v>74</v>
      </c>
      <c r="AW903" s="1" t="s">
        <v>74</v>
      </c>
      <c r="AX903" s="1" t="s">
        <v>74</v>
      </c>
      <c r="AY903" s="1" t="s">
        <v>74</v>
      </c>
      <c r="AZ903" s="1" t="s">
        <v>74</v>
      </c>
      <c r="BA903" s="1" t="s">
        <v>74</v>
      </c>
      <c r="BB903" s="1" t="s">
        <v>74</v>
      </c>
      <c r="BC903" s="1" t="s">
        <v>74</v>
      </c>
      <c r="BD903" s="1" t="s">
        <v>74</v>
      </c>
      <c r="BE903" s="1" t="s">
        <v>18036</v>
      </c>
      <c r="BF903" s="2" t="str">
        <f>HYPERLINK("http://dx.doi.org/10.1080/02688697.2023.2173724","http://dx.doi.org/10.1080/02688697.2023.2173724")</f>
        <v>http://dx.doi.org/10.1080/02688697.2023.2173724</v>
      </c>
      <c r="BG903" s="1" t="s">
        <v>74</v>
      </c>
      <c r="BH903" s="1" t="s">
        <v>16810</v>
      </c>
      <c r="BI903" s="1">
        <v>4.0</v>
      </c>
      <c r="BJ903" s="1" t="s">
        <v>18037</v>
      </c>
      <c r="BK903" s="1" t="s">
        <v>149</v>
      </c>
      <c r="BL903" s="1" t="s">
        <v>18038</v>
      </c>
      <c r="BM903" s="1" t="s">
        <v>18039</v>
      </c>
      <c r="BN903" s="1">
        <v>3.6794659E7</v>
      </c>
      <c r="BO903" s="1" t="s">
        <v>74</v>
      </c>
      <c r="BP903" s="1" t="s">
        <v>74</v>
      </c>
      <c r="BQ903" s="1" t="s">
        <v>74</v>
      </c>
      <c r="BR903" s="1" t="s">
        <v>102</v>
      </c>
      <c r="BS903" s="1" t="s">
        <v>18040</v>
      </c>
      <c r="BT903" s="1" t="str">
        <f>HYPERLINK("https%3A%2F%2Fwww.webofscience.com%2Fwos%2Fwoscc%2Ffull-record%2FWOS:000934295500001","View Full Record in Web of Science")</f>
        <v>View Full Record in Web of Science</v>
      </c>
    </row>
    <row r="904" ht="12.75" customHeight="1">
      <c r="A904" s="1" t="s">
        <v>132</v>
      </c>
      <c r="B904" s="1" t="s">
        <v>18041</v>
      </c>
      <c r="C904" s="1" t="s">
        <v>74</v>
      </c>
      <c r="D904" s="1" t="s">
        <v>74</v>
      </c>
      <c r="E904" s="1" t="s">
        <v>74</v>
      </c>
      <c r="F904" s="1" t="s">
        <v>18042</v>
      </c>
      <c r="G904" s="1" t="s">
        <v>74</v>
      </c>
      <c r="H904" s="1" t="s">
        <v>74</v>
      </c>
      <c r="I904" s="1" t="s">
        <v>18043</v>
      </c>
      <c r="J904" s="1" t="s">
        <v>1958</v>
      </c>
      <c r="K904" s="1" t="s">
        <v>74</v>
      </c>
      <c r="L904" s="1" t="s">
        <v>74</v>
      </c>
      <c r="M904" s="1" t="s">
        <v>80</v>
      </c>
      <c r="N904" s="1" t="s">
        <v>136</v>
      </c>
      <c r="O904" s="1" t="s">
        <v>74</v>
      </c>
      <c r="P904" s="1" t="s">
        <v>74</v>
      </c>
      <c r="Q904" s="1" t="s">
        <v>74</v>
      </c>
      <c r="R904" s="1" t="s">
        <v>74</v>
      </c>
      <c r="S904" s="1" t="s">
        <v>74</v>
      </c>
      <c r="T904" s="1" t="s">
        <v>18044</v>
      </c>
      <c r="U904" s="1" t="s">
        <v>74</v>
      </c>
      <c r="V904" s="1" t="s">
        <v>18045</v>
      </c>
      <c r="W904" s="1" t="s">
        <v>18046</v>
      </c>
      <c r="X904" s="1" t="s">
        <v>18047</v>
      </c>
      <c r="Y904" s="1" t="s">
        <v>18048</v>
      </c>
      <c r="Z904" s="1" t="s">
        <v>18049</v>
      </c>
      <c r="AA904" s="1" t="s">
        <v>18050</v>
      </c>
      <c r="AB904" s="1" t="s">
        <v>18051</v>
      </c>
      <c r="AC904" s="1" t="s">
        <v>18052</v>
      </c>
      <c r="AD904" s="1" t="s">
        <v>18053</v>
      </c>
      <c r="AE904" s="1" t="s">
        <v>18054</v>
      </c>
      <c r="AF904" s="1" t="s">
        <v>74</v>
      </c>
      <c r="AG904" s="1">
        <v>71.0</v>
      </c>
      <c r="AH904" s="1">
        <v>4.0</v>
      </c>
      <c r="AI904" s="1">
        <v>4.0</v>
      </c>
      <c r="AJ904" s="1">
        <v>21.0</v>
      </c>
      <c r="AK904" s="1">
        <v>98.0</v>
      </c>
      <c r="AL904" s="1" t="s">
        <v>1970</v>
      </c>
      <c r="AM904" s="1" t="s">
        <v>1658</v>
      </c>
      <c r="AN904" s="1" t="s">
        <v>1971</v>
      </c>
      <c r="AO904" s="1" t="s">
        <v>74</v>
      </c>
      <c r="AP904" s="1" t="s">
        <v>1972</v>
      </c>
      <c r="AQ904" s="1" t="s">
        <v>74</v>
      </c>
      <c r="AR904" s="1" t="s">
        <v>1973</v>
      </c>
      <c r="AS904" s="1" t="s">
        <v>1974</v>
      </c>
      <c r="AT904" s="1" t="s">
        <v>199</v>
      </c>
      <c r="AU904" s="1">
        <v>2022.0</v>
      </c>
      <c r="AV904" s="1">
        <v>12.0</v>
      </c>
      <c r="AW904" s="1">
        <v>22.0</v>
      </c>
      <c r="AX904" s="1" t="s">
        <v>74</v>
      </c>
      <c r="AY904" s="1" t="s">
        <v>74</v>
      </c>
      <c r="AZ904" s="1" t="s">
        <v>74</v>
      </c>
      <c r="BA904" s="1" t="s">
        <v>74</v>
      </c>
      <c r="BB904" s="1" t="s">
        <v>74</v>
      </c>
      <c r="BC904" s="1" t="s">
        <v>74</v>
      </c>
      <c r="BD904" s="1">
        <v>11743.0</v>
      </c>
      <c r="BE904" s="1" t="s">
        <v>18055</v>
      </c>
      <c r="BF904" s="2" t="str">
        <f>HYPERLINK("http://dx.doi.org/10.3390/app122211743","http://dx.doi.org/10.3390/app122211743")</f>
        <v>http://dx.doi.org/10.3390/app122211743</v>
      </c>
      <c r="BG904" s="1" t="s">
        <v>74</v>
      </c>
      <c r="BH904" s="1" t="s">
        <v>74</v>
      </c>
      <c r="BI904" s="1">
        <v>15.0</v>
      </c>
      <c r="BJ904" s="1" t="s">
        <v>1976</v>
      </c>
      <c r="BK904" s="1" t="s">
        <v>149</v>
      </c>
      <c r="BL904" s="1" t="s">
        <v>1977</v>
      </c>
      <c r="BM904" s="1" t="s">
        <v>18056</v>
      </c>
      <c r="BN904" s="1" t="s">
        <v>74</v>
      </c>
      <c r="BO904" s="1" t="s">
        <v>174</v>
      </c>
      <c r="BP904" s="1" t="s">
        <v>74</v>
      </c>
      <c r="BQ904" s="1" t="s">
        <v>74</v>
      </c>
      <c r="BR904" s="1" t="s">
        <v>102</v>
      </c>
      <c r="BS904" s="1" t="s">
        <v>18057</v>
      </c>
      <c r="BT904" s="1" t="str">
        <f>HYPERLINK("https%3A%2F%2Fwww.webofscience.com%2Fwos%2Fwoscc%2Ffull-record%2FWOS:000887078700001","View Full Record in Web of Science")</f>
        <v>View Full Record in Web of Science</v>
      </c>
    </row>
    <row r="905" ht="12.75" customHeight="1">
      <c r="A905" s="1" t="s">
        <v>72</v>
      </c>
      <c r="B905" s="1" t="s">
        <v>18058</v>
      </c>
      <c r="C905" s="1" t="s">
        <v>74</v>
      </c>
      <c r="D905" s="1" t="s">
        <v>74</v>
      </c>
      <c r="E905" s="1" t="s">
        <v>1411</v>
      </c>
      <c r="F905" s="1" t="s">
        <v>18059</v>
      </c>
      <c r="G905" s="1" t="s">
        <v>74</v>
      </c>
      <c r="H905" s="1" t="s">
        <v>74</v>
      </c>
      <c r="I905" s="1" t="s">
        <v>18060</v>
      </c>
      <c r="J905" s="1" t="s">
        <v>18061</v>
      </c>
      <c r="K905" s="1" t="s">
        <v>74</v>
      </c>
      <c r="L905" s="1" t="s">
        <v>74</v>
      </c>
      <c r="M905" s="1" t="s">
        <v>80</v>
      </c>
      <c r="N905" s="1" t="s">
        <v>81</v>
      </c>
      <c r="O905" s="1" t="s">
        <v>18062</v>
      </c>
      <c r="P905" s="1" t="s">
        <v>18063</v>
      </c>
      <c r="Q905" s="1" t="s">
        <v>18064</v>
      </c>
      <c r="R905" s="1" t="s">
        <v>18065</v>
      </c>
      <c r="S905" s="1" t="s">
        <v>74</v>
      </c>
      <c r="T905" s="1" t="s">
        <v>18066</v>
      </c>
      <c r="U905" s="1" t="s">
        <v>74</v>
      </c>
      <c r="V905" s="1" t="s">
        <v>18067</v>
      </c>
      <c r="W905" s="1" t="s">
        <v>18068</v>
      </c>
      <c r="X905" s="1" t="s">
        <v>18069</v>
      </c>
      <c r="Y905" s="1" t="s">
        <v>18070</v>
      </c>
      <c r="Z905" s="1" t="s">
        <v>18071</v>
      </c>
      <c r="AA905" s="1" t="s">
        <v>18072</v>
      </c>
      <c r="AB905" s="1" t="s">
        <v>18073</v>
      </c>
      <c r="AC905" s="1" t="s">
        <v>74</v>
      </c>
      <c r="AD905" s="1" t="s">
        <v>74</v>
      </c>
      <c r="AE905" s="1" t="s">
        <v>74</v>
      </c>
      <c r="AF905" s="1" t="s">
        <v>74</v>
      </c>
      <c r="AG905" s="1">
        <v>0.0</v>
      </c>
      <c r="AH905" s="1">
        <v>0.0</v>
      </c>
      <c r="AI905" s="1">
        <v>0.0</v>
      </c>
      <c r="AJ905" s="1">
        <v>1.0</v>
      </c>
      <c r="AK905" s="1">
        <v>6.0</v>
      </c>
      <c r="AL905" s="1" t="s">
        <v>1426</v>
      </c>
      <c r="AM905" s="1" t="s">
        <v>193</v>
      </c>
      <c r="AN905" s="1" t="s">
        <v>1427</v>
      </c>
      <c r="AO905" s="1" t="s">
        <v>74</v>
      </c>
      <c r="AP905" s="1" t="s">
        <v>74</v>
      </c>
      <c r="AQ905" s="1" t="s">
        <v>18074</v>
      </c>
      <c r="AR905" s="1" t="s">
        <v>74</v>
      </c>
      <c r="AS905" s="1" t="s">
        <v>74</v>
      </c>
      <c r="AT905" s="1" t="s">
        <v>74</v>
      </c>
      <c r="AU905" s="1">
        <v>2023.0</v>
      </c>
      <c r="AV905" s="1" t="s">
        <v>74</v>
      </c>
      <c r="AW905" s="1" t="s">
        <v>74</v>
      </c>
      <c r="AX905" s="1" t="s">
        <v>74</v>
      </c>
      <c r="AY905" s="1" t="s">
        <v>74</v>
      </c>
      <c r="AZ905" s="1" t="s">
        <v>74</v>
      </c>
      <c r="BA905" s="1" t="s">
        <v>74</v>
      </c>
      <c r="BB905" s="1">
        <v>5308.0</v>
      </c>
      <c r="BC905" s="1">
        <v>5310.0</v>
      </c>
      <c r="BD905" s="1" t="s">
        <v>74</v>
      </c>
      <c r="BE905" s="1" t="s">
        <v>18075</v>
      </c>
      <c r="BF905" s="2" t="str">
        <f>HYPERLINK("http://dx.doi.org/10.1145/3583780.3615309","http://dx.doi.org/10.1145/3583780.3615309")</f>
        <v>http://dx.doi.org/10.1145/3583780.3615309</v>
      </c>
      <c r="BG905" s="1" t="s">
        <v>74</v>
      </c>
      <c r="BH905" s="1" t="s">
        <v>74</v>
      </c>
      <c r="BI905" s="1">
        <v>3.0</v>
      </c>
      <c r="BJ905" s="1" t="s">
        <v>282</v>
      </c>
      <c r="BK905" s="1" t="s">
        <v>128</v>
      </c>
      <c r="BL905" s="1" t="s">
        <v>232</v>
      </c>
      <c r="BM905" s="1" t="s">
        <v>18076</v>
      </c>
      <c r="BN905" s="1" t="s">
        <v>74</v>
      </c>
      <c r="BO905" s="1" t="s">
        <v>74</v>
      </c>
      <c r="BP905" s="1" t="s">
        <v>74</v>
      </c>
      <c r="BQ905" s="1" t="s">
        <v>74</v>
      </c>
      <c r="BR905" s="1" t="s">
        <v>102</v>
      </c>
      <c r="BS905" s="1" t="s">
        <v>18077</v>
      </c>
      <c r="BT905" s="1" t="str">
        <f>HYPERLINK("https%3A%2F%2Fwww.webofscience.com%2Fwos%2Fwoscc%2Ffull-record%2FWOS:001161549505078","View Full Record in Web of Science")</f>
        <v>View Full Record in Web of Science</v>
      </c>
    </row>
    <row r="906" ht="12.75" customHeight="1">
      <c r="A906" s="1" t="s">
        <v>132</v>
      </c>
      <c r="B906" s="1" t="s">
        <v>18078</v>
      </c>
      <c r="C906" s="1" t="s">
        <v>74</v>
      </c>
      <c r="D906" s="1" t="s">
        <v>74</v>
      </c>
      <c r="E906" s="1" t="s">
        <v>74</v>
      </c>
      <c r="F906" s="1" t="s">
        <v>18079</v>
      </c>
      <c r="G906" s="1" t="s">
        <v>74</v>
      </c>
      <c r="H906" s="1" t="s">
        <v>74</v>
      </c>
      <c r="I906" s="1" t="s">
        <v>18080</v>
      </c>
      <c r="J906" s="1" t="s">
        <v>4294</v>
      </c>
      <c r="K906" s="1" t="s">
        <v>74</v>
      </c>
      <c r="L906" s="1" t="s">
        <v>74</v>
      </c>
      <c r="M906" s="1" t="s">
        <v>80</v>
      </c>
      <c r="N906" s="1" t="s">
        <v>136</v>
      </c>
      <c r="O906" s="1" t="s">
        <v>74</v>
      </c>
      <c r="P906" s="1" t="s">
        <v>74</v>
      </c>
      <c r="Q906" s="1" t="s">
        <v>74</v>
      </c>
      <c r="R906" s="1" t="s">
        <v>74</v>
      </c>
      <c r="S906" s="1" t="s">
        <v>74</v>
      </c>
      <c r="T906" s="1" t="s">
        <v>18081</v>
      </c>
      <c r="U906" s="1" t="s">
        <v>18082</v>
      </c>
      <c r="V906" s="1" t="s">
        <v>18083</v>
      </c>
      <c r="W906" s="1" t="s">
        <v>18084</v>
      </c>
      <c r="X906" s="1" t="s">
        <v>18085</v>
      </c>
      <c r="Y906" s="1" t="s">
        <v>18086</v>
      </c>
      <c r="Z906" s="1" t="s">
        <v>18087</v>
      </c>
      <c r="AA906" s="1" t="s">
        <v>18088</v>
      </c>
      <c r="AB906" s="1" t="s">
        <v>18089</v>
      </c>
      <c r="AC906" s="1" t="s">
        <v>18090</v>
      </c>
      <c r="AD906" s="1" t="s">
        <v>18090</v>
      </c>
      <c r="AE906" s="1" t="s">
        <v>3018</v>
      </c>
      <c r="AF906" s="1" t="s">
        <v>74</v>
      </c>
      <c r="AG906" s="1">
        <v>80.0</v>
      </c>
      <c r="AH906" s="1">
        <v>7.0</v>
      </c>
      <c r="AI906" s="1">
        <v>7.0</v>
      </c>
      <c r="AJ906" s="1">
        <v>2.0</v>
      </c>
      <c r="AK906" s="1">
        <v>8.0</v>
      </c>
      <c r="AL906" s="1" t="s">
        <v>192</v>
      </c>
      <c r="AM906" s="1" t="s">
        <v>193</v>
      </c>
      <c r="AN906" s="1" t="s">
        <v>194</v>
      </c>
      <c r="AO906" s="1" t="s">
        <v>4302</v>
      </c>
      <c r="AP906" s="1" t="s">
        <v>4303</v>
      </c>
      <c r="AQ906" s="1" t="s">
        <v>74</v>
      </c>
      <c r="AR906" s="1" t="s">
        <v>4304</v>
      </c>
      <c r="AS906" s="1" t="s">
        <v>4305</v>
      </c>
      <c r="AT906" s="1" t="s">
        <v>1253</v>
      </c>
      <c r="AU906" s="1">
        <v>2024.0</v>
      </c>
      <c r="AV906" s="1">
        <v>54.0</v>
      </c>
      <c r="AW906" s="1">
        <v>4.0</v>
      </c>
      <c r="AX906" s="1" t="s">
        <v>74</v>
      </c>
      <c r="AY906" s="1" t="s">
        <v>74</v>
      </c>
      <c r="AZ906" s="1" t="s">
        <v>74</v>
      </c>
      <c r="BA906" s="1" t="s">
        <v>74</v>
      </c>
      <c r="BB906" s="1">
        <v>585.0</v>
      </c>
      <c r="BC906" s="1">
        <v>593.0</v>
      </c>
      <c r="BD906" s="1" t="s">
        <v>74</v>
      </c>
      <c r="BE906" s="1" t="s">
        <v>18091</v>
      </c>
      <c r="BF906" s="2" t="str">
        <f>HYPERLINK("http://dx.doi.org/10.1007/s00247-023-05746-y","http://dx.doi.org/10.1007/s00247-023-05746-y")</f>
        <v>http://dx.doi.org/10.1007/s00247-023-05746-y</v>
      </c>
      <c r="BG906" s="1" t="s">
        <v>74</v>
      </c>
      <c r="BH906" s="1" t="s">
        <v>357</v>
      </c>
      <c r="BI906" s="1">
        <v>9.0</v>
      </c>
      <c r="BJ906" s="1" t="s">
        <v>4308</v>
      </c>
      <c r="BK906" s="1" t="s">
        <v>149</v>
      </c>
      <c r="BL906" s="1" t="s">
        <v>4308</v>
      </c>
      <c r="BM906" s="1" t="s">
        <v>18092</v>
      </c>
      <c r="BN906" s="1">
        <v>3.7665368E7</v>
      </c>
      <c r="BO906" s="1" t="s">
        <v>74</v>
      </c>
      <c r="BP906" s="1" t="s">
        <v>74</v>
      </c>
      <c r="BQ906" s="1" t="s">
        <v>74</v>
      </c>
      <c r="BR906" s="1" t="s">
        <v>102</v>
      </c>
      <c r="BS906" s="1" t="s">
        <v>18093</v>
      </c>
      <c r="BT906" s="1" t="str">
        <f>HYPERLINK("https%3A%2F%2Fwww.webofscience.com%2Fwos%2Fwoscc%2Ffull-record%2FWOS:001058331900002","View Full Record in Web of Science")</f>
        <v>View Full Record in Web of Science</v>
      </c>
    </row>
    <row r="907" ht="12.75" customHeight="1">
      <c r="A907" s="1" t="s">
        <v>132</v>
      </c>
      <c r="B907" s="1" t="s">
        <v>18094</v>
      </c>
      <c r="C907" s="1" t="s">
        <v>74</v>
      </c>
      <c r="D907" s="1" t="s">
        <v>74</v>
      </c>
      <c r="E907" s="1" t="s">
        <v>74</v>
      </c>
      <c r="F907" s="1" t="s">
        <v>18095</v>
      </c>
      <c r="G907" s="1" t="s">
        <v>74</v>
      </c>
      <c r="H907" s="1" t="s">
        <v>74</v>
      </c>
      <c r="I907" s="1" t="s">
        <v>18096</v>
      </c>
      <c r="J907" s="1" t="s">
        <v>18097</v>
      </c>
      <c r="K907" s="1" t="s">
        <v>74</v>
      </c>
      <c r="L907" s="1" t="s">
        <v>74</v>
      </c>
      <c r="M907" s="1" t="s">
        <v>80</v>
      </c>
      <c r="N907" s="1" t="s">
        <v>338</v>
      </c>
      <c r="O907" s="1" t="s">
        <v>74</v>
      </c>
      <c r="P907" s="1" t="s">
        <v>74</v>
      </c>
      <c r="Q907" s="1" t="s">
        <v>74</v>
      </c>
      <c r="R907" s="1" t="s">
        <v>74</v>
      </c>
      <c r="S907" s="1" t="s">
        <v>74</v>
      </c>
      <c r="T907" s="1" t="s">
        <v>18098</v>
      </c>
      <c r="U907" s="1" t="s">
        <v>14607</v>
      </c>
      <c r="V907" s="1" t="s">
        <v>18099</v>
      </c>
      <c r="W907" s="1" t="s">
        <v>18100</v>
      </c>
      <c r="X907" s="1" t="s">
        <v>18101</v>
      </c>
      <c r="Y907" s="1" t="s">
        <v>18102</v>
      </c>
      <c r="Z907" s="1" t="s">
        <v>18103</v>
      </c>
      <c r="AA907" s="1" t="s">
        <v>74</v>
      </c>
      <c r="AB907" s="1" t="s">
        <v>74</v>
      </c>
      <c r="AC907" s="1" t="s">
        <v>74</v>
      </c>
      <c r="AD907" s="1" t="s">
        <v>74</v>
      </c>
      <c r="AE907" s="1" t="s">
        <v>74</v>
      </c>
      <c r="AF907" s="1" t="s">
        <v>74</v>
      </c>
      <c r="AG907" s="1">
        <v>15.0</v>
      </c>
      <c r="AH907" s="1">
        <v>0.0</v>
      </c>
      <c r="AI907" s="1">
        <v>0.0</v>
      </c>
      <c r="AJ907" s="1">
        <v>8.0</v>
      </c>
      <c r="AK907" s="1">
        <v>11.0</v>
      </c>
      <c r="AL907" s="1" t="s">
        <v>18104</v>
      </c>
      <c r="AM907" s="1" t="s">
        <v>4077</v>
      </c>
      <c r="AN907" s="1" t="s">
        <v>18105</v>
      </c>
      <c r="AO907" s="1" t="s">
        <v>18106</v>
      </c>
      <c r="AP907" s="1" t="s">
        <v>18107</v>
      </c>
      <c r="AQ907" s="1" t="s">
        <v>74</v>
      </c>
      <c r="AR907" s="1" t="s">
        <v>18108</v>
      </c>
      <c r="AS907" s="1" t="s">
        <v>18109</v>
      </c>
      <c r="AT907" s="1" t="s">
        <v>18110</v>
      </c>
      <c r="AU907" s="1">
        <v>2023.0</v>
      </c>
      <c r="AV907" s="1" t="s">
        <v>74</v>
      </c>
      <c r="AW907" s="1" t="s">
        <v>74</v>
      </c>
      <c r="AX907" s="1" t="s">
        <v>74</v>
      </c>
      <c r="AY907" s="1" t="s">
        <v>74</v>
      </c>
      <c r="AZ907" s="1" t="s">
        <v>74</v>
      </c>
      <c r="BA907" s="1" t="s">
        <v>74</v>
      </c>
      <c r="BB907" s="1" t="s">
        <v>74</v>
      </c>
      <c r="BC907" s="1" t="s">
        <v>74</v>
      </c>
      <c r="BD907" s="1" t="s">
        <v>74</v>
      </c>
      <c r="BE907" s="1" t="s">
        <v>18111</v>
      </c>
      <c r="BF907" s="2" t="str">
        <f>HYPERLINK("http://dx.doi.org/10.1007/s13198-023-02142-5","http://dx.doi.org/10.1007/s13198-023-02142-5")</f>
        <v>http://dx.doi.org/10.1007/s13198-023-02142-5</v>
      </c>
      <c r="BG907" s="1" t="s">
        <v>74</v>
      </c>
      <c r="BH907" s="1" t="s">
        <v>357</v>
      </c>
      <c r="BI907" s="1">
        <v>9.0</v>
      </c>
      <c r="BJ907" s="1" t="s">
        <v>4171</v>
      </c>
      <c r="BK907" s="1" t="s">
        <v>172</v>
      </c>
      <c r="BL907" s="1" t="s">
        <v>3052</v>
      </c>
      <c r="BM907" s="1" t="s">
        <v>18112</v>
      </c>
      <c r="BN907" s="1" t="s">
        <v>74</v>
      </c>
      <c r="BO907" s="1" t="s">
        <v>74</v>
      </c>
      <c r="BP907" s="1" t="s">
        <v>74</v>
      </c>
      <c r="BQ907" s="1" t="s">
        <v>74</v>
      </c>
      <c r="BR907" s="1" t="s">
        <v>102</v>
      </c>
      <c r="BS907" s="1" t="s">
        <v>18113</v>
      </c>
      <c r="BT907" s="1" t="str">
        <f>HYPERLINK("https%3A%2F%2Fwww.webofscience.com%2Fwos%2Fwoscc%2Ffull-record%2FWOS:001069516100003","View Full Record in Web of Science")</f>
        <v>View Full Record in Web of Science</v>
      </c>
    </row>
    <row r="908" ht="12.75" customHeight="1">
      <c r="A908" s="1" t="s">
        <v>132</v>
      </c>
      <c r="B908" s="1" t="s">
        <v>18114</v>
      </c>
      <c r="C908" s="1" t="s">
        <v>74</v>
      </c>
      <c r="D908" s="1" t="s">
        <v>74</v>
      </c>
      <c r="E908" s="1" t="s">
        <v>74</v>
      </c>
      <c r="F908" s="1" t="s">
        <v>18115</v>
      </c>
      <c r="G908" s="1" t="s">
        <v>74</v>
      </c>
      <c r="H908" s="1" t="s">
        <v>74</v>
      </c>
      <c r="I908" s="1" t="s">
        <v>18116</v>
      </c>
      <c r="J908" s="1" t="s">
        <v>18117</v>
      </c>
      <c r="K908" s="1" t="s">
        <v>74</v>
      </c>
      <c r="L908" s="1" t="s">
        <v>74</v>
      </c>
      <c r="M908" s="1" t="s">
        <v>80</v>
      </c>
      <c r="N908" s="1" t="s">
        <v>136</v>
      </c>
      <c r="O908" s="1" t="s">
        <v>74</v>
      </c>
      <c r="P908" s="1" t="s">
        <v>74</v>
      </c>
      <c r="Q908" s="1" t="s">
        <v>74</v>
      </c>
      <c r="R908" s="1" t="s">
        <v>74</v>
      </c>
      <c r="S908" s="1" t="s">
        <v>74</v>
      </c>
      <c r="T908" s="1" t="s">
        <v>18118</v>
      </c>
      <c r="U908" s="1" t="s">
        <v>74</v>
      </c>
      <c r="V908" s="1" t="s">
        <v>18119</v>
      </c>
      <c r="W908" s="1" t="s">
        <v>18120</v>
      </c>
      <c r="X908" s="1" t="s">
        <v>18121</v>
      </c>
      <c r="Y908" s="1" t="s">
        <v>18122</v>
      </c>
      <c r="Z908" s="1" t="s">
        <v>18123</v>
      </c>
      <c r="AA908" s="1" t="s">
        <v>74</v>
      </c>
      <c r="AB908" s="1" t="s">
        <v>18124</v>
      </c>
      <c r="AC908" s="1" t="s">
        <v>74</v>
      </c>
      <c r="AD908" s="1" t="s">
        <v>74</v>
      </c>
      <c r="AE908" s="1" t="s">
        <v>74</v>
      </c>
      <c r="AF908" s="1" t="s">
        <v>74</v>
      </c>
      <c r="AG908" s="1">
        <v>20.0</v>
      </c>
      <c r="AH908" s="1">
        <v>2.0</v>
      </c>
      <c r="AI908" s="1">
        <v>2.0</v>
      </c>
      <c r="AJ908" s="1">
        <v>17.0</v>
      </c>
      <c r="AK908" s="1">
        <v>21.0</v>
      </c>
      <c r="AL908" s="1" t="s">
        <v>1571</v>
      </c>
      <c r="AM908" s="1" t="s">
        <v>1572</v>
      </c>
      <c r="AN908" s="1" t="s">
        <v>1573</v>
      </c>
      <c r="AO908" s="1" t="s">
        <v>18125</v>
      </c>
      <c r="AP908" s="1" t="s">
        <v>18126</v>
      </c>
      <c r="AQ908" s="1" t="s">
        <v>74</v>
      </c>
      <c r="AR908" s="1" t="s">
        <v>18127</v>
      </c>
      <c r="AS908" s="1" t="s">
        <v>18128</v>
      </c>
      <c r="AT908" s="1" t="s">
        <v>2469</v>
      </c>
      <c r="AU908" s="1">
        <v>2024.0</v>
      </c>
      <c r="AV908" s="1">
        <v>49.0</v>
      </c>
      <c r="AW908" s="1">
        <v>5.0</v>
      </c>
      <c r="AX908" s="1" t="s">
        <v>74</v>
      </c>
      <c r="AY908" s="1" t="s">
        <v>74</v>
      </c>
      <c r="AZ908" s="1" t="s">
        <v>474</v>
      </c>
      <c r="BA908" s="1" t="s">
        <v>74</v>
      </c>
      <c r="BB908" s="1">
        <v>715.0</v>
      </c>
      <c r="BC908" s="1">
        <v>722.0</v>
      </c>
      <c r="BD908" s="1" t="s">
        <v>74</v>
      </c>
      <c r="BE908" s="1" t="s">
        <v>18129</v>
      </c>
      <c r="BF908" s="2" t="str">
        <f>HYPERLINK("http://dx.doi.org/10.3102/10769986241248771","http://dx.doi.org/10.3102/10769986241248771")</f>
        <v>http://dx.doi.org/10.3102/10769986241248771</v>
      </c>
      <c r="BG908" s="1" t="s">
        <v>74</v>
      </c>
      <c r="BH908" s="1" t="s">
        <v>3129</v>
      </c>
      <c r="BI908" s="1">
        <v>8.0</v>
      </c>
      <c r="BJ908" s="1" t="s">
        <v>18130</v>
      </c>
      <c r="BK908" s="1" t="s">
        <v>203</v>
      </c>
      <c r="BL908" s="1" t="s">
        <v>18131</v>
      </c>
      <c r="BM908" s="1" t="s">
        <v>18132</v>
      </c>
      <c r="BN908" s="1" t="s">
        <v>74</v>
      </c>
      <c r="BO908" s="1" t="s">
        <v>74</v>
      </c>
      <c r="BP908" s="1" t="s">
        <v>74</v>
      </c>
      <c r="BQ908" s="1" t="s">
        <v>74</v>
      </c>
      <c r="BR908" s="1" t="s">
        <v>102</v>
      </c>
      <c r="BS908" s="1" t="s">
        <v>18133</v>
      </c>
      <c r="BT908" s="1" t="str">
        <f>HYPERLINK("https%3A%2F%2Fwww.webofscience.com%2Fwos%2Fwoscc%2Ffull-record%2FWOS:001217691900001","View Full Record in Web of Science")</f>
        <v>View Full Record in Web of Science</v>
      </c>
    </row>
    <row r="909" ht="12.75" customHeight="1">
      <c r="A909" s="1" t="s">
        <v>132</v>
      </c>
      <c r="B909" s="1" t="s">
        <v>18134</v>
      </c>
      <c r="C909" s="1" t="s">
        <v>74</v>
      </c>
      <c r="D909" s="1" t="s">
        <v>74</v>
      </c>
      <c r="E909" s="1" t="s">
        <v>74</v>
      </c>
      <c r="F909" s="1" t="s">
        <v>18135</v>
      </c>
      <c r="G909" s="1" t="s">
        <v>74</v>
      </c>
      <c r="H909" s="1" t="s">
        <v>74</v>
      </c>
      <c r="I909" s="1" t="s">
        <v>18136</v>
      </c>
      <c r="J909" s="1" t="s">
        <v>9633</v>
      </c>
      <c r="K909" s="1" t="s">
        <v>74</v>
      </c>
      <c r="L909" s="1" t="s">
        <v>74</v>
      </c>
      <c r="M909" s="1" t="s">
        <v>80</v>
      </c>
      <c r="N909" s="1" t="s">
        <v>136</v>
      </c>
      <c r="O909" s="1" t="s">
        <v>74</v>
      </c>
      <c r="P909" s="1" t="s">
        <v>74</v>
      </c>
      <c r="Q909" s="1" t="s">
        <v>74</v>
      </c>
      <c r="R909" s="1" t="s">
        <v>74</v>
      </c>
      <c r="S909" s="1" t="s">
        <v>74</v>
      </c>
      <c r="T909" s="1" t="s">
        <v>18137</v>
      </c>
      <c r="U909" s="1" t="s">
        <v>18138</v>
      </c>
      <c r="V909" s="1" t="s">
        <v>18139</v>
      </c>
      <c r="W909" s="1" t="s">
        <v>18140</v>
      </c>
      <c r="X909" s="1" t="s">
        <v>74</v>
      </c>
      <c r="Y909" s="1" t="s">
        <v>18141</v>
      </c>
      <c r="Z909" s="1" t="s">
        <v>18142</v>
      </c>
      <c r="AA909" s="1" t="s">
        <v>74</v>
      </c>
      <c r="AB909" s="1" t="s">
        <v>74</v>
      </c>
      <c r="AC909" s="1" t="s">
        <v>18143</v>
      </c>
      <c r="AD909" s="1" t="s">
        <v>18143</v>
      </c>
      <c r="AE909" s="1" t="s">
        <v>18144</v>
      </c>
      <c r="AF909" s="1" t="s">
        <v>74</v>
      </c>
      <c r="AG909" s="1">
        <v>106.0</v>
      </c>
      <c r="AH909" s="1">
        <v>34.0</v>
      </c>
      <c r="AI909" s="1">
        <v>34.0</v>
      </c>
      <c r="AJ909" s="1">
        <v>125.0</v>
      </c>
      <c r="AK909" s="1">
        <v>283.0</v>
      </c>
      <c r="AL909" s="1" t="s">
        <v>9640</v>
      </c>
      <c r="AM909" s="1" t="s">
        <v>9641</v>
      </c>
      <c r="AN909" s="1" t="s">
        <v>9642</v>
      </c>
      <c r="AO909" s="1" t="s">
        <v>9643</v>
      </c>
      <c r="AP909" s="1" t="s">
        <v>74</v>
      </c>
      <c r="AQ909" s="1" t="s">
        <v>74</v>
      </c>
      <c r="AR909" s="1" t="s">
        <v>9644</v>
      </c>
      <c r="AS909" s="1" t="s">
        <v>9645</v>
      </c>
      <c r="AT909" s="1" t="s">
        <v>5759</v>
      </c>
      <c r="AU909" s="1">
        <v>2024.0</v>
      </c>
      <c r="AV909" s="1">
        <v>11.0</v>
      </c>
      <c r="AW909" s="1">
        <v>1.0</v>
      </c>
      <c r="AX909" s="1" t="s">
        <v>74</v>
      </c>
      <c r="AY909" s="1" t="s">
        <v>74</v>
      </c>
      <c r="AZ909" s="1" t="s">
        <v>74</v>
      </c>
      <c r="BA909" s="1" t="s">
        <v>74</v>
      </c>
      <c r="BB909" s="1" t="s">
        <v>74</v>
      </c>
      <c r="BC909" s="1" t="s">
        <v>74</v>
      </c>
      <c r="BD909" s="1">
        <v>2293431.0</v>
      </c>
      <c r="BE909" s="1" t="s">
        <v>18145</v>
      </c>
      <c r="BF909" s="2" t="str">
        <f>HYPERLINK("http://dx.doi.org/10.1080/2331186X.2023.2293431","http://dx.doi.org/10.1080/2331186X.2023.2293431")</f>
        <v>http://dx.doi.org/10.1080/2331186X.2023.2293431</v>
      </c>
      <c r="BG909" s="1" t="s">
        <v>74</v>
      </c>
      <c r="BH909" s="1" t="s">
        <v>74</v>
      </c>
      <c r="BI909" s="1">
        <v>24.0</v>
      </c>
      <c r="BJ909" s="1" t="s">
        <v>171</v>
      </c>
      <c r="BK909" s="1" t="s">
        <v>172</v>
      </c>
      <c r="BL909" s="1" t="s">
        <v>171</v>
      </c>
      <c r="BM909" s="1" t="s">
        <v>18146</v>
      </c>
      <c r="BN909" s="1" t="s">
        <v>74</v>
      </c>
      <c r="BO909" s="1" t="s">
        <v>174</v>
      </c>
      <c r="BP909" s="1" t="s">
        <v>74</v>
      </c>
      <c r="BQ909" s="1" t="s">
        <v>74</v>
      </c>
      <c r="BR909" s="1" t="s">
        <v>102</v>
      </c>
      <c r="BS909" s="1" t="s">
        <v>18147</v>
      </c>
      <c r="BT909" s="1" t="str">
        <f>HYPERLINK("https%3A%2F%2Fwww.webofscience.com%2Fwos%2Fwoscc%2Ffull-record%2FWOS:001129316400001","View Full Record in Web of Science")</f>
        <v>View Full Record in Web of Science</v>
      </c>
    </row>
    <row r="910" ht="12.75" customHeight="1">
      <c r="A910" s="1" t="s">
        <v>132</v>
      </c>
      <c r="B910" s="1" t="s">
        <v>18148</v>
      </c>
      <c r="C910" s="1" t="s">
        <v>74</v>
      </c>
      <c r="D910" s="1" t="s">
        <v>74</v>
      </c>
      <c r="E910" s="1" t="s">
        <v>74</v>
      </c>
      <c r="F910" s="1" t="s">
        <v>18149</v>
      </c>
      <c r="G910" s="1" t="s">
        <v>74</v>
      </c>
      <c r="H910" s="1" t="s">
        <v>74</v>
      </c>
      <c r="I910" s="1" t="s">
        <v>18150</v>
      </c>
      <c r="J910" s="1" t="s">
        <v>18151</v>
      </c>
      <c r="K910" s="1" t="s">
        <v>74</v>
      </c>
      <c r="L910" s="1" t="s">
        <v>74</v>
      </c>
      <c r="M910" s="1" t="s">
        <v>80</v>
      </c>
      <c r="N910" s="1" t="s">
        <v>136</v>
      </c>
      <c r="O910" s="1" t="s">
        <v>74</v>
      </c>
      <c r="P910" s="1" t="s">
        <v>74</v>
      </c>
      <c r="Q910" s="1" t="s">
        <v>74</v>
      </c>
      <c r="R910" s="1" t="s">
        <v>74</v>
      </c>
      <c r="S910" s="1" t="s">
        <v>74</v>
      </c>
      <c r="T910" s="1" t="s">
        <v>18152</v>
      </c>
      <c r="U910" s="1" t="s">
        <v>18153</v>
      </c>
      <c r="V910" s="1" t="s">
        <v>18154</v>
      </c>
      <c r="W910" s="1" t="s">
        <v>18155</v>
      </c>
      <c r="X910" s="1" t="s">
        <v>18156</v>
      </c>
      <c r="Y910" s="1" t="s">
        <v>18157</v>
      </c>
      <c r="Z910" s="1" t="s">
        <v>18158</v>
      </c>
      <c r="AA910" s="1" t="s">
        <v>18159</v>
      </c>
      <c r="AB910" s="1" t="s">
        <v>18160</v>
      </c>
      <c r="AC910" s="1" t="s">
        <v>74</v>
      </c>
      <c r="AD910" s="1" t="s">
        <v>74</v>
      </c>
      <c r="AE910" s="1" t="s">
        <v>74</v>
      </c>
      <c r="AF910" s="1" t="s">
        <v>74</v>
      </c>
      <c r="AG910" s="1">
        <v>51.0</v>
      </c>
      <c r="AH910" s="1">
        <v>139.0</v>
      </c>
      <c r="AI910" s="1">
        <v>146.0</v>
      </c>
      <c r="AJ910" s="1">
        <v>81.0</v>
      </c>
      <c r="AK910" s="1">
        <v>395.0</v>
      </c>
      <c r="AL910" s="1" t="s">
        <v>595</v>
      </c>
      <c r="AM910" s="1" t="s">
        <v>467</v>
      </c>
      <c r="AN910" s="1" t="s">
        <v>596</v>
      </c>
      <c r="AO910" s="1" t="s">
        <v>18161</v>
      </c>
      <c r="AP910" s="1" t="s">
        <v>18162</v>
      </c>
      <c r="AQ910" s="1" t="s">
        <v>74</v>
      </c>
      <c r="AR910" s="1" t="s">
        <v>18163</v>
      </c>
      <c r="AS910" s="1" t="s">
        <v>18164</v>
      </c>
      <c r="AT910" s="1" t="s">
        <v>18165</v>
      </c>
      <c r="AU910" s="1">
        <v>2020.0</v>
      </c>
      <c r="AV910" s="1">
        <v>29.0</v>
      </c>
      <c r="AW910" s="1">
        <v>7.0</v>
      </c>
      <c r="AX910" s="1" t="s">
        <v>74</v>
      </c>
      <c r="AY910" s="1" t="s">
        <v>74</v>
      </c>
      <c r="AZ910" s="1" t="s">
        <v>74</v>
      </c>
      <c r="BA910" s="1" t="s">
        <v>74</v>
      </c>
      <c r="BB910" s="1">
        <v>739.0</v>
      </c>
      <c r="BC910" s="1">
        <v>756.0</v>
      </c>
      <c r="BD910" s="1" t="s">
        <v>74</v>
      </c>
      <c r="BE910" s="1" t="s">
        <v>18166</v>
      </c>
      <c r="BF910" s="2" t="str">
        <f>HYPERLINK("http://dx.doi.org/10.1080/19368623.2020.1722304","http://dx.doi.org/10.1080/19368623.2020.1722304")</f>
        <v>http://dx.doi.org/10.1080/19368623.2020.1722304</v>
      </c>
      <c r="BG910" s="1" t="s">
        <v>74</v>
      </c>
      <c r="BH910" s="1" t="s">
        <v>18167</v>
      </c>
      <c r="BI910" s="1">
        <v>18.0</v>
      </c>
      <c r="BJ910" s="1" t="s">
        <v>18168</v>
      </c>
      <c r="BK910" s="1" t="s">
        <v>203</v>
      </c>
      <c r="BL910" s="1" t="s">
        <v>715</v>
      </c>
      <c r="BM910" s="1" t="s">
        <v>18169</v>
      </c>
      <c r="BN910" s="1" t="s">
        <v>74</v>
      </c>
      <c r="BO910" s="1" t="s">
        <v>74</v>
      </c>
      <c r="BP910" s="1" t="s">
        <v>74</v>
      </c>
      <c r="BQ910" s="1" t="s">
        <v>74</v>
      </c>
      <c r="BR910" s="1" t="s">
        <v>102</v>
      </c>
      <c r="BS910" s="1" t="s">
        <v>18170</v>
      </c>
      <c r="BT910" s="1" t="str">
        <f>HYPERLINK("https%3A%2F%2Fwww.webofscience.com%2Fwos%2Fwoscc%2Ffull-record%2FWOS:000512560300001","View Full Record in Web of Science")</f>
        <v>View Full Record in Web of Science</v>
      </c>
    </row>
    <row r="911" ht="12.75" customHeight="1">
      <c r="A911" s="1" t="s">
        <v>132</v>
      </c>
      <c r="B911" s="1" t="s">
        <v>18171</v>
      </c>
      <c r="C911" s="1" t="s">
        <v>74</v>
      </c>
      <c r="D911" s="1" t="s">
        <v>74</v>
      </c>
      <c r="E911" s="1" t="s">
        <v>74</v>
      </c>
      <c r="F911" s="1" t="s">
        <v>18172</v>
      </c>
      <c r="G911" s="1" t="s">
        <v>74</v>
      </c>
      <c r="H911" s="1" t="s">
        <v>74</v>
      </c>
      <c r="I911" s="1" t="s">
        <v>18173</v>
      </c>
      <c r="J911" s="1" t="s">
        <v>18174</v>
      </c>
      <c r="K911" s="1" t="s">
        <v>74</v>
      </c>
      <c r="L911" s="1" t="s">
        <v>74</v>
      </c>
      <c r="M911" s="1" t="s">
        <v>80</v>
      </c>
      <c r="N911" s="1" t="s">
        <v>136</v>
      </c>
      <c r="O911" s="1" t="s">
        <v>74</v>
      </c>
      <c r="P911" s="1" t="s">
        <v>74</v>
      </c>
      <c r="Q911" s="1" t="s">
        <v>74</v>
      </c>
      <c r="R911" s="1" t="s">
        <v>74</v>
      </c>
      <c r="S911" s="1" t="s">
        <v>74</v>
      </c>
      <c r="T911" s="1" t="s">
        <v>18175</v>
      </c>
      <c r="U911" s="1" t="s">
        <v>18176</v>
      </c>
      <c r="V911" s="1" t="s">
        <v>18177</v>
      </c>
      <c r="W911" s="1" t="s">
        <v>18178</v>
      </c>
      <c r="X911" s="1" t="s">
        <v>18179</v>
      </c>
      <c r="Y911" s="1" t="s">
        <v>18180</v>
      </c>
      <c r="Z911" s="1" t="s">
        <v>18181</v>
      </c>
      <c r="AA911" s="1" t="s">
        <v>18182</v>
      </c>
      <c r="AB911" s="1" t="s">
        <v>74</v>
      </c>
      <c r="AC911" s="1" t="s">
        <v>74</v>
      </c>
      <c r="AD911" s="1" t="s">
        <v>74</v>
      </c>
      <c r="AE911" s="1" t="s">
        <v>74</v>
      </c>
      <c r="AF911" s="1" t="s">
        <v>74</v>
      </c>
      <c r="AG911" s="1">
        <v>64.0</v>
      </c>
      <c r="AH911" s="1">
        <v>0.0</v>
      </c>
      <c r="AI911" s="1">
        <v>0.0</v>
      </c>
      <c r="AJ911" s="1">
        <v>2.0</v>
      </c>
      <c r="AK911" s="1">
        <v>16.0</v>
      </c>
      <c r="AL911" s="1" t="s">
        <v>1149</v>
      </c>
      <c r="AM911" s="1" t="s">
        <v>1150</v>
      </c>
      <c r="AN911" s="1" t="s">
        <v>1151</v>
      </c>
      <c r="AO911" s="1" t="s">
        <v>18183</v>
      </c>
      <c r="AP911" s="1" t="s">
        <v>18184</v>
      </c>
      <c r="AQ911" s="1" t="s">
        <v>74</v>
      </c>
      <c r="AR911" s="1" t="s">
        <v>18185</v>
      </c>
      <c r="AS911" s="1" t="s">
        <v>18186</v>
      </c>
      <c r="AT911" s="1" t="s">
        <v>199</v>
      </c>
      <c r="AU911" s="1">
        <v>2021.0</v>
      </c>
      <c r="AV911" s="1">
        <v>6.0</v>
      </c>
      <c r="AW911" s="1">
        <v>5.0</v>
      </c>
      <c r="AX911" s="1" t="s">
        <v>74</v>
      </c>
      <c r="AY911" s="1" t="s">
        <v>5473</v>
      </c>
      <c r="AZ911" s="1" t="s">
        <v>474</v>
      </c>
      <c r="BA911" s="1" t="s">
        <v>74</v>
      </c>
      <c r="BB911" s="1">
        <v>8.0</v>
      </c>
      <c r="BC911" s="1">
        <v>18.0</v>
      </c>
      <c r="BD911" s="1" t="s">
        <v>74</v>
      </c>
      <c r="BE911" s="1" t="s">
        <v>18187</v>
      </c>
      <c r="BF911" s="2" t="str">
        <f>HYPERLINK("http://dx.doi.org/10.4103/2468-8827.330646","http://dx.doi.org/10.4103/2468-8827.330646")</f>
        <v>http://dx.doi.org/10.4103/2468-8827.330646</v>
      </c>
      <c r="BG911" s="1" t="s">
        <v>74</v>
      </c>
      <c r="BH911" s="1" t="s">
        <v>74</v>
      </c>
      <c r="BI911" s="1">
        <v>11.0</v>
      </c>
      <c r="BJ911" s="1" t="s">
        <v>18188</v>
      </c>
      <c r="BK911" s="1" t="s">
        <v>172</v>
      </c>
      <c r="BL911" s="1" t="s">
        <v>18189</v>
      </c>
      <c r="BM911" s="1" t="s">
        <v>18190</v>
      </c>
      <c r="BN911" s="1" t="s">
        <v>74</v>
      </c>
      <c r="BO911" s="1" t="s">
        <v>174</v>
      </c>
      <c r="BP911" s="1" t="s">
        <v>74</v>
      </c>
      <c r="BQ911" s="1" t="s">
        <v>74</v>
      </c>
      <c r="BR911" s="1" t="s">
        <v>102</v>
      </c>
      <c r="BS911" s="1" t="s">
        <v>18191</v>
      </c>
      <c r="BT911" s="1" t="str">
        <f>HYPERLINK("https%3A%2F%2Fwww.webofscience.com%2Fwos%2Fwoscc%2Ffull-record%2FWOS:000860246200003","View Full Record in Web of Science")</f>
        <v>View Full Record in Web of Science</v>
      </c>
    </row>
    <row r="912" ht="12.75" customHeight="1">
      <c r="A912" s="1" t="s">
        <v>132</v>
      </c>
      <c r="B912" s="1" t="s">
        <v>18192</v>
      </c>
      <c r="C912" s="1" t="s">
        <v>74</v>
      </c>
      <c r="D912" s="1" t="s">
        <v>74</v>
      </c>
      <c r="E912" s="1" t="s">
        <v>74</v>
      </c>
      <c r="F912" s="1" t="s">
        <v>18193</v>
      </c>
      <c r="G912" s="1" t="s">
        <v>74</v>
      </c>
      <c r="H912" s="1" t="s">
        <v>74</v>
      </c>
      <c r="I912" s="1" t="s">
        <v>18194</v>
      </c>
      <c r="J912" s="1" t="s">
        <v>18195</v>
      </c>
      <c r="K912" s="1" t="s">
        <v>74</v>
      </c>
      <c r="L912" s="1" t="s">
        <v>74</v>
      </c>
      <c r="M912" s="1" t="s">
        <v>80</v>
      </c>
      <c r="N912" s="1" t="s">
        <v>136</v>
      </c>
      <c r="O912" s="1" t="s">
        <v>74</v>
      </c>
      <c r="P912" s="1" t="s">
        <v>74</v>
      </c>
      <c r="Q912" s="1" t="s">
        <v>74</v>
      </c>
      <c r="R912" s="1" t="s">
        <v>74</v>
      </c>
      <c r="S912" s="1" t="s">
        <v>74</v>
      </c>
      <c r="T912" s="1" t="s">
        <v>18196</v>
      </c>
      <c r="U912" s="1" t="s">
        <v>1912</v>
      </c>
      <c r="V912" s="1" t="s">
        <v>18197</v>
      </c>
      <c r="W912" s="1" t="s">
        <v>18198</v>
      </c>
      <c r="X912" s="1" t="s">
        <v>74</v>
      </c>
      <c r="Y912" s="1" t="s">
        <v>18199</v>
      </c>
      <c r="Z912" s="1" t="s">
        <v>18200</v>
      </c>
      <c r="AA912" s="1" t="s">
        <v>74</v>
      </c>
      <c r="AB912" s="1" t="s">
        <v>74</v>
      </c>
      <c r="AC912" s="1" t="s">
        <v>74</v>
      </c>
      <c r="AD912" s="1" t="s">
        <v>74</v>
      </c>
      <c r="AE912" s="1" t="s">
        <v>74</v>
      </c>
      <c r="AF912" s="1" t="s">
        <v>74</v>
      </c>
      <c r="AG912" s="1">
        <v>43.0</v>
      </c>
      <c r="AH912" s="1">
        <v>0.0</v>
      </c>
      <c r="AI912" s="1">
        <v>0.0</v>
      </c>
      <c r="AJ912" s="1">
        <v>53.0</v>
      </c>
      <c r="AK912" s="1">
        <v>64.0</v>
      </c>
      <c r="AL912" s="1" t="s">
        <v>10300</v>
      </c>
      <c r="AM912" s="1" t="s">
        <v>1120</v>
      </c>
      <c r="AN912" s="1" t="s">
        <v>10301</v>
      </c>
      <c r="AO912" s="1" t="s">
        <v>18201</v>
      </c>
      <c r="AP912" s="1" t="s">
        <v>18202</v>
      </c>
      <c r="AQ912" s="1" t="s">
        <v>74</v>
      </c>
      <c r="AR912" s="1" t="s">
        <v>18203</v>
      </c>
      <c r="AS912" s="1" t="s">
        <v>18204</v>
      </c>
      <c r="AT912" s="1" t="s">
        <v>1301</v>
      </c>
      <c r="AU912" s="1">
        <v>2024.0</v>
      </c>
      <c r="AV912" s="1">
        <v>28.0</v>
      </c>
      <c r="AW912" s="1" t="s">
        <v>18205</v>
      </c>
      <c r="AX912" s="1" t="s">
        <v>74</v>
      </c>
      <c r="AY912" s="1" t="s">
        <v>74</v>
      </c>
      <c r="AZ912" s="1" t="s">
        <v>74</v>
      </c>
      <c r="BA912" s="1" t="s">
        <v>74</v>
      </c>
      <c r="BB912" s="1" t="s">
        <v>74</v>
      </c>
      <c r="BC912" s="1" t="s">
        <v>74</v>
      </c>
      <c r="BD912" s="1">
        <v>2450004.0</v>
      </c>
      <c r="BE912" s="1" t="s">
        <v>18206</v>
      </c>
      <c r="BF912" s="2" t="str">
        <f>HYPERLINK("http://dx.doi.org/10.1142/S136391962450004X","http://dx.doi.org/10.1142/S136391962450004X")</f>
        <v>http://dx.doi.org/10.1142/S136391962450004X</v>
      </c>
      <c r="BG912" s="1" t="s">
        <v>74</v>
      </c>
      <c r="BH912" s="1" t="s">
        <v>74</v>
      </c>
      <c r="BI912" s="1">
        <v>29.0</v>
      </c>
      <c r="BJ912" s="1" t="s">
        <v>1776</v>
      </c>
      <c r="BK912" s="1" t="s">
        <v>172</v>
      </c>
      <c r="BL912" s="1" t="s">
        <v>204</v>
      </c>
      <c r="BM912" s="1" t="s">
        <v>18207</v>
      </c>
      <c r="BN912" s="1" t="s">
        <v>74</v>
      </c>
      <c r="BO912" s="1" t="s">
        <v>74</v>
      </c>
      <c r="BP912" s="1" t="s">
        <v>74</v>
      </c>
      <c r="BQ912" s="1" t="s">
        <v>74</v>
      </c>
      <c r="BR912" s="1" t="s">
        <v>102</v>
      </c>
      <c r="BS912" s="1" t="s">
        <v>18208</v>
      </c>
      <c r="BT912" s="1" t="str">
        <f>HYPERLINK("https%3A%2F%2Fwww.webofscience.com%2Fwos%2Fwoscc%2Ffull-record%2FWOS:001261512000002","View Full Record in Web of Science")</f>
        <v>View Full Record in Web of Science</v>
      </c>
    </row>
    <row r="913" ht="12.75" customHeight="1">
      <c r="A913" s="1" t="s">
        <v>132</v>
      </c>
      <c r="B913" s="1" t="s">
        <v>18209</v>
      </c>
      <c r="C913" s="1" t="s">
        <v>74</v>
      </c>
      <c r="D913" s="1" t="s">
        <v>74</v>
      </c>
      <c r="E913" s="1" t="s">
        <v>74</v>
      </c>
      <c r="F913" s="1" t="s">
        <v>18210</v>
      </c>
      <c r="G913" s="1" t="s">
        <v>74</v>
      </c>
      <c r="H913" s="1" t="s">
        <v>74</v>
      </c>
      <c r="I913" s="1" t="s">
        <v>18211</v>
      </c>
      <c r="J913" s="1" t="s">
        <v>18212</v>
      </c>
      <c r="K913" s="1" t="s">
        <v>74</v>
      </c>
      <c r="L913" s="1" t="s">
        <v>74</v>
      </c>
      <c r="M913" s="1" t="s">
        <v>80</v>
      </c>
      <c r="N913" s="1" t="s">
        <v>136</v>
      </c>
      <c r="O913" s="1" t="s">
        <v>74</v>
      </c>
      <c r="P913" s="1" t="s">
        <v>74</v>
      </c>
      <c r="Q913" s="1" t="s">
        <v>74</v>
      </c>
      <c r="R913" s="1" t="s">
        <v>74</v>
      </c>
      <c r="S913" s="1" t="s">
        <v>74</v>
      </c>
      <c r="T913" s="1" t="s">
        <v>18213</v>
      </c>
      <c r="U913" s="1" t="s">
        <v>18214</v>
      </c>
      <c r="V913" s="1" t="s">
        <v>18215</v>
      </c>
      <c r="W913" s="1" t="s">
        <v>18216</v>
      </c>
      <c r="X913" s="1" t="s">
        <v>18217</v>
      </c>
      <c r="Y913" s="1" t="s">
        <v>18218</v>
      </c>
      <c r="Z913" s="1" t="s">
        <v>18219</v>
      </c>
      <c r="AA913" s="1" t="s">
        <v>18220</v>
      </c>
      <c r="AB913" s="1" t="s">
        <v>74</v>
      </c>
      <c r="AC913" s="1" t="s">
        <v>18221</v>
      </c>
      <c r="AD913" s="1" t="s">
        <v>18222</v>
      </c>
      <c r="AE913" s="1" t="s">
        <v>18223</v>
      </c>
      <c r="AF913" s="1" t="s">
        <v>74</v>
      </c>
      <c r="AG913" s="1">
        <v>64.0</v>
      </c>
      <c r="AH913" s="1">
        <v>2.0</v>
      </c>
      <c r="AI913" s="1">
        <v>2.0</v>
      </c>
      <c r="AJ913" s="1">
        <v>0.0</v>
      </c>
      <c r="AK913" s="1">
        <v>6.0</v>
      </c>
      <c r="AL913" s="1" t="s">
        <v>18224</v>
      </c>
      <c r="AM913" s="1" t="s">
        <v>18225</v>
      </c>
      <c r="AN913" s="1" t="s">
        <v>18226</v>
      </c>
      <c r="AO913" s="1" t="s">
        <v>18227</v>
      </c>
      <c r="AP913" s="1" t="s">
        <v>74</v>
      </c>
      <c r="AQ913" s="1" t="s">
        <v>74</v>
      </c>
      <c r="AR913" s="1" t="s">
        <v>18228</v>
      </c>
      <c r="AS913" s="1" t="s">
        <v>18229</v>
      </c>
      <c r="AT913" s="1" t="s">
        <v>74</v>
      </c>
      <c r="AU913" s="1">
        <v>2021.0</v>
      </c>
      <c r="AV913" s="1">
        <v>43.0</v>
      </c>
      <c r="AW913" s="1">
        <v>2.0</v>
      </c>
      <c r="AX913" s="1" t="s">
        <v>74</v>
      </c>
      <c r="AY913" s="1" t="s">
        <v>74</v>
      </c>
      <c r="AZ913" s="1" t="s">
        <v>74</v>
      </c>
      <c r="BA913" s="1" t="s">
        <v>74</v>
      </c>
      <c r="BB913" s="1">
        <v>3.0</v>
      </c>
      <c r="BC913" s="1">
        <v>16.0</v>
      </c>
      <c r="BD913" s="1" t="s">
        <v>74</v>
      </c>
      <c r="BE913" s="1" t="s">
        <v>18230</v>
      </c>
      <c r="BF913" s="2" t="str">
        <f>HYPERLINK("http://dx.doi.org/10.17576/islamiyyat-2021-4302-01","http://dx.doi.org/10.17576/islamiyyat-2021-4302-01")</f>
        <v>http://dx.doi.org/10.17576/islamiyyat-2021-4302-01</v>
      </c>
      <c r="BG913" s="1" t="s">
        <v>74</v>
      </c>
      <c r="BH913" s="1" t="s">
        <v>74</v>
      </c>
      <c r="BI913" s="1">
        <v>14.0</v>
      </c>
      <c r="BJ913" s="1" t="s">
        <v>2646</v>
      </c>
      <c r="BK913" s="1" t="s">
        <v>172</v>
      </c>
      <c r="BL913" s="1" t="s">
        <v>2646</v>
      </c>
      <c r="BM913" s="1" t="s">
        <v>18231</v>
      </c>
      <c r="BN913" s="1" t="s">
        <v>74</v>
      </c>
      <c r="BO913" s="1" t="s">
        <v>18232</v>
      </c>
      <c r="BP913" s="1" t="s">
        <v>74</v>
      </c>
      <c r="BQ913" s="1" t="s">
        <v>74</v>
      </c>
      <c r="BR913" s="1" t="s">
        <v>102</v>
      </c>
      <c r="BS913" s="1" t="s">
        <v>18233</v>
      </c>
      <c r="BT913" s="1" t="str">
        <f>HYPERLINK("https%3A%2F%2Fwww.webofscience.com%2Fwos%2Fwoscc%2Ffull-record%2FWOS:000810944500001","View Full Record in Web of Science")</f>
        <v>View Full Record in Web of Science</v>
      </c>
    </row>
    <row r="914" ht="12.75" customHeight="1">
      <c r="A914" s="1" t="s">
        <v>132</v>
      </c>
      <c r="B914" s="1" t="s">
        <v>18234</v>
      </c>
      <c r="C914" s="1" t="s">
        <v>74</v>
      </c>
      <c r="D914" s="1" t="s">
        <v>74</v>
      </c>
      <c r="E914" s="1" t="s">
        <v>74</v>
      </c>
      <c r="F914" s="1" t="s">
        <v>18235</v>
      </c>
      <c r="G914" s="1" t="s">
        <v>74</v>
      </c>
      <c r="H914" s="1" t="s">
        <v>74</v>
      </c>
      <c r="I914" s="1" t="s">
        <v>18236</v>
      </c>
      <c r="J914" s="1" t="s">
        <v>18237</v>
      </c>
      <c r="K914" s="1" t="s">
        <v>74</v>
      </c>
      <c r="L914" s="1" t="s">
        <v>74</v>
      </c>
      <c r="M914" s="1" t="s">
        <v>80</v>
      </c>
      <c r="N914" s="1" t="s">
        <v>1010</v>
      </c>
      <c r="O914" s="1" t="s">
        <v>74</v>
      </c>
      <c r="P914" s="1" t="s">
        <v>74</v>
      </c>
      <c r="Q914" s="1" t="s">
        <v>74</v>
      </c>
      <c r="R914" s="1" t="s">
        <v>74</v>
      </c>
      <c r="S914" s="1" t="s">
        <v>74</v>
      </c>
      <c r="T914" s="1" t="s">
        <v>18238</v>
      </c>
      <c r="U914" s="1" t="s">
        <v>1912</v>
      </c>
      <c r="V914" s="1" t="s">
        <v>18239</v>
      </c>
      <c r="W914" s="1" t="s">
        <v>18240</v>
      </c>
      <c r="X914" s="1" t="s">
        <v>18241</v>
      </c>
      <c r="Y914" s="1" t="s">
        <v>18242</v>
      </c>
      <c r="Z914" s="1" t="s">
        <v>18243</v>
      </c>
      <c r="AA914" s="1" t="s">
        <v>18244</v>
      </c>
      <c r="AB914" s="1" t="s">
        <v>74</v>
      </c>
      <c r="AC914" s="1" t="s">
        <v>74</v>
      </c>
      <c r="AD914" s="1" t="s">
        <v>74</v>
      </c>
      <c r="AE914" s="1" t="s">
        <v>74</v>
      </c>
      <c r="AF914" s="1" t="s">
        <v>74</v>
      </c>
      <c r="AG914" s="1">
        <v>15.0</v>
      </c>
      <c r="AH914" s="1">
        <v>8.0</v>
      </c>
      <c r="AI914" s="1">
        <v>9.0</v>
      </c>
      <c r="AJ914" s="1">
        <v>2.0</v>
      </c>
      <c r="AK914" s="1">
        <v>31.0</v>
      </c>
      <c r="AL914" s="1" t="s">
        <v>2341</v>
      </c>
      <c r="AM914" s="1" t="s">
        <v>93</v>
      </c>
      <c r="AN914" s="1" t="s">
        <v>2342</v>
      </c>
      <c r="AO914" s="1" t="s">
        <v>18245</v>
      </c>
      <c r="AP914" s="1" t="s">
        <v>18246</v>
      </c>
      <c r="AQ914" s="1" t="s">
        <v>74</v>
      </c>
      <c r="AR914" s="1" t="s">
        <v>18247</v>
      </c>
      <c r="AS914" s="1" t="s">
        <v>18248</v>
      </c>
      <c r="AT914" s="1" t="s">
        <v>870</v>
      </c>
      <c r="AU914" s="1">
        <v>2021.0</v>
      </c>
      <c r="AV914" s="1">
        <v>50.0</v>
      </c>
      <c r="AW914" s="1">
        <v>1.0</v>
      </c>
      <c r="AX914" s="1" t="s">
        <v>74</v>
      </c>
      <c r="AY914" s="1" t="s">
        <v>74</v>
      </c>
      <c r="AZ914" s="1" t="s">
        <v>74</v>
      </c>
      <c r="BA914" s="1" t="s">
        <v>74</v>
      </c>
      <c r="BB914" s="1" t="s">
        <v>74</v>
      </c>
      <c r="BC914" s="1" t="s">
        <v>74</v>
      </c>
      <c r="BD914" s="1">
        <v>101962.0</v>
      </c>
      <c r="BE914" s="1" t="s">
        <v>18249</v>
      </c>
      <c r="BF914" s="2" t="str">
        <f>HYPERLINK("http://dx.doi.org/10.1016/j.jogoh.2020.101962","http://dx.doi.org/10.1016/j.jogoh.2020.101962")</f>
        <v>http://dx.doi.org/10.1016/j.jogoh.2020.101962</v>
      </c>
      <c r="BG914" s="1" t="s">
        <v>74</v>
      </c>
      <c r="BH914" s="1" t="s">
        <v>1536</v>
      </c>
      <c r="BI914" s="1">
        <v>3.0</v>
      </c>
      <c r="BJ914" s="1" t="s">
        <v>6853</v>
      </c>
      <c r="BK914" s="1" t="s">
        <v>149</v>
      </c>
      <c r="BL914" s="1" t="s">
        <v>6853</v>
      </c>
      <c r="BM914" s="1" t="s">
        <v>18250</v>
      </c>
      <c r="BN914" s="1">
        <v>3.3148398E7</v>
      </c>
      <c r="BO914" s="1" t="s">
        <v>632</v>
      </c>
      <c r="BP914" s="1" t="s">
        <v>74</v>
      </c>
      <c r="BQ914" s="1" t="s">
        <v>74</v>
      </c>
      <c r="BR914" s="1" t="s">
        <v>102</v>
      </c>
      <c r="BS914" s="1" t="s">
        <v>18251</v>
      </c>
      <c r="BT914" s="1" t="str">
        <f>HYPERLINK("https%3A%2F%2Fwww.webofscience.com%2Fwos%2Fwoscc%2Ffull-record%2FWOS:000609160400015","View Full Record in Web of Science")</f>
        <v>View Full Record in Web of Science</v>
      </c>
    </row>
    <row r="915" ht="12.75" customHeight="1">
      <c r="A915" s="1" t="s">
        <v>132</v>
      </c>
      <c r="B915" s="1" t="s">
        <v>18252</v>
      </c>
      <c r="C915" s="1" t="s">
        <v>74</v>
      </c>
      <c r="D915" s="1" t="s">
        <v>74</v>
      </c>
      <c r="E915" s="1" t="s">
        <v>74</v>
      </c>
      <c r="F915" s="1" t="s">
        <v>18253</v>
      </c>
      <c r="G915" s="1" t="s">
        <v>74</v>
      </c>
      <c r="H915" s="1" t="s">
        <v>74</v>
      </c>
      <c r="I915" s="1" t="s">
        <v>18254</v>
      </c>
      <c r="J915" s="1" t="s">
        <v>18255</v>
      </c>
      <c r="K915" s="1" t="s">
        <v>74</v>
      </c>
      <c r="L915" s="1" t="s">
        <v>74</v>
      </c>
      <c r="M915" s="1" t="s">
        <v>80</v>
      </c>
      <c r="N915" s="1" t="s">
        <v>1010</v>
      </c>
      <c r="O915" s="1" t="s">
        <v>74</v>
      </c>
      <c r="P915" s="1" t="s">
        <v>74</v>
      </c>
      <c r="Q915" s="1" t="s">
        <v>74</v>
      </c>
      <c r="R915" s="1" t="s">
        <v>74</v>
      </c>
      <c r="S915" s="1" t="s">
        <v>74</v>
      </c>
      <c r="T915" s="1" t="s">
        <v>18256</v>
      </c>
      <c r="U915" s="1" t="s">
        <v>18257</v>
      </c>
      <c r="V915" s="1" t="s">
        <v>18258</v>
      </c>
      <c r="W915" s="1" t="s">
        <v>18259</v>
      </c>
      <c r="X915" s="1" t="s">
        <v>18260</v>
      </c>
      <c r="Y915" s="1" t="s">
        <v>18261</v>
      </c>
      <c r="Z915" s="1" t="s">
        <v>18262</v>
      </c>
      <c r="AA915" s="1" t="s">
        <v>18263</v>
      </c>
      <c r="AB915" s="1" t="s">
        <v>18264</v>
      </c>
      <c r="AC915" s="1" t="s">
        <v>74</v>
      </c>
      <c r="AD915" s="1" t="s">
        <v>74</v>
      </c>
      <c r="AE915" s="1" t="s">
        <v>74</v>
      </c>
      <c r="AF915" s="1" t="s">
        <v>74</v>
      </c>
      <c r="AG915" s="1">
        <v>82.0</v>
      </c>
      <c r="AH915" s="1">
        <v>50.0</v>
      </c>
      <c r="AI915" s="1">
        <v>52.0</v>
      </c>
      <c r="AJ915" s="1">
        <v>8.0</v>
      </c>
      <c r="AK915" s="1">
        <v>39.0</v>
      </c>
      <c r="AL915" s="1" t="s">
        <v>1970</v>
      </c>
      <c r="AM915" s="1" t="s">
        <v>1658</v>
      </c>
      <c r="AN915" s="1" t="s">
        <v>1971</v>
      </c>
      <c r="AO915" s="1" t="s">
        <v>74</v>
      </c>
      <c r="AP915" s="1" t="s">
        <v>18265</v>
      </c>
      <c r="AQ915" s="1" t="s">
        <v>74</v>
      </c>
      <c r="AR915" s="1" t="s">
        <v>18266</v>
      </c>
      <c r="AS915" s="1" t="s">
        <v>18267</v>
      </c>
      <c r="AT915" s="1" t="s">
        <v>1364</v>
      </c>
      <c r="AU915" s="1">
        <v>2021.0</v>
      </c>
      <c r="AV915" s="1">
        <v>10.0</v>
      </c>
      <c r="AW915" s="1">
        <v>9.0</v>
      </c>
      <c r="AX915" s="1" t="s">
        <v>74</v>
      </c>
      <c r="AY915" s="1" t="s">
        <v>74</v>
      </c>
      <c r="AZ915" s="1" t="s">
        <v>74</v>
      </c>
      <c r="BA915" s="1" t="s">
        <v>74</v>
      </c>
      <c r="BB915" s="1" t="s">
        <v>74</v>
      </c>
      <c r="BC915" s="1" t="s">
        <v>74</v>
      </c>
      <c r="BD915" s="1">
        <v>1864.0</v>
      </c>
      <c r="BE915" s="1" t="s">
        <v>18268</v>
      </c>
      <c r="BF915" s="2" t="str">
        <f>HYPERLINK("http://dx.doi.org/10.3390/jcm10091864","http://dx.doi.org/10.3390/jcm10091864")</f>
        <v>http://dx.doi.org/10.3390/jcm10091864</v>
      </c>
      <c r="BG915" s="1" t="s">
        <v>74</v>
      </c>
      <c r="BH915" s="1" t="s">
        <v>74</v>
      </c>
      <c r="BI915" s="1">
        <v>19.0</v>
      </c>
      <c r="BJ915" s="1" t="s">
        <v>1158</v>
      </c>
      <c r="BK915" s="1" t="s">
        <v>149</v>
      </c>
      <c r="BL915" s="1" t="s">
        <v>1159</v>
      </c>
      <c r="BM915" s="1" t="s">
        <v>18269</v>
      </c>
      <c r="BN915" s="1">
        <v>3.3925767E7</v>
      </c>
      <c r="BO915" s="1" t="s">
        <v>284</v>
      </c>
      <c r="BP915" s="1" t="s">
        <v>74</v>
      </c>
      <c r="BQ915" s="1" t="s">
        <v>74</v>
      </c>
      <c r="BR915" s="1" t="s">
        <v>102</v>
      </c>
      <c r="BS915" s="1" t="s">
        <v>18270</v>
      </c>
      <c r="BT915" s="1" t="str">
        <f>HYPERLINK("https%3A%2F%2Fwww.webofscience.com%2Fwos%2Fwoscc%2Ffull-record%2FWOS:000650423700001","View Full Record in Web of Science")</f>
        <v>View Full Record in Web of Science</v>
      </c>
    </row>
    <row r="916" ht="12.75" customHeight="1">
      <c r="A916" s="1" t="s">
        <v>132</v>
      </c>
      <c r="B916" s="1" t="s">
        <v>1599</v>
      </c>
      <c r="C916" s="1" t="s">
        <v>74</v>
      </c>
      <c r="D916" s="1" t="s">
        <v>74</v>
      </c>
      <c r="E916" s="1" t="s">
        <v>74</v>
      </c>
      <c r="F916" s="1" t="s">
        <v>1600</v>
      </c>
      <c r="G916" s="1" t="s">
        <v>74</v>
      </c>
      <c r="H916" s="1" t="s">
        <v>74</v>
      </c>
      <c r="I916" s="1" t="s">
        <v>18271</v>
      </c>
      <c r="J916" s="1" t="s">
        <v>1602</v>
      </c>
      <c r="K916" s="1" t="s">
        <v>74</v>
      </c>
      <c r="L916" s="1" t="s">
        <v>74</v>
      </c>
      <c r="M916" s="1" t="s">
        <v>80</v>
      </c>
      <c r="N916" s="1" t="s">
        <v>1010</v>
      </c>
      <c r="O916" s="1" t="s">
        <v>74</v>
      </c>
      <c r="P916" s="1" t="s">
        <v>74</v>
      </c>
      <c r="Q916" s="1" t="s">
        <v>74</v>
      </c>
      <c r="R916" s="1" t="s">
        <v>74</v>
      </c>
      <c r="S916" s="1" t="s">
        <v>74</v>
      </c>
      <c r="T916" s="1" t="s">
        <v>18272</v>
      </c>
      <c r="U916" s="1" t="s">
        <v>18273</v>
      </c>
      <c r="V916" s="1" t="s">
        <v>18274</v>
      </c>
      <c r="W916" s="1" t="s">
        <v>18275</v>
      </c>
      <c r="X916" s="1" t="s">
        <v>74</v>
      </c>
      <c r="Y916" s="1" t="s">
        <v>1608</v>
      </c>
      <c r="Z916" s="1" t="s">
        <v>1609</v>
      </c>
      <c r="AA916" s="1" t="s">
        <v>18276</v>
      </c>
      <c r="AB916" s="1" t="s">
        <v>18277</v>
      </c>
      <c r="AC916" s="1" t="s">
        <v>18278</v>
      </c>
      <c r="AD916" s="1" t="s">
        <v>18278</v>
      </c>
      <c r="AE916" s="1" t="s">
        <v>3018</v>
      </c>
      <c r="AF916" s="1" t="s">
        <v>74</v>
      </c>
      <c r="AG916" s="1">
        <v>96.0</v>
      </c>
      <c r="AH916" s="1">
        <v>13.0</v>
      </c>
      <c r="AI916" s="1">
        <v>14.0</v>
      </c>
      <c r="AJ916" s="1">
        <v>49.0</v>
      </c>
      <c r="AK916" s="1">
        <v>119.0</v>
      </c>
      <c r="AL916" s="1" t="s">
        <v>1612</v>
      </c>
      <c r="AM916" s="1" t="s">
        <v>1613</v>
      </c>
      <c r="AN916" s="1" t="s">
        <v>1614</v>
      </c>
      <c r="AO916" s="1" t="s">
        <v>1615</v>
      </c>
      <c r="AP916" s="1" t="s">
        <v>74</v>
      </c>
      <c r="AQ916" s="1" t="s">
        <v>74</v>
      </c>
      <c r="AR916" s="1" t="s">
        <v>1602</v>
      </c>
      <c r="AS916" s="1" t="s">
        <v>1616</v>
      </c>
      <c r="AT916" s="1" t="s">
        <v>74</v>
      </c>
      <c r="AU916" s="1">
        <v>2024.0</v>
      </c>
      <c r="AV916" s="1">
        <v>12.0</v>
      </c>
      <c r="AW916" s="1" t="s">
        <v>74</v>
      </c>
      <c r="AX916" s="1" t="s">
        <v>74</v>
      </c>
      <c r="AY916" s="1" t="s">
        <v>74</v>
      </c>
      <c r="AZ916" s="1" t="s">
        <v>74</v>
      </c>
      <c r="BA916" s="1" t="s">
        <v>74</v>
      </c>
      <c r="BB916" s="1">
        <v>25553.0</v>
      </c>
      <c r="BC916" s="1">
        <v>25579.0</v>
      </c>
      <c r="BD916" s="1" t="s">
        <v>74</v>
      </c>
      <c r="BE916" s="1" t="s">
        <v>18279</v>
      </c>
      <c r="BF916" s="2" t="str">
        <f>HYPERLINK("http://dx.doi.org/10.1109/ACCESS.2024.3366802","http://dx.doi.org/10.1109/ACCESS.2024.3366802")</f>
        <v>http://dx.doi.org/10.1109/ACCESS.2024.3366802</v>
      </c>
      <c r="BG916" s="1" t="s">
        <v>74</v>
      </c>
      <c r="BH916" s="1" t="s">
        <v>74</v>
      </c>
      <c r="BI916" s="1">
        <v>27.0</v>
      </c>
      <c r="BJ916" s="1" t="s">
        <v>1618</v>
      </c>
      <c r="BK916" s="1" t="s">
        <v>149</v>
      </c>
      <c r="BL916" s="1" t="s">
        <v>1619</v>
      </c>
      <c r="BM916" s="1" t="s">
        <v>18280</v>
      </c>
      <c r="BN916" s="1" t="s">
        <v>74</v>
      </c>
      <c r="BO916" s="1" t="s">
        <v>174</v>
      </c>
      <c r="BP916" s="1" t="s">
        <v>74</v>
      </c>
      <c r="BQ916" s="1" t="s">
        <v>74</v>
      </c>
      <c r="BR916" s="1" t="s">
        <v>102</v>
      </c>
      <c r="BS916" s="1" t="s">
        <v>18281</v>
      </c>
      <c r="BT916" s="1" t="str">
        <f>HYPERLINK("https%3A%2F%2Fwww.webofscience.com%2Fwos%2Fwoscc%2Ffull-record%2FWOS:001169897400001","View Full Record in Web of Science")</f>
        <v>View Full Record in Web of Science</v>
      </c>
    </row>
    <row r="917" ht="12.75" customHeight="1">
      <c r="A917" s="1" t="s">
        <v>132</v>
      </c>
      <c r="B917" s="1" t="s">
        <v>18282</v>
      </c>
      <c r="C917" s="1" t="s">
        <v>74</v>
      </c>
      <c r="D917" s="1" t="s">
        <v>74</v>
      </c>
      <c r="E917" s="1" t="s">
        <v>74</v>
      </c>
      <c r="F917" s="1" t="s">
        <v>18283</v>
      </c>
      <c r="G917" s="1" t="s">
        <v>74</v>
      </c>
      <c r="H917" s="1" t="s">
        <v>74</v>
      </c>
      <c r="I917" s="1" t="s">
        <v>18284</v>
      </c>
      <c r="J917" s="1" t="s">
        <v>18285</v>
      </c>
      <c r="K917" s="1" t="s">
        <v>74</v>
      </c>
      <c r="L917" s="1" t="s">
        <v>74</v>
      </c>
      <c r="M917" s="1" t="s">
        <v>80</v>
      </c>
      <c r="N917" s="1" t="s">
        <v>1010</v>
      </c>
      <c r="O917" s="1" t="s">
        <v>74</v>
      </c>
      <c r="P917" s="1" t="s">
        <v>74</v>
      </c>
      <c r="Q917" s="1" t="s">
        <v>74</v>
      </c>
      <c r="R917" s="1" t="s">
        <v>74</v>
      </c>
      <c r="S917" s="1" t="s">
        <v>74</v>
      </c>
      <c r="T917" s="1" t="s">
        <v>18286</v>
      </c>
      <c r="U917" s="1" t="s">
        <v>18287</v>
      </c>
      <c r="V917" s="1" t="s">
        <v>18288</v>
      </c>
      <c r="W917" s="1" t="s">
        <v>18289</v>
      </c>
      <c r="X917" s="1" t="s">
        <v>18290</v>
      </c>
      <c r="Y917" s="1" t="s">
        <v>18291</v>
      </c>
      <c r="Z917" s="1" t="s">
        <v>18292</v>
      </c>
      <c r="AA917" s="1" t="s">
        <v>18293</v>
      </c>
      <c r="AB917" s="1" t="s">
        <v>18294</v>
      </c>
      <c r="AC917" s="1" t="s">
        <v>74</v>
      </c>
      <c r="AD917" s="1" t="s">
        <v>74</v>
      </c>
      <c r="AE917" s="1" t="s">
        <v>74</v>
      </c>
      <c r="AF917" s="1" t="s">
        <v>74</v>
      </c>
      <c r="AG917" s="1">
        <v>89.0</v>
      </c>
      <c r="AH917" s="1">
        <v>1.0</v>
      </c>
      <c r="AI917" s="1">
        <v>1.0</v>
      </c>
      <c r="AJ917" s="1">
        <v>2.0</v>
      </c>
      <c r="AK917" s="1">
        <v>2.0</v>
      </c>
      <c r="AL917" s="1" t="s">
        <v>18295</v>
      </c>
      <c r="AM917" s="1" t="s">
        <v>18296</v>
      </c>
      <c r="AN917" s="1" t="s">
        <v>18297</v>
      </c>
      <c r="AO917" s="1" t="s">
        <v>18298</v>
      </c>
      <c r="AP917" s="1" t="s">
        <v>18299</v>
      </c>
      <c r="AQ917" s="1" t="s">
        <v>74</v>
      </c>
      <c r="AR917" s="1" t="s">
        <v>18300</v>
      </c>
      <c r="AS917" s="1" t="s">
        <v>18301</v>
      </c>
      <c r="AT917" s="1" t="s">
        <v>2469</v>
      </c>
      <c r="AU917" s="1">
        <v>2024.0</v>
      </c>
      <c r="AV917" s="1">
        <v>14.0</v>
      </c>
      <c r="AW917" s="1">
        <v>4.0</v>
      </c>
      <c r="AX917" s="1" t="s">
        <v>74</v>
      </c>
      <c r="AY917" s="1" t="s">
        <v>74</v>
      </c>
      <c r="AZ917" s="1" t="s">
        <v>74</v>
      </c>
      <c r="BA917" s="1" t="s">
        <v>74</v>
      </c>
      <c r="BB917" s="1" t="s">
        <v>74</v>
      </c>
      <c r="BC917" s="1" t="s">
        <v>74</v>
      </c>
      <c r="BD917" s="1" t="s">
        <v>18302</v>
      </c>
      <c r="BE917" s="1" t="s">
        <v>18303</v>
      </c>
      <c r="BF917" s="2" t="str">
        <f>HYPERLINK("http://dx.doi.org/10.32598/ijmtfm.v14i4.45529","http://dx.doi.org/10.32598/ijmtfm.v14i4.45529")</f>
        <v>http://dx.doi.org/10.32598/ijmtfm.v14i4.45529</v>
      </c>
      <c r="BG917" s="1" t="s">
        <v>74</v>
      </c>
      <c r="BH917" s="1" t="s">
        <v>74</v>
      </c>
      <c r="BI917" s="1">
        <v>14.0</v>
      </c>
      <c r="BJ917" s="1" t="s">
        <v>18304</v>
      </c>
      <c r="BK917" s="1" t="s">
        <v>172</v>
      </c>
      <c r="BL917" s="1" t="s">
        <v>18305</v>
      </c>
      <c r="BM917" s="1" t="s">
        <v>18306</v>
      </c>
      <c r="BN917" s="1" t="s">
        <v>74</v>
      </c>
      <c r="BO917" s="1" t="s">
        <v>174</v>
      </c>
      <c r="BP917" s="1" t="s">
        <v>74</v>
      </c>
      <c r="BQ917" s="1" t="s">
        <v>74</v>
      </c>
      <c r="BR917" s="1" t="s">
        <v>102</v>
      </c>
      <c r="BS917" s="1" t="s">
        <v>18307</v>
      </c>
      <c r="BT917" s="1" t="str">
        <f>HYPERLINK("https%3A%2F%2Fwww.webofscience.com%2Fwos%2Fwoscc%2Ffull-record%2FWOS:001337524300001","View Full Record in Web of Science")</f>
        <v>View Full Record in Web of Science</v>
      </c>
    </row>
    <row r="918" ht="12.75" customHeight="1">
      <c r="A918" s="1" t="s">
        <v>72</v>
      </c>
      <c r="B918" s="1" t="s">
        <v>18308</v>
      </c>
      <c r="C918" s="1" t="s">
        <v>74</v>
      </c>
      <c r="D918" s="1" t="s">
        <v>74</v>
      </c>
      <c r="E918" s="1" t="s">
        <v>236</v>
      </c>
      <c r="F918" s="1" t="s">
        <v>18309</v>
      </c>
      <c r="G918" s="1" t="s">
        <v>74</v>
      </c>
      <c r="H918" s="1" t="s">
        <v>74</v>
      </c>
      <c r="I918" s="1" t="s">
        <v>18310</v>
      </c>
      <c r="J918" s="1" t="s">
        <v>18311</v>
      </c>
      <c r="K918" s="1" t="s">
        <v>74</v>
      </c>
      <c r="L918" s="1" t="s">
        <v>74</v>
      </c>
      <c r="M918" s="1" t="s">
        <v>80</v>
      </c>
      <c r="N918" s="1" t="s">
        <v>81</v>
      </c>
      <c r="O918" s="1" t="s">
        <v>18312</v>
      </c>
      <c r="P918" s="1" t="s">
        <v>18313</v>
      </c>
      <c r="Q918" s="1" t="s">
        <v>18314</v>
      </c>
      <c r="R918" s="1" t="s">
        <v>18315</v>
      </c>
      <c r="S918" s="1" t="s">
        <v>74</v>
      </c>
      <c r="T918" s="1" t="s">
        <v>18316</v>
      </c>
      <c r="U918" s="1" t="s">
        <v>74</v>
      </c>
      <c r="V918" s="1" t="s">
        <v>18317</v>
      </c>
      <c r="W918" s="1" t="s">
        <v>18318</v>
      </c>
      <c r="X918" s="1" t="s">
        <v>18319</v>
      </c>
      <c r="Y918" s="1" t="s">
        <v>18320</v>
      </c>
      <c r="Z918" s="1" t="s">
        <v>18321</v>
      </c>
      <c r="AA918" s="1" t="s">
        <v>18322</v>
      </c>
      <c r="AB918" s="1" t="s">
        <v>18323</v>
      </c>
      <c r="AC918" s="1" t="s">
        <v>18324</v>
      </c>
      <c r="AD918" s="1" t="s">
        <v>18325</v>
      </c>
      <c r="AE918" s="1" t="s">
        <v>18326</v>
      </c>
      <c r="AF918" s="1" t="s">
        <v>74</v>
      </c>
      <c r="AG918" s="1">
        <v>43.0</v>
      </c>
      <c r="AH918" s="1">
        <v>2.0</v>
      </c>
      <c r="AI918" s="1">
        <v>2.0</v>
      </c>
      <c r="AJ918" s="1">
        <v>1.0</v>
      </c>
      <c r="AK918" s="1">
        <v>4.0</v>
      </c>
      <c r="AL918" s="1" t="s">
        <v>236</v>
      </c>
      <c r="AM918" s="1" t="s">
        <v>193</v>
      </c>
      <c r="AN918" s="1" t="s">
        <v>252</v>
      </c>
      <c r="AO918" s="1" t="s">
        <v>74</v>
      </c>
      <c r="AP918" s="1" t="s">
        <v>74</v>
      </c>
      <c r="AQ918" s="1" t="s">
        <v>18327</v>
      </c>
      <c r="AR918" s="1" t="s">
        <v>74</v>
      </c>
      <c r="AS918" s="1" t="s">
        <v>74</v>
      </c>
      <c r="AT918" s="1" t="s">
        <v>74</v>
      </c>
      <c r="AU918" s="1">
        <v>2019.0</v>
      </c>
      <c r="AV918" s="1" t="s">
        <v>74</v>
      </c>
      <c r="AW918" s="1" t="s">
        <v>74</v>
      </c>
      <c r="AX918" s="1" t="s">
        <v>74</v>
      </c>
      <c r="AY918" s="1" t="s">
        <v>74</v>
      </c>
      <c r="AZ918" s="1" t="s">
        <v>74</v>
      </c>
      <c r="BA918" s="1" t="s">
        <v>74</v>
      </c>
      <c r="BB918" s="1">
        <v>111.0</v>
      </c>
      <c r="BC918" s="1">
        <v>118.0</v>
      </c>
      <c r="BD918" s="1" t="s">
        <v>74</v>
      </c>
      <c r="BE918" s="1" t="s">
        <v>18328</v>
      </c>
      <c r="BF918" s="2" t="str">
        <f>HYPERLINK("http://dx.doi.org/10.1109/AITest.2019.00012","http://dx.doi.org/10.1109/AITest.2019.00012")</f>
        <v>http://dx.doi.org/10.1109/AITest.2019.00012</v>
      </c>
      <c r="BG918" s="1" t="s">
        <v>74</v>
      </c>
      <c r="BH918" s="1" t="s">
        <v>74</v>
      </c>
      <c r="BI918" s="1">
        <v>8.0</v>
      </c>
      <c r="BJ918" s="1" t="s">
        <v>231</v>
      </c>
      <c r="BK918" s="1" t="s">
        <v>128</v>
      </c>
      <c r="BL918" s="1" t="s">
        <v>232</v>
      </c>
      <c r="BM918" s="1" t="s">
        <v>18329</v>
      </c>
      <c r="BN918" s="1" t="s">
        <v>74</v>
      </c>
      <c r="BO918" s="1" t="s">
        <v>74</v>
      </c>
      <c r="BP918" s="1" t="s">
        <v>74</v>
      </c>
      <c r="BQ918" s="1" t="s">
        <v>74</v>
      </c>
      <c r="BR918" s="1" t="s">
        <v>102</v>
      </c>
      <c r="BS918" s="1" t="s">
        <v>18330</v>
      </c>
      <c r="BT918" s="1" t="str">
        <f>HYPERLINK("https%3A%2F%2Fwww.webofscience.com%2Fwos%2Fwoscc%2Ffull-record%2FWOS:000470916100020","View Full Record in Web of Science")</f>
        <v>View Full Record in Web of Science</v>
      </c>
    </row>
    <row r="919" ht="12.75" customHeight="1">
      <c r="A919" s="1" t="s">
        <v>132</v>
      </c>
      <c r="B919" s="1" t="s">
        <v>18331</v>
      </c>
      <c r="C919" s="1" t="s">
        <v>74</v>
      </c>
      <c r="D919" s="1" t="s">
        <v>74</v>
      </c>
      <c r="E919" s="1" t="s">
        <v>74</v>
      </c>
      <c r="F919" s="1" t="s">
        <v>18332</v>
      </c>
      <c r="G919" s="1" t="s">
        <v>74</v>
      </c>
      <c r="H919" s="1" t="s">
        <v>74</v>
      </c>
      <c r="I919" s="1" t="s">
        <v>18333</v>
      </c>
      <c r="J919" s="1" t="s">
        <v>18334</v>
      </c>
      <c r="K919" s="1" t="s">
        <v>74</v>
      </c>
      <c r="L919" s="1" t="s">
        <v>74</v>
      </c>
      <c r="M919" s="1" t="s">
        <v>157</v>
      </c>
      <c r="N919" s="1" t="s">
        <v>136</v>
      </c>
      <c r="O919" s="1" t="s">
        <v>74</v>
      </c>
      <c r="P919" s="1" t="s">
        <v>74</v>
      </c>
      <c r="Q919" s="1" t="s">
        <v>74</v>
      </c>
      <c r="R919" s="1" t="s">
        <v>74</v>
      </c>
      <c r="S919" s="1" t="s">
        <v>74</v>
      </c>
      <c r="T919" s="1" t="s">
        <v>18335</v>
      </c>
      <c r="U919" s="1" t="s">
        <v>74</v>
      </c>
      <c r="V919" s="1" t="s">
        <v>18336</v>
      </c>
      <c r="W919" s="1" t="s">
        <v>18337</v>
      </c>
      <c r="X919" s="1" t="s">
        <v>18338</v>
      </c>
      <c r="Y919" s="1" t="s">
        <v>18339</v>
      </c>
      <c r="Z919" s="1" t="s">
        <v>18340</v>
      </c>
      <c r="AA919" s="1" t="s">
        <v>74</v>
      </c>
      <c r="AB919" s="1" t="s">
        <v>74</v>
      </c>
      <c r="AC919" s="1" t="s">
        <v>74</v>
      </c>
      <c r="AD919" s="1" t="s">
        <v>74</v>
      </c>
      <c r="AE919" s="1" t="s">
        <v>74</v>
      </c>
      <c r="AF919" s="1" t="s">
        <v>74</v>
      </c>
      <c r="AG919" s="1">
        <v>22.0</v>
      </c>
      <c r="AH919" s="1">
        <v>0.0</v>
      </c>
      <c r="AI919" s="1">
        <v>0.0</v>
      </c>
      <c r="AJ919" s="1">
        <v>1.0</v>
      </c>
      <c r="AK919" s="1">
        <v>1.0</v>
      </c>
      <c r="AL919" s="1" t="s">
        <v>18341</v>
      </c>
      <c r="AM919" s="1" t="s">
        <v>18342</v>
      </c>
      <c r="AN919" s="1" t="s">
        <v>18343</v>
      </c>
      <c r="AO919" s="1" t="s">
        <v>18344</v>
      </c>
      <c r="AP919" s="1" t="s">
        <v>18345</v>
      </c>
      <c r="AQ919" s="1" t="s">
        <v>74</v>
      </c>
      <c r="AR919" s="1" t="s">
        <v>18346</v>
      </c>
      <c r="AS919" s="1" t="s">
        <v>18347</v>
      </c>
      <c r="AT919" s="1" t="s">
        <v>74</v>
      </c>
      <c r="AU919" s="1">
        <v>2024.0</v>
      </c>
      <c r="AV919" s="1">
        <v>35.0</v>
      </c>
      <c r="AW919" s="1">
        <v>69.0</v>
      </c>
      <c r="AX919" s="1" t="s">
        <v>74</v>
      </c>
      <c r="AY919" s="1" t="s">
        <v>74</v>
      </c>
      <c r="AZ919" s="1" t="s">
        <v>74</v>
      </c>
      <c r="BA919" s="1" t="s">
        <v>74</v>
      </c>
      <c r="BB919" s="1">
        <v>44.0</v>
      </c>
      <c r="BC919" s="1">
        <v>64.0</v>
      </c>
      <c r="BD919" s="1" t="s">
        <v>74</v>
      </c>
      <c r="BE919" s="1" t="s">
        <v>18348</v>
      </c>
      <c r="BF919" s="2" t="str">
        <f>HYPERLINK("http://dx.doi.org/10.22409/cadletrasuff.v35i69.63346","http://dx.doi.org/10.22409/cadletrasuff.v35i69.63346")</f>
        <v>http://dx.doi.org/10.22409/cadletrasuff.v35i69.63346</v>
      </c>
      <c r="BG919" s="1" t="s">
        <v>74</v>
      </c>
      <c r="BH919" s="1" t="s">
        <v>74</v>
      </c>
      <c r="BI919" s="1">
        <v>21.0</v>
      </c>
      <c r="BJ919" s="1" t="s">
        <v>1255</v>
      </c>
      <c r="BK919" s="1" t="s">
        <v>172</v>
      </c>
      <c r="BL919" s="1" t="s">
        <v>1256</v>
      </c>
      <c r="BM919" s="1" t="s">
        <v>18349</v>
      </c>
      <c r="BN919" s="1" t="s">
        <v>74</v>
      </c>
      <c r="BO919" s="1" t="s">
        <v>74</v>
      </c>
      <c r="BP919" s="1" t="s">
        <v>74</v>
      </c>
      <c r="BQ919" s="1" t="s">
        <v>74</v>
      </c>
      <c r="BR919" s="1" t="s">
        <v>102</v>
      </c>
      <c r="BS919" s="1" t="s">
        <v>18350</v>
      </c>
      <c r="BT919" s="1" t="str">
        <f>HYPERLINK("https%3A%2F%2Fwww.webofscience.com%2Fwos%2Fwoscc%2Ffull-record%2FWOS:001390425400003","View Full Record in Web of Science")</f>
        <v>View Full Record in Web of Science</v>
      </c>
    </row>
    <row r="920" ht="12.75" customHeight="1">
      <c r="A920" s="1" t="s">
        <v>132</v>
      </c>
      <c r="B920" s="1" t="s">
        <v>18351</v>
      </c>
      <c r="C920" s="1" t="s">
        <v>74</v>
      </c>
      <c r="D920" s="1" t="s">
        <v>74</v>
      </c>
      <c r="E920" s="1" t="s">
        <v>74</v>
      </c>
      <c r="F920" s="1" t="s">
        <v>18352</v>
      </c>
      <c r="G920" s="1" t="s">
        <v>74</v>
      </c>
      <c r="H920" s="1" t="s">
        <v>74</v>
      </c>
      <c r="I920" s="1" t="s">
        <v>18353</v>
      </c>
      <c r="J920" s="1" t="s">
        <v>8454</v>
      </c>
      <c r="K920" s="1" t="s">
        <v>74</v>
      </c>
      <c r="L920" s="1" t="s">
        <v>74</v>
      </c>
      <c r="M920" s="1" t="s">
        <v>80</v>
      </c>
      <c r="N920" s="1" t="s">
        <v>1010</v>
      </c>
      <c r="O920" s="1" t="s">
        <v>74</v>
      </c>
      <c r="P920" s="1" t="s">
        <v>74</v>
      </c>
      <c r="Q920" s="1" t="s">
        <v>74</v>
      </c>
      <c r="R920" s="1" t="s">
        <v>74</v>
      </c>
      <c r="S920" s="1" t="s">
        <v>74</v>
      </c>
      <c r="T920" s="1" t="s">
        <v>18354</v>
      </c>
      <c r="U920" s="1" t="s">
        <v>74</v>
      </c>
      <c r="V920" s="1" t="s">
        <v>18355</v>
      </c>
      <c r="W920" s="1" t="s">
        <v>18356</v>
      </c>
      <c r="X920" s="1" t="s">
        <v>18357</v>
      </c>
      <c r="Y920" s="1" t="s">
        <v>18358</v>
      </c>
      <c r="Z920" s="1" t="s">
        <v>18359</v>
      </c>
      <c r="AA920" s="1" t="s">
        <v>74</v>
      </c>
      <c r="AB920" s="1" t="s">
        <v>74</v>
      </c>
      <c r="AC920" s="1" t="s">
        <v>74</v>
      </c>
      <c r="AD920" s="1" t="s">
        <v>74</v>
      </c>
      <c r="AE920" s="1" t="s">
        <v>18360</v>
      </c>
      <c r="AF920" s="1" t="s">
        <v>74</v>
      </c>
      <c r="AG920" s="1">
        <v>37.0</v>
      </c>
      <c r="AH920" s="1">
        <v>1.0</v>
      </c>
      <c r="AI920" s="1">
        <v>1.0</v>
      </c>
      <c r="AJ920" s="1">
        <v>4.0</v>
      </c>
      <c r="AK920" s="1">
        <v>4.0</v>
      </c>
      <c r="AL920" s="1" t="s">
        <v>3800</v>
      </c>
      <c r="AM920" s="1" t="s">
        <v>349</v>
      </c>
      <c r="AN920" s="1" t="s">
        <v>3801</v>
      </c>
      <c r="AO920" s="1" t="s">
        <v>74</v>
      </c>
      <c r="AP920" s="1" t="s">
        <v>8463</v>
      </c>
      <c r="AQ920" s="1" t="s">
        <v>74</v>
      </c>
      <c r="AR920" s="1" t="s">
        <v>8464</v>
      </c>
      <c r="AS920" s="1" t="s">
        <v>8465</v>
      </c>
      <c r="AT920" s="1" t="s">
        <v>18361</v>
      </c>
      <c r="AU920" s="1">
        <v>2024.0</v>
      </c>
      <c r="AV920" s="1">
        <v>16.0</v>
      </c>
      <c r="AW920" s="1">
        <v>6.0</v>
      </c>
      <c r="AX920" s="1" t="s">
        <v>74</v>
      </c>
      <c r="AY920" s="1" t="s">
        <v>74</v>
      </c>
      <c r="AZ920" s="1" t="s">
        <v>74</v>
      </c>
      <c r="BA920" s="1" t="s">
        <v>74</v>
      </c>
      <c r="BB920" s="1" t="s">
        <v>74</v>
      </c>
      <c r="BC920" s="1" t="s">
        <v>74</v>
      </c>
      <c r="BD920" s="1" t="s">
        <v>18362</v>
      </c>
      <c r="BE920" s="1" t="s">
        <v>18363</v>
      </c>
      <c r="BF920" s="2" t="str">
        <f>HYPERLINK("http://dx.doi.org/10.7759/cureus.63072","http://dx.doi.org/10.7759/cureus.63072")</f>
        <v>http://dx.doi.org/10.7759/cureus.63072</v>
      </c>
      <c r="BG920" s="1" t="s">
        <v>74</v>
      </c>
      <c r="BH920" s="1" t="s">
        <v>74</v>
      </c>
      <c r="BI920" s="1">
        <v>8.0</v>
      </c>
      <c r="BJ920" s="1" t="s">
        <v>1158</v>
      </c>
      <c r="BK920" s="1" t="s">
        <v>172</v>
      </c>
      <c r="BL920" s="1" t="s">
        <v>1159</v>
      </c>
      <c r="BM920" s="1" t="s">
        <v>18364</v>
      </c>
      <c r="BN920" s="1">
        <v>3.9055478E7</v>
      </c>
      <c r="BO920" s="1" t="s">
        <v>1161</v>
      </c>
      <c r="BP920" s="1" t="s">
        <v>74</v>
      </c>
      <c r="BQ920" s="1" t="s">
        <v>74</v>
      </c>
      <c r="BR920" s="1" t="s">
        <v>102</v>
      </c>
      <c r="BS920" s="1" t="s">
        <v>18365</v>
      </c>
      <c r="BT920" s="1" t="str">
        <f>HYPERLINK("https%3A%2F%2Fwww.webofscience.com%2Fwos%2Fwoscc%2Ffull-record%2FWOS:001256999500007","View Full Record in Web of Science")</f>
        <v>View Full Record in Web of Science</v>
      </c>
    </row>
    <row r="921" ht="12.75" customHeight="1">
      <c r="A921" s="1" t="s">
        <v>132</v>
      </c>
      <c r="B921" s="1" t="s">
        <v>18366</v>
      </c>
      <c r="C921" s="1" t="s">
        <v>74</v>
      </c>
      <c r="D921" s="1" t="s">
        <v>74</v>
      </c>
      <c r="E921" s="1" t="s">
        <v>74</v>
      </c>
      <c r="F921" s="1" t="s">
        <v>18367</v>
      </c>
      <c r="G921" s="1" t="s">
        <v>74</v>
      </c>
      <c r="H921" s="1" t="s">
        <v>74</v>
      </c>
      <c r="I921" s="1" t="s">
        <v>18368</v>
      </c>
      <c r="J921" s="1" t="s">
        <v>18369</v>
      </c>
      <c r="K921" s="1" t="s">
        <v>74</v>
      </c>
      <c r="L921" s="1" t="s">
        <v>74</v>
      </c>
      <c r="M921" s="1" t="s">
        <v>80</v>
      </c>
      <c r="N921" s="1" t="s">
        <v>136</v>
      </c>
      <c r="O921" s="1" t="s">
        <v>74</v>
      </c>
      <c r="P921" s="1" t="s">
        <v>74</v>
      </c>
      <c r="Q921" s="1" t="s">
        <v>74</v>
      </c>
      <c r="R921" s="1" t="s">
        <v>74</v>
      </c>
      <c r="S921" s="1" t="s">
        <v>74</v>
      </c>
      <c r="T921" s="1" t="s">
        <v>18370</v>
      </c>
      <c r="U921" s="1" t="s">
        <v>74</v>
      </c>
      <c r="V921" s="1" t="s">
        <v>18371</v>
      </c>
      <c r="W921" s="1" t="s">
        <v>18372</v>
      </c>
      <c r="X921" s="1" t="s">
        <v>18373</v>
      </c>
      <c r="Y921" s="1" t="s">
        <v>18374</v>
      </c>
      <c r="Z921" s="1" t="s">
        <v>18375</v>
      </c>
      <c r="AA921" s="1" t="s">
        <v>74</v>
      </c>
      <c r="AB921" s="1" t="s">
        <v>74</v>
      </c>
      <c r="AC921" s="1" t="s">
        <v>74</v>
      </c>
      <c r="AD921" s="1" t="s">
        <v>74</v>
      </c>
      <c r="AE921" s="1" t="s">
        <v>74</v>
      </c>
      <c r="AF921" s="1" t="s">
        <v>74</v>
      </c>
      <c r="AG921" s="1">
        <v>24.0</v>
      </c>
      <c r="AH921" s="1">
        <v>0.0</v>
      </c>
      <c r="AI921" s="1">
        <v>0.0</v>
      </c>
      <c r="AJ921" s="1">
        <v>0.0</v>
      </c>
      <c r="AK921" s="1">
        <v>0.0</v>
      </c>
      <c r="AL921" s="1" t="s">
        <v>18376</v>
      </c>
      <c r="AM921" s="1" t="s">
        <v>3574</v>
      </c>
      <c r="AN921" s="1" t="s">
        <v>18377</v>
      </c>
      <c r="AO921" s="1" t="s">
        <v>18378</v>
      </c>
      <c r="AP921" s="1" t="s">
        <v>74</v>
      </c>
      <c r="AQ921" s="1" t="s">
        <v>74</v>
      </c>
      <c r="AR921" s="1" t="s">
        <v>18379</v>
      </c>
      <c r="AS921" s="1" t="s">
        <v>18380</v>
      </c>
      <c r="AT921" s="1" t="s">
        <v>4667</v>
      </c>
      <c r="AU921" s="1">
        <v>2024.0</v>
      </c>
      <c r="AV921" s="1">
        <v>13.0</v>
      </c>
      <c r="AW921" s="1">
        <v>3.0</v>
      </c>
      <c r="AX921" s="1" t="s">
        <v>74</v>
      </c>
      <c r="AY921" s="1" t="s">
        <v>74</v>
      </c>
      <c r="AZ921" s="1" t="s">
        <v>74</v>
      </c>
      <c r="BA921" s="1" t="s">
        <v>74</v>
      </c>
      <c r="BB921" s="1">
        <v>349.0</v>
      </c>
      <c r="BC921" s="1">
        <v>378.0</v>
      </c>
      <c r="BD921" s="1" t="s">
        <v>74</v>
      </c>
      <c r="BE921" s="1" t="s">
        <v>74</v>
      </c>
      <c r="BF921" s="1" t="s">
        <v>74</v>
      </c>
      <c r="BG921" s="1" t="s">
        <v>74</v>
      </c>
      <c r="BH921" s="1" t="s">
        <v>74</v>
      </c>
      <c r="BI921" s="1">
        <v>30.0</v>
      </c>
      <c r="BJ921" s="1" t="s">
        <v>7469</v>
      </c>
      <c r="BK921" s="1" t="s">
        <v>172</v>
      </c>
      <c r="BL921" s="1" t="s">
        <v>916</v>
      </c>
      <c r="BM921" s="1" t="s">
        <v>18381</v>
      </c>
      <c r="BN921" s="1" t="s">
        <v>74</v>
      </c>
      <c r="BO921" s="1" t="s">
        <v>74</v>
      </c>
      <c r="BP921" s="1" t="s">
        <v>74</v>
      </c>
      <c r="BQ921" s="1" t="s">
        <v>74</v>
      </c>
      <c r="BR921" s="1" t="s">
        <v>102</v>
      </c>
      <c r="BS921" s="1" t="s">
        <v>18382</v>
      </c>
      <c r="BT921" s="1" t="str">
        <f>HYPERLINK("https%3A%2F%2Fwww.webofscience.com%2Fwos%2Fwoscc%2Ffull-record%2FWOS:001397213700001","View Full Record in Web of Science")</f>
        <v>View Full Record in Web of Science</v>
      </c>
    </row>
    <row r="922" ht="12.75" customHeight="1">
      <c r="A922" s="1" t="s">
        <v>132</v>
      </c>
      <c r="B922" s="1" t="s">
        <v>18383</v>
      </c>
      <c r="C922" s="1" t="s">
        <v>74</v>
      </c>
      <c r="D922" s="1" t="s">
        <v>74</v>
      </c>
      <c r="E922" s="1" t="s">
        <v>74</v>
      </c>
      <c r="F922" s="1" t="s">
        <v>18384</v>
      </c>
      <c r="G922" s="1" t="s">
        <v>74</v>
      </c>
      <c r="H922" s="1" t="s">
        <v>74</v>
      </c>
      <c r="I922" s="1" t="s">
        <v>18385</v>
      </c>
      <c r="J922" s="1" t="s">
        <v>18255</v>
      </c>
      <c r="K922" s="1" t="s">
        <v>74</v>
      </c>
      <c r="L922" s="1" t="s">
        <v>74</v>
      </c>
      <c r="M922" s="1" t="s">
        <v>80</v>
      </c>
      <c r="N922" s="1" t="s">
        <v>1010</v>
      </c>
      <c r="O922" s="1" t="s">
        <v>74</v>
      </c>
      <c r="P922" s="1" t="s">
        <v>74</v>
      </c>
      <c r="Q922" s="1" t="s">
        <v>74</v>
      </c>
      <c r="R922" s="1" t="s">
        <v>74</v>
      </c>
      <c r="S922" s="1" t="s">
        <v>74</v>
      </c>
      <c r="T922" s="1" t="s">
        <v>18386</v>
      </c>
      <c r="U922" s="1" t="s">
        <v>18387</v>
      </c>
      <c r="V922" s="1" t="s">
        <v>18388</v>
      </c>
      <c r="W922" s="1" t="s">
        <v>18389</v>
      </c>
      <c r="X922" s="1" t="s">
        <v>18390</v>
      </c>
      <c r="Y922" s="1" t="s">
        <v>18391</v>
      </c>
      <c r="Z922" s="1" t="s">
        <v>18392</v>
      </c>
      <c r="AA922" s="1" t="s">
        <v>18393</v>
      </c>
      <c r="AB922" s="1" t="s">
        <v>18394</v>
      </c>
      <c r="AC922" s="1" t="s">
        <v>74</v>
      </c>
      <c r="AD922" s="1" t="s">
        <v>74</v>
      </c>
      <c r="AE922" s="1" t="s">
        <v>74</v>
      </c>
      <c r="AF922" s="1" t="s">
        <v>74</v>
      </c>
      <c r="AG922" s="1">
        <v>48.0</v>
      </c>
      <c r="AH922" s="1">
        <v>0.0</v>
      </c>
      <c r="AI922" s="1">
        <v>0.0</v>
      </c>
      <c r="AJ922" s="1">
        <v>2.0</v>
      </c>
      <c r="AK922" s="1">
        <v>4.0</v>
      </c>
      <c r="AL922" s="1" t="s">
        <v>1970</v>
      </c>
      <c r="AM922" s="1" t="s">
        <v>1658</v>
      </c>
      <c r="AN922" s="1" t="s">
        <v>1971</v>
      </c>
      <c r="AO922" s="1" t="s">
        <v>74</v>
      </c>
      <c r="AP922" s="1" t="s">
        <v>18265</v>
      </c>
      <c r="AQ922" s="1" t="s">
        <v>74</v>
      </c>
      <c r="AR922" s="1" t="s">
        <v>18266</v>
      </c>
      <c r="AS922" s="1" t="s">
        <v>18267</v>
      </c>
      <c r="AT922" s="1" t="s">
        <v>328</v>
      </c>
      <c r="AU922" s="1">
        <v>2024.0</v>
      </c>
      <c r="AV922" s="1">
        <v>13.0</v>
      </c>
      <c r="AW922" s="1">
        <v>12.0</v>
      </c>
      <c r="AX922" s="1" t="s">
        <v>74</v>
      </c>
      <c r="AY922" s="1" t="s">
        <v>74</v>
      </c>
      <c r="AZ922" s="1" t="s">
        <v>74</v>
      </c>
      <c r="BA922" s="1" t="s">
        <v>74</v>
      </c>
      <c r="BB922" s="1" t="s">
        <v>74</v>
      </c>
      <c r="BC922" s="1" t="s">
        <v>74</v>
      </c>
      <c r="BD922" s="1">
        <v>3453.0</v>
      </c>
      <c r="BE922" s="1" t="s">
        <v>18395</v>
      </c>
      <c r="BF922" s="2" t="str">
        <f>HYPERLINK("http://dx.doi.org/10.3390/jcm13123453","http://dx.doi.org/10.3390/jcm13123453")</f>
        <v>http://dx.doi.org/10.3390/jcm13123453</v>
      </c>
      <c r="BG922" s="1" t="s">
        <v>74</v>
      </c>
      <c r="BH922" s="1" t="s">
        <v>74</v>
      </c>
      <c r="BI922" s="1">
        <v>12.0</v>
      </c>
      <c r="BJ922" s="1" t="s">
        <v>1158</v>
      </c>
      <c r="BK922" s="1" t="s">
        <v>149</v>
      </c>
      <c r="BL922" s="1" t="s">
        <v>1159</v>
      </c>
      <c r="BM922" s="1" t="s">
        <v>18396</v>
      </c>
      <c r="BN922" s="1">
        <v>3.8929986E7</v>
      </c>
      <c r="BO922" s="1" t="s">
        <v>284</v>
      </c>
      <c r="BP922" s="1" t="s">
        <v>74</v>
      </c>
      <c r="BQ922" s="1" t="s">
        <v>74</v>
      </c>
      <c r="BR922" s="1" t="s">
        <v>102</v>
      </c>
      <c r="BS922" s="1" t="s">
        <v>18397</v>
      </c>
      <c r="BT922" s="1" t="str">
        <f>HYPERLINK("https%3A%2F%2Fwww.webofscience.com%2Fwos%2Fwoscc%2Ffull-record%2FWOS:001255980000001","View Full Record in Web of Science")</f>
        <v>View Full Record in Web of Science</v>
      </c>
    </row>
    <row r="923" ht="12.75" customHeight="1">
      <c r="A923" s="1" t="s">
        <v>132</v>
      </c>
      <c r="B923" s="1" t="s">
        <v>18398</v>
      </c>
      <c r="C923" s="1" t="s">
        <v>74</v>
      </c>
      <c r="D923" s="1" t="s">
        <v>74</v>
      </c>
      <c r="E923" s="1" t="s">
        <v>74</v>
      </c>
      <c r="F923" s="1" t="s">
        <v>18399</v>
      </c>
      <c r="G923" s="1" t="s">
        <v>74</v>
      </c>
      <c r="H923" s="1" t="s">
        <v>74</v>
      </c>
      <c r="I923" s="1" t="s">
        <v>18400</v>
      </c>
      <c r="J923" s="1" t="s">
        <v>5457</v>
      </c>
      <c r="K923" s="1" t="s">
        <v>74</v>
      </c>
      <c r="L923" s="1" t="s">
        <v>74</v>
      </c>
      <c r="M923" s="1" t="s">
        <v>80</v>
      </c>
      <c r="N923" s="1" t="s">
        <v>136</v>
      </c>
      <c r="O923" s="1" t="s">
        <v>74</v>
      </c>
      <c r="P923" s="1" t="s">
        <v>74</v>
      </c>
      <c r="Q923" s="1" t="s">
        <v>74</v>
      </c>
      <c r="R923" s="1" t="s">
        <v>74</v>
      </c>
      <c r="S923" s="1" t="s">
        <v>74</v>
      </c>
      <c r="T923" s="1" t="s">
        <v>18401</v>
      </c>
      <c r="U923" s="1" t="s">
        <v>74</v>
      </c>
      <c r="V923" s="1" t="s">
        <v>18402</v>
      </c>
      <c r="W923" s="1" t="s">
        <v>18403</v>
      </c>
      <c r="X923" s="1" t="s">
        <v>18404</v>
      </c>
      <c r="Y923" s="1" t="s">
        <v>18405</v>
      </c>
      <c r="Z923" s="1" t="s">
        <v>18406</v>
      </c>
      <c r="AA923" s="1" t="s">
        <v>18407</v>
      </c>
      <c r="AB923" s="1" t="s">
        <v>74</v>
      </c>
      <c r="AC923" s="1" t="s">
        <v>18408</v>
      </c>
      <c r="AD923" s="1" t="s">
        <v>18408</v>
      </c>
      <c r="AE923" s="1" t="s">
        <v>18409</v>
      </c>
      <c r="AF923" s="1" t="s">
        <v>74</v>
      </c>
      <c r="AG923" s="1">
        <v>18.0</v>
      </c>
      <c r="AH923" s="1">
        <v>0.0</v>
      </c>
      <c r="AI923" s="1">
        <v>0.0</v>
      </c>
      <c r="AJ923" s="1">
        <v>0.0</v>
      </c>
      <c r="AK923" s="1">
        <v>0.0</v>
      </c>
      <c r="AL923" s="1" t="s">
        <v>3701</v>
      </c>
      <c r="AM923" s="1" t="s">
        <v>3702</v>
      </c>
      <c r="AN923" s="1" t="s">
        <v>3703</v>
      </c>
      <c r="AO923" s="1" t="s">
        <v>5469</v>
      </c>
      <c r="AP923" s="1" t="s">
        <v>5470</v>
      </c>
      <c r="AQ923" s="1" t="s">
        <v>74</v>
      </c>
      <c r="AR923" s="1" t="s">
        <v>5471</v>
      </c>
      <c r="AS923" s="1" t="s">
        <v>5472</v>
      </c>
      <c r="AT923" s="1" t="s">
        <v>74</v>
      </c>
      <c r="AU923" s="1">
        <v>2024.0</v>
      </c>
      <c r="AV923" s="1">
        <v>32.0</v>
      </c>
      <c r="AW923" s="1">
        <v>6.0</v>
      </c>
      <c r="AX923" s="1" t="s">
        <v>74</v>
      </c>
      <c r="AY923" s="1" t="s">
        <v>5473</v>
      </c>
      <c r="AZ923" s="1" t="s">
        <v>74</v>
      </c>
      <c r="BA923" s="1" t="s">
        <v>74</v>
      </c>
      <c r="BB923" s="1">
        <v>78.0</v>
      </c>
      <c r="BC923" s="1">
        <v>89.0</v>
      </c>
      <c r="BD923" s="1" t="s">
        <v>74</v>
      </c>
      <c r="BE923" s="1" t="s">
        <v>18410</v>
      </c>
      <c r="BF923" s="2" t="str">
        <f>HYPERLINK("http://dx.doi.org/10.53656/str2024-6s-6-dev","http://dx.doi.org/10.53656/str2024-6s-6-dev")</f>
        <v>http://dx.doi.org/10.53656/str2024-6s-6-dev</v>
      </c>
      <c r="BG923" s="1" t="s">
        <v>74</v>
      </c>
      <c r="BH923" s="1" t="s">
        <v>74</v>
      </c>
      <c r="BI923" s="1">
        <v>12.0</v>
      </c>
      <c r="BJ923" s="1" t="s">
        <v>171</v>
      </c>
      <c r="BK923" s="1" t="s">
        <v>172</v>
      </c>
      <c r="BL923" s="1" t="s">
        <v>171</v>
      </c>
      <c r="BM923" s="1" t="s">
        <v>5475</v>
      </c>
      <c r="BN923" s="1" t="s">
        <v>74</v>
      </c>
      <c r="BO923" s="1" t="s">
        <v>74</v>
      </c>
      <c r="BP923" s="1" t="s">
        <v>74</v>
      </c>
      <c r="BQ923" s="1" t="s">
        <v>74</v>
      </c>
      <c r="BR923" s="1" t="s">
        <v>102</v>
      </c>
      <c r="BS923" s="1" t="s">
        <v>18411</v>
      </c>
      <c r="BT923" s="1" t="str">
        <f>HYPERLINK("https%3A%2F%2Fwww.webofscience.com%2Fwos%2Fwoscc%2Ffull-record%2FWOS:001396146800006","View Full Record in Web of Science")</f>
        <v>View Full Record in Web of Science</v>
      </c>
    </row>
    <row r="924" ht="12.75" customHeight="1">
      <c r="A924" s="1" t="s">
        <v>132</v>
      </c>
      <c r="B924" s="1" t="s">
        <v>18412</v>
      </c>
      <c r="C924" s="1" t="s">
        <v>74</v>
      </c>
      <c r="D924" s="1" t="s">
        <v>74</v>
      </c>
      <c r="E924" s="1" t="s">
        <v>74</v>
      </c>
      <c r="F924" s="1" t="s">
        <v>18413</v>
      </c>
      <c r="G924" s="1" t="s">
        <v>74</v>
      </c>
      <c r="H924" s="1" t="s">
        <v>74</v>
      </c>
      <c r="I924" s="1" t="s">
        <v>18414</v>
      </c>
      <c r="J924" s="1" t="s">
        <v>5261</v>
      </c>
      <c r="K924" s="1" t="s">
        <v>74</v>
      </c>
      <c r="L924" s="1" t="s">
        <v>74</v>
      </c>
      <c r="M924" s="1" t="s">
        <v>80</v>
      </c>
      <c r="N924" s="1" t="s">
        <v>136</v>
      </c>
      <c r="O924" s="1" t="s">
        <v>74</v>
      </c>
      <c r="P924" s="1" t="s">
        <v>74</v>
      </c>
      <c r="Q924" s="1" t="s">
        <v>74</v>
      </c>
      <c r="R924" s="1" t="s">
        <v>74</v>
      </c>
      <c r="S924" s="1" t="s">
        <v>74</v>
      </c>
      <c r="T924" s="1" t="s">
        <v>18415</v>
      </c>
      <c r="U924" s="1" t="s">
        <v>18416</v>
      </c>
      <c r="V924" s="1" t="s">
        <v>18417</v>
      </c>
      <c r="W924" s="1" t="s">
        <v>18418</v>
      </c>
      <c r="X924" s="1" t="s">
        <v>18419</v>
      </c>
      <c r="Y924" s="1" t="s">
        <v>18420</v>
      </c>
      <c r="Z924" s="1" t="s">
        <v>18421</v>
      </c>
      <c r="AA924" s="1" t="s">
        <v>18422</v>
      </c>
      <c r="AB924" s="1" t="s">
        <v>74</v>
      </c>
      <c r="AC924" s="1" t="s">
        <v>18423</v>
      </c>
      <c r="AD924" s="1" t="s">
        <v>18423</v>
      </c>
      <c r="AE924" s="1" t="s">
        <v>18424</v>
      </c>
      <c r="AF924" s="1" t="s">
        <v>74</v>
      </c>
      <c r="AG924" s="1">
        <v>63.0</v>
      </c>
      <c r="AH924" s="1">
        <v>2.0</v>
      </c>
      <c r="AI924" s="1">
        <v>2.0</v>
      </c>
      <c r="AJ924" s="1">
        <v>2.0</v>
      </c>
      <c r="AK924" s="1">
        <v>2.0</v>
      </c>
      <c r="AL924" s="1" t="s">
        <v>1020</v>
      </c>
      <c r="AM924" s="1" t="s">
        <v>1021</v>
      </c>
      <c r="AN924" s="1" t="s">
        <v>1022</v>
      </c>
      <c r="AO924" s="1" t="s">
        <v>5273</v>
      </c>
      <c r="AP924" s="1" t="s">
        <v>5274</v>
      </c>
      <c r="AQ924" s="1" t="s">
        <v>74</v>
      </c>
      <c r="AR924" s="1" t="s">
        <v>5275</v>
      </c>
      <c r="AS924" s="1" t="s">
        <v>5276</v>
      </c>
      <c r="AT924" s="1" t="s">
        <v>302</v>
      </c>
      <c r="AU924" s="1">
        <v>2024.0</v>
      </c>
      <c r="AV924" s="1">
        <v>37.0</v>
      </c>
      <c r="AW924" s="1">
        <v>4.0</v>
      </c>
      <c r="AX924" s="1" t="s">
        <v>74</v>
      </c>
      <c r="AY924" s="1" t="s">
        <v>74</v>
      </c>
      <c r="AZ924" s="1" t="s">
        <v>74</v>
      </c>
      <c r="BA924" s="1" t="s">
        <v>74</v>
      </c>
      <c r="BB924" s="1">
        <v>413.0</v>
      </c>
      <c r="BC924" s="1">
        <v>420.0</v>
      </c>
      <c r="BD924" s="1" t="s">
        <v>74</v>
      </c>
      <c r="BE924" s="1" t="s">
        <v>18425</v>
      </c>
      <c r="BF924" s="2" t="str">
        <f>HYPERLINK("http://dx.doi.org/10.1097/ACO.0000000000001388","http://dx.doi.org/10.1097/ACO.0000000000001388")</f>
        <v>http://dx.doi.org/10.1097/ACO.0000000000001388</v>
      </c>
      <c r="BG924" s="1" t="s">
        <v>74</v>
      </c>
      <c r="BH924" s="1" t="s">
        <v>74</v>
      </c>
      <c r="BI924" s="1">
        <v>8.0</v>
      </c>
      <c r="BJ924" s="1" t="s">
        <v>5278</v>
      </c>
      <c r="BK924" s="1" t="s">
        <v>149</v>
      </c>
      <c r="BL924" s="1" t="s">
        <v>5278</v>
      </c>
      <c r="BM924" s="1" t="s">
        <v>18426</v>
      </c>
      <c r="BN924" s="1">
        <v>3.8934202E7</v>
      </c>
      <c r="BO924" s="1" t="s">
        <v>74</v>
      </c>
      <c r="BP924" s="1" t="s">
        <v>74</v>
      </c>
      <c r="BQ924" s="1" t="s">
        <v>74</v>
      </c>
      <c r="BR924" s="1" t="s">
        <v>102</v>
      </c>
      <c r="BS924" s="1" t="s">
        <v>18427</v>
      </c>
      <c r="BT924" s="1" t="str">
        <f>HYPERLINK("https%3A%2F%2Fwww.webofscience.com%2Fwos%2Fwoscc%2Ffull-record%2FWOS:001255924100002","View Full Record in Web of Science")</f>
        <v>View Full Record in Web of Science</v>
      </c>
    </row>
    <row r="925" ht="12.75" customHeight="1">
      <c r="A925" s="1" t="s">
        <v>132</v>
      </c>
      <c r="B925" s="1" t="s">
        <v>18428</v>
      </c>
      <c r="C925" s="1" t="s">
        <v>74</v>
      </c>
      <c r="D925" s="1" t="s">
        <v>74</v>
      </c>
      <c r="E925" s="1" t="s">
        <v>74</v>
      </c>
      <c r="F925" s="1" t="s">
        <v>18429</v>
      </c>
      <c r="G925" s="1" t="s">
        <v>74</v>
      </c>
      <c r="H925" s="1" t="s">
        <v>74</v>
      </c>
      <c r="I925" s="1" t="s">
        <v>18430</v>
      </c>
      <c r="J925" s="1" t="s">
        <v>12403</v>
      </c>
      <c r="K925" s="1" t="s">
        <v>74</v>
      </c>
      <c r="L925" s="1" t="s">
        <v>74</v>
      </c>
      <c r="M925" s="1" t="s">
        <v>80</v>
      </c>
      <c r="N925" s="1" t="s">
        <v>136</v>
      </c>
      <c r="O925" s="1" t="s">
        <v>74</v>
      </c>
      <c r="P925" s="1" t="s">
        <v>74</v>
      </c>
      <c r="Q925" s="1" t="s">
        <v>74</v>
      </c>
      <c r="R925" s="1" t="s">
        <v>74</v>
      </c>
      <c r="S925" s="1" t="s">
        <v>74</v>
      </c>
      <c r="T925" s="1" t="s">
        <v>18431</v>
      </c>
      <c r="U925" s="1" t="s">
        <v>18432</v>
      </c>
      <c r="V925" s="1" t="s">
        <v>18433</v>
      </c>
      <c r="W925" s="1" t="s">
        <v>18434</v>
      </c>
      <c r="X925" s="1" t="s">
        <v>74</v>
      </c>
      <c r="Y925" s="1" t="s">
        <v>18435</v>
      </c>
      <c r="Z925" s="1" t="s">
        <v>18436</v>
      </c>
      <c r="AA925" s="1" t="s">
        <v>74</v>
      </c>
      <c r="AB925" s="1" t="s">
        <v>18437</v>
      </c>
      <c r="AC925" s="1" t="s">
        <v>17703</v>
      </c>
      <c r="AD925" s="1" t="s">
        <v>17703</v>
      </c>
      <c r="AE925" s="1" t="s">
        <v>18438</v>
      </c>
      <c r="AF925" s="1" t="s">
        <v>74</v>
      </c>
      <c r="AG925" s="1">
        <v>35.0</v>
      </c>
      <c r="AH925" s="1">
        <v>4.0</v>
      </c>
      <c r="AI925" s="1">
        <v>4.0</v>
      </c>
      <c r="AJ925" s="1">
        <v>11.0</v>
      </c>
      <c r="AK925" s="1">
        <v>41.0</v>
      </c>
      <c r="AL925" s="1" t="s">
        <v>192</v>
      </c>
      <c r="AM925" s="1" t="s">
        <v>193</v>
      </c>
      <c r="AN925" s="1" t="s">
        <v>194</v>
      </c>
      <c r="AO925" s="1" t="s">
        <v>12414</v>
      </c>
      <c r="AP925" s="1" t="s">
        <v>12415</v>
      </c>
      <c r="AQ925" s="1" t="s">
        <v>74</v>
      </c>
      <c r="AR925" s="1" t="s">
        <v>12416</v>
      </c>
      <c r="AS925" s="1" t="s">
        <v>12417</v>
      </c>
      <c r="AT925" s="1" t="s">
        <v>2469</v>
      </c>
      <c r="AU925" s="1">
        <v>2024.0</v>
      </c>
      <c r="AV925" s="1">
        <v>39.0</v>
      </c>
      <c r="AW925" s="1">
        <v>5.0</v>
      </c>
      <c r="AX925" s="1" t="s">
        <v>74</v>
      </c>
      <c r="AY925" s="1" t="s">
        <v>74</v>
      </c>
      <c r="AZ925" s="1" t="s">
        <v>74</v>
      </c>
      <c r="BA925" s="1" t="s">
        <v>74</v>
      </c>
      <c r="BB925" s="1">
        <v>2445.0</v>
      </c>
      <c r="BC925" s="1">
        <v>2456.0</v>
      </c>
      <c r="BD925" s="1" t="s">
        <v>74</v>
      </c>
      <c r="BE925" s="1" t="s">
        <v>18439</v>
      </c>
      <c r="BF925" s="2" t="str">
        <f>HYPERLINK("http://dx.doi.org/10.1007/s00146-023-01699-w","http://dx.doi.org/10.1007/s00146-023-01699-w")</f>
        <v>http://dx.doi.org/10.1007/s00146-023-01699-w</v>
      </c>
      <c r="BG925" s="1" t="s">
        <v>74</v>
      </c>
      <c r="BH925" s="1" t="s">
        <v>4124</v>
      </c>
      <c r="BI925" s="1">
        <v>12.0</v>
      </c>
      <c r="BJ925" s="1" t="s">
        <v>1214</v>
      </c>
      <c r="BK925" s="1" t="s">
        <v>172</v>
      </c>
      <c r="BL925" s="1" t="s">
        <v>232</v>
      </c>
      <c r="BM925" s="1" t="s">
        <v>18440</v>
      </c>
      <c r="BN925" s="1" t="s">
        <v>74</v>
      </c>
      <c r="BO925" s="1" t="s">
        <v>306</v>
      </c>
      <c r="BP925" s="1" t="s">
        <v>74</v>
      </c>
      <c r="BQ925" s="1" t="s">
        <v>74</v>
      </c>
      <c r="BR925" s="1" t="s">
        <v>102</v>
      </c>
      <c r="BS925" s="1" t="s">
        <v>18441</v>
      </c>
      <c r="BT925" s="1" t="str">
        <f>HYPERLINK("https%3A%2F%2Fwww.webofscience.com%2Fwos%2Fwoscc%2Ffull-record%2FWOS:000999721700001","View Full Record in Web of Science")</f>
        <v>View Full Record in Web of Science</v>
      </c>
    </row>
    <row r="926" ht="12.75" customHeight="1">
      <c r="A926" s="1" t="s">
        <v>72</v>
      </c>
      <c r="B926" s="1" t="s">
        <v>18442</v>
      </c>
      <c r="C926" s="1" t="s">
        <v>74</v>
      </c>
      <c r="D926" s="1" t="s">
        <v>74</v>
      </c>
      <c r="E926" s="1" t="s">
        <v>1411</v>
      </c>
      <c r="F926" s="1" t="s">
        <v>18443</v>
      </c>
      <c r="G926" s="1" t="s">
        <v>74</v>
      </c>
      <c r="H926" s="1" t="s">
        <v>74</v>
      </c>
      <c r="I926" s="1" t="s">
        <v>18444</v>
      </c>
      <c r="J926" s="1" t="s">
        <v>18445</v>
      </c>
      <c r="K926" s="1" t="s">
        <v>74</v>
      </c>
      <c r="L926" s="1" t="s">
        <v>74</v>
      </c>
      <c r="M926" s="1" t="s">
        <v>80</v>
      </c>
      <c r="N926" s="1" t="s">
        <v>81</v>
      </c>
      <c r="O926" s="1" t="s">
        <v>18446</v>
      </c>
      <c r="P926" s="1" t="s">
        <v>18447</v>
      </c>
      <c r="Q926" s="1" t="s">
        <v>667</v>
      </c>
      <c r="R926" s="1" t="s">
        <v>18448</v>
      </c>
      <c r="S926" s="1" t="s">
        <v>74</v>
      </c>
      <c r="T926" s="1" t="s">
        <v>18449</v>
      </c>
      <c r="U926" s="1" t="s">
        <v>74</v>
      </c>
      <c r="V926" s="1" t="s">
        <v>18450</v>
      </c>
      <c r="W926" s="1" t="s">
        <v>18451</v>
      </c>
      <c r="X926" s="1" t="s">
        <v>18452</v>
      </c>
      <c r="Y926" s="1" t="s">
        <v>18453</v>
      </c>
      <c r="Z926" s="1" t="s">
        <v>18454</v>
      </c>
      <c r="AA926" s="1" t="s">
        <v>18455</v>
      </c>
      <c r="AB926" s="1" t="s">
        <v>74</v>
      </c>
      <c r="AC926" s="1" t="s">
        <v>18456</v>
      </c>
      <c r="AD926" s="1" t="s">
        <v>18456</v>
      </c>
      <c r="AE926" s="1" t="s">
        <v>18457</v>
      </c>
      <c r="AF926" s="1" t="s">
        <v>74</v>
      </c>
      <c r="AG926" s="1">
        <v>45.0</v>
      </c>
      <c r="AH926" s="1">
        <v>4.0</v>
      </c>
      <c r="AI926" s="1">
        <v>4.0</v>
      </c>
      <c r="AJ926" s="1">
        <v>0.0</v>
      </c>
      <c r="AK926" s="1">
        <v>1.0</v>
      </c>
      <c r="AL926" s="1" t="s">
        <v>1426</v>
      </c>
      <c r="AM926" s="1" t="s">
        <v>193</v>
      </c>
      <c r="AN926" s="1" t="s">
        <v>1427</v>
      </c>
      <c r="AO926" s="1" t="s">
        <v>74</v>
      </c>
      <c r="AP926" s="1" t="s">
        <v>74</v>
      </c>
      <c r="AQ926" s="1" t="s">
        <v>18458</v>
      </c>
      <c r="AR926" s="1" t="s">
        <v>74</v>
      </c>
      <c r="AS926" s="1" t="s">
        <v>74</v>
      </c>
      <c r="AT926" s="1" t="s">
        <v>74</v>
      </c>
      <c r="AU926" s="1">
        <v>2021.0</v>
      </c>
      <c r="AV926" s="1" t="s">
        <v>74</v>
      </c>
      <c r="AW926" s="1" t="s">
        <v>74</v>
      </c>
      <c r="AX926" s="1" t="s">
        <v>74</v>
      </c>
      <c r="AY926" s="1" t="s">
        <v>74</v>
      </c>
      <c r="AZ926" s="1" t="s">
        <v>74</v>
      </c>
      <c r="BA926" s="1" t="s">
        <v>74</v>
      </c>
      <c r="BB926" s="1">
        <v>1182.0</v>
      </c>
      <c r="BC926" s="1">
        <v>1189.0</v>
      </c>
      <c r="BD926" s="1" t="s">
        <v>74</v>
      </c>
      <c r="BE926" s="1" t="s">
        <v>18459</v>
      </c>
      <c r="BF926" s="2" t="str">
        <f>HYPERLINK("http://dx.doi.org/10.1145/3412841.3441993","http://dx.doi.org/10.1145/3412841.3441993")</f>
        <v>http://dx.doi.org/10.1145/3412841.3441993</v>
      </c>
      <c r="BG926" s="1" t="s">
        <v>74</v>
      </c>
      <c r="BH926" s="1" t="s">
        <v>74</v>
      </c>
      <c r="BI926" s="1">
        <v>8.0</v>
      </c>
      <c r="BJ926" s="1" t="s">
        <v>18460</v>
      </c>
      <c r="BK926" s="1" t="s">
        <v>128</v>
      </c>
      <c r="BL926" s="1" t="s">
        <v>232</v>
      </c>
      <c r="BM926" s="1" t="s">
        <v>18461</v>
      </c>
      <c r="BN926" s="1" t="s">
        <v>74</v>
      </c>
      <c r="BO926" s="1" t="s">
        <v>74</v>
      </c>
      <c r="BP926" s="1" t="s">
        <v>74</v>
      </c>
      <c r="BQ926" s="1" t="s">
        <v>74</v>
      </c>
      <c r="BR926" s="1" t="s">
        <v>102</v>
      </c>
      <c r="BS926" s="1" t="s">
        <v>18462</v>
      </c>
      <c r="BT926" s="1" t="str">
        <f>HYPERLINK("https%3A%2F%2Fwww.webofscience.com%2Fwos%2Fwoscc%2Ffull-record%2FWOS:001108757100153","View Full Record in Web of Science")</f>
        <v>View Full Record in Web of Science</v>
      </c>
    </row>
    <row r="927" ht="12.75" customHeight="1">
      <c r="A927" s="1" t="s">
        <v>132</v>
      </c>
      <c r="B927" s="1" t="s">
        <v>18463</v>
      </c>
      <c r="C927" s="1" t="s">
        <v>74</v>
      </c>
      <c r="D927" s="1" t="s">
        <v>74</v>
      </c>
      <c r="E927" s="1" t="s">
        <v>74</v>
      </c>
      <c r="F927" s="1" t="s">
        <v>18464</v>
      </c>
      <c r="G927" s="1" t="s">
        <v>74</v>
      </c>
      <c r="H927" s="1" t="s">
        <v>74</v>
      </c>
      <c r="I927" s="1" t="s">
        <v>18465</v>
      </c>
      <c r="J927" s="1" t="s">
        <v>18466</v>
      </c>
      <c r="K927" s="1" t="s">
        <v>74</v>
      </c>
      <c r="L927" s="1" t="s">
        <v>74</v>
      </c>
      <c r="M927" s="1" t="s">
        <v>638</v>
      </c>
      <c r="N927" s="1" t="s">
        <v>136</v>
      </c>
      <c r="O927" s="1" t="s">
        <v>74</v>
      </c>
      <c r="P927" s="1" t="s">
        <v>74</v>
      </c>
      <c r="Q927" s="1" t="s">
        <v>74</v>
      </c>
      <c r="R927" s="1" t="s">
        <v>74</v>
      </c>
      <c r="S927" s="1" t="s">
        <v>74</v>
      </c>
      <c r="T927" s="1" t="s">
        <v>18467</v>
      </c>
      <c r="U927" s="1" t="s">
        <v>18468</v>
      </c>
      <c r="V927" s="1" t="s">
        <v>18469</v>
      </c>
      <c r="W927" s="1" t="s">
        <v>18470</v>
      </c>
      <c r="X927" s="1" t="s">
        <v>18471</v>
      </c>
      <c r="Y927" s="1" t="s">
        <v>18472</v>
      </c>
      <c r="Z927" s="1" t="s">
        <v>18473</v>
      </c>
      <c r="AA927" s="1" t="s">
        <v>18474</v>
      </c>
      <c r="AB927" s="1" t="s">
        <v>18475</v>
      </c>
      <c r="AC927" s="1" t="s">
        <v>74</v>
      </c>
      <c r="AD927" s="1" t="s">
        <v>74</v>
      </c>
      <c r="AE927" s="1" t="s">
        <v>74</v>
      </c>
      <c r="AF927" s="1" t="s">
        <v>74</v>
      </c>
      <c r="AG927" s="1">
        <v>77.0</v>
      </c>
      <c r="AH927" s="1">
        <v>8.0</v>
      </c>
      <c r="AI927" s="1">
        <v>8.0</v>
      </c>
      <c r="AJ927" s="1">
        <v>18.0</v>
      </c>
      <c r="AK927" s="1">
        <v>115.0</v>
      </c>
      <c r="AL927" s="1" t="s">
        <v>18476</v>
      </c>
      <c r="AM927" s="1" t="s">
        <v>10428</v>
      </c>
      <c r="AN927" s="1" t="s">
        <v>18477</v>
      </c>
      <c r="AO927" s="1" t="s">
        <v>18478</v>
      </c>
      <c r="AP927" s="1" t="s">
        <v>18479</v>
      </c>
      <c r="AQ927" s="1" t="s">
        <v>74</v>
      </c>
      <c r="AR927" s="1" t="s">
        <v>18480</v>
      </c>
      <c r="AS927" s="1" t="s">
        <v>18481</v>
      </c>
      <c r="AT927" s="1" t="s">
        <v>1253</v>
      </c>
      <c r="AU927" s="1">
        <v>2020.0</v>
      </c>
      <c r="AV927" s="1" t="s">
        <v>74</v>
      </c>
      <c r="AW927" s="1">
        <v>124.0</v>
      </c>
      <c r="AX927" s="1" t="s">
        <v>74</v>
      </c>
      <c r="AY927" s="1" t="s">
        <v>74</v>
      </c>
      <c r="AZ927" s="1" t="s">
        <v>74</v>
      </c>
      <c r="BA927" s="1" t="s">
        <v>74</v>
      </c>
      <c r="BB927" s="1">
        <v>49.0</v>
      </c>
      <c r="BC927" s="1">
        <v>72.0</v>
      </c>
      <c r="BD927" s="1" t="s">
        <v>74</v>
      </c>
      <c r="BE927" s="1" t="s">
        <v>18482</v>
      </c>
      <c r="BF927" s="2" t="str">
        <f>HYPERLINK("http://dx.doi.org/10.24241/rcai.2020.124.1.49","http://dx.doi.org/10.24241/rcai.2020.124.1.49")</f>
        <v>http://dx.doi.org/10.24241/rcai.2020.124.1.49</v>
      </c>
      <c r="BG927" s="1" t="s">
        <v>74</v>
      </c>
      <c r="BH927" s="1" t="s">
        <v>74</v>
      </c>
      <c r="BI927" s="1">
        <v>24.0</v>
      </c>
      <c r="BJ927" s="1" t="s">
        <v>604</v>
      </c>
      <c r="BK927" s="1" t="s">
        <v>172</v>
      </c>
      <c r="BL927" s="1" t="s">
        <v>604</v>
      </c>
      <c r="BM927" s="1" t="s">
        <v>18483</v>
      </c>
      <c r="BN927" s="1" t="s">
        <v>74</v>
      </c>
      <c r="BO927" s="1" t="s">
        <v>174</v>
      </c>
      <c r="BP927" s="1" t="s">
        <v>74</v>
      </c>
      <c r="BQ927" s="1" t="s">
        <v>74</v>
      </c>
      <c r="BR927" s="1" t="s">
        <v>102</v>
      </c>
      <c r="BS927" s="1" t="s">
        <v>18484</v>
      </c>
      <c r="BT927" s="1" t="str">
        <f>HYPERLINK("https%3A%2F%2Fwww.webofscience.com%2Fwos%2Fwoscc%2Ffull-record%2FWOS:000533563500004","View Full Record in Web of Science")</f>
        <v>View Full Record in Web of Science</v>
      </c>
    </row>
    <row r="928" ht="12.75" customHeight="1">
      <c r="A928" s="1" t="s">
        <v>132</v>
      </c>
      <c r="B928" s="1" t="s">
        <v>18485</v>
      </c>
      <c r="C928" s="1" t="s">
        <v>74</v>
      </c>
      <c r="D928" s="1" t="s">
        <v>74</v>
      </c>
      <c r="E928" s="1" t="s">
        <v>74</v>
      </c>
      <c r="F928" s="1" t="s">
        <v>18486</v>
      </c>
      <c r="G928" s="1" t="s">
        <v>74</v>
      </c>
      <c r="H928" s="1" t="s">
        <v>74</v>
      </c>
      <c r="I928" s="1" t="s">
        <v>18487</v>
      </c>
      <c r="J928" s="1" t="s">
        <v>18488</v>
      </c>
      <c r="K928" s="1" t="s">
        <v>74</v>
      </c>
      <c r="L928" s="1" t="s">
        <v>74</v>
      </c>
      <c r="M928" s="1" t="s">
        <v>80</v>
      </c>
      <c r="N928" s="1" t="s">
        <v>136</v>
      </c>
      <c r="O928" s="1" t="s">
        <v>74</v>
      </c>
      <c r="P928" s="1" t="s">
        <v>74</v>
      </c>
      <c r="Q928" s="1" t="s">
        <v>74</v>
      </c>
      <c r="R928" s="1" t="s">
        <v>74</v>
      </c>
      <c r="S928" s="1" t="s">
        <v>74</v>
      </c>
      <c r="T928" s="1" t="s">
        <v>18489</v>
      </c>
      <c r="U928" s="1" t="s">
        <v>18490</v>
      </c>
      <c r="V928" s="1" t="s">
        <v>18491</v>
      </c>
      <c r="W928" s="1" t="s">
        <v>18492</v>
      </c>
      <c r="X928" s="1" t="s">
        <v>18493</v>
      </c>
      <c r="Y928" s="1" t="s">
        <v>18494</v>
      </c>
      <c r="Z928" s="1" t="s">
        <v>18495</v>
      </c>
      <c r="AA928" s="1" t="s">
        <v>18496</v>
      </c>
      <c r="AB928" s="1" t="s">
        <v>18497</v>
      </c>
      <c r="AC928" s="1" t="s">
        <v>74</v>
      </c>
      <c r="AD928" s="1" t="s">
        <v>74</v>
      </c>
      <c r="AE928" s="1" t="s">
        <v>74</v>
      </c>
      <c r="AF928" s="1" t="s">
        <v>74</v>
      </c>
      <c r="AG928" s="1">
        <v>67.0</v>
      </c>
      <c r="AH928" s="1">
        <v>1.0</v>
      </c>
      <c r="AI928" s="1">
        <v>1.0</v>
      </c>
      <c r="AJ928" s="1">
        <v>18.0</v>
      </c>
      <c r="AK928" s="1">
        <v>19.0</v>
      </c>
      <c r="AL928" s="1" t="s">
        <v>18498</v>
      </c>
      <c r="AM928" s="1" t="s">
        <v>18499</v>
      </c>
      <c r="AN928" s="1" t="s">
        <v>18500</v>
      </c>
      <c r="AO928" s="1" t="s">
        <v>18501</v>
      </c>
      <c r="AP928" s="1" t="s">
        <v>74</v>
      </c>
      <c r="AQ928" s="1" t="s">
        <v>74</v>
      </c>
      <c r="AR928" s="1" t="s">
        <v>18502</v>
      </c>
      <c r="AS928" s="1" t="s">
        <v>18503</v>
      </c>
      <c r="AT928" s="1" t="s">
        <v>74</v>
      </c>
      <c r="AU928" s="1">
        <v>2024.0</v>
      </c>
      <c r="AV928" s="1">
        <v>115.0</v>
      </c>
      <c r="AW928" s="1">
        <v>2.0</v>
      </c>
      <c r="AX928" s="1" t="s">
        <v>74</v>
      </c>
      <c r="AY928" s="1" t="s">
        <v>74</v>
      </c>
      <c r="AZ928" s="1" t="s">
        <v>74</v>
      </c>
      <c r="BA928" s="1" t="s">
        <v>74</v>
      </c>
      <c r="BB928" s="1" t="s">
        <v>74</v>
      </c>
      <c r="BC928" s="1" t="s">
        <v>74</v>
      </c>
      <c r="BD928" s="1" t="s">
        <v>18504</v>
      </c>
      <c r="BE928" s="1" t="s">
        <v>18505</v>
      </c>
      <c r="BF928" s="2" t="str">
        <f>HYPERLINK("http://dx.doi.org/10.23749/mdl.v115i2.15835","http://dx.doi.org/10.23749/mdl.v115i2.15835")</f>
        <v>http://dx.doi.org/10.23749/mdl.v115i2.15835</v>
      </c>
      <c r="BG928" s="1" t="s">
        <v>74</v>
      </c>
      <c r="BH928" s="1" t="s">
        <v>74</v>
      </c>
      <c r="BI928" s="1">
        <v>8.0</v>
      </c>
      <c r="BJ928" s="1" t="s">
        <v>1837</v>
      </c>
      <c r="BK928" s="1" t="s">
        <v>149</v>
      </c>
      <c r="BL928" s="1" t="s">
        <v>1837</v>
      </c>
      <c r="BM928" s="1" t="s">
        <v>18506</v>
      </c>
      <c r="BN928" s="1">
        <v>3.8686574E7</v>
      </c>
      <c r="BO928" s="1" t="s">
        <v>74</v>
      </c>
      <c r="BP928" s="1" t="s">
        <v>74</v>
      </c>
      <c r="BQ928" s="1" t="s">
        <v>74</v>
      </c>
      <c r="BR928" s="1" t="s">
        <v>102</v>
      </c>
      <c r="BS928" s="1" t="s">
        <v>18507</v>
      </c>
      <c r="BT928" s="1" t="str">
        <f>HYPERLINK("https%3A%2F%2Fwww.webofscience.com%2Fwos%2Fwoscc%2Ffull-record%2FWOS:001223327200004","View Full Record in Web of Science")</f>
        <v>View Full Record in Web of Science</v>
      </c>
    </row>
    <row r="929" ht="12.75" customHeight="1">
      <c r="A929" s="1" t="s">
        <v>132</v>
      </c>
      <c r="B929" s="1" t="s">
        <v>18508</v>
      </c>
      <c r="C929" s="1" t="s">
        <v>74</v>
      </c>
      <c r="D929" s="1" t="s">
        <v>74</v>
      </c>
      <c r="E929" s="1" t="s">
        <v>74</v>
      </c>
      <c r="F929" s="1" t="s">
        <v>18509</v>
      </c>
      <c r="G929" s="1" t="s">
        <v>74</v>
      </c>
      <c r="H929" s="1" t="s">
        <v>74</v>
      </c>
      <c r="I929" s="1" t="s">
        <v>18510</v>
      </c>
      <c r="J929" s="1" t="s">
        <v>18097</v>
      </c>
      <c r="K929" s="1" t="s">
        <v>74</v>
      </c>
      <c r="L929" s="1" t="s">
        <v>74</v>
      </c>
      <c r="M929" s="1" t="s">
        <v>80</v>
      </c>
      <c r="N929" s="1" t="s">
        <v>136</v>
      </c>
      <c r="O929" s="1" t="s">
        <v>74</v>
      </c>
      <c r="P929" s="1" t="s">
        <v>74</v>
      </c>
      <c r="Q929" s="1" t="s">
        <v>74</v>
      </c>
      <c r="R929" s="1" t="s">
        <v>74</v>
      </c>
      <c r="S929" s="1" t="s">
        <v>74</v>
      </c>
      <c r="T929" s="1" t="s">
        <v>18511</v>
      </c>
      <c r="U929" s="1" t="s">
        <v>18512</v>
      </c>
      <c r="V929" s="1" t="s">
        <v>18513</v>
      </c>
      <c r="W929" s="1" t="s">
        <v>18514</v>
      </c>
      <c r="X929" s="1" t="s">
        <v>10783</v>
      </c>
      <c r="Y929" s="1" t="s">
        <v>18515</v>
      </c>
      <c r="Z929" s="1" t="s">
        <v>18516</v>
      </c>
      <c r="AA929" s="1" t="s">
        <v>74</v>
      </c>
      <c r="AB929" s="1" t="s">
        <v>18517</v>
      </c>
      <c r="AC929" s="1" t="s">
        <v>74</v>
      </c>
      <c r="AD929" s="1" t="s">
        <v>74</v>
      </c>
      <c r="AE929" s="1" t="s">
        <v>74</v>
      </c>
      <c r="AF929" s="1" t="s">
        <v>74</v>
      </c>
      <c r="AG929" s="1">
        <v>56.0</v>
      </c>
      <c r="AH929" s="1">
        <v>3.0</v>
      </c>
      <c r="AI929" s="1">
        <v>3.0</v>
      </c>
      <c r="AJ929" s="1">
        <v>36.0</v>
      </c>
      <c r="AK929" s="1">
        <v>81.0</v>
      </c>
      <c r="AL929" s="1" t="s">
        <v>18104</v>
      </c>
      <c r="AM929" s="1" t="s">
        <v>4077</v>
      </c>
      <c r="AN929" s="1" t="s">
        <v>18105</v>
      </c>
      <c r="AO929" s="1" t="s">
        <v>18106</v>
      </c>
      <c r="AP929" s="1" t="s">
        <v>18107</v>
      </c>
      <c r="AQ929" s="1" t="s">
        <v>74</v>
      </c>
      <c r="AR929" s="1" t="s">
        <v>18108</v>
      </c>
      <c r="AS929" s="1" t="s">
        <v>18109</v>
      </c>
      <c r="AT929" s="1" t="s">
        <v>1364</v>
      </c>
      <c r="AU929" s="1">
        <v>2024.0</v>
      </c>
      <c r="AV929" s="1">
        <v>15.0</v>
      </c>
      <c r="AW929" s="1">
        <v>5.0</v>
      </c>
      <c r="AX929" s="1" t="s">
        <v>74</v>
      </c>
      <c r="AY929" s="1" t="s">
        <v>74</v>
      </c>
      <c r="AZ929" s="1" t="s">
        <v>474</v>
      </c>
      <c r="BA929" s="1" t="s">
        <v>74</v>
      </c>
      <c r="BB929" s="1">
        <v>1828.0</v>
      </c>
      <c r="BC929" s="1">
        <v>1840.0</v>
      </c>
      <c r="BD929" s="1" t="s">
        <v>74</v>
      </c>
      <c r="BE929" s="1" t="s">
        <v>18518</v>
      </c>
      <c r="BF929" s="2" t="str">
        <f>HYPERLINK("http://dx.doi.org/10.1007/s13198-023-02163-0","http://dx.doi.org/10.1007/s13198-023-02163-0")</f>
        <v>http://dx.doi.org/10.1007/s13198-023-02163-0</v>
      </c>
      <c r="BG929" s="1" t="s">
        <v>74</v>
      </c>
      <c r="BH929" s="1" t="s">
        <v>357</v>
      </c>
      <c r="BI929" s="1">
        <v>13.0</v>
      </c>
      <c r="BJ929" s="1" t="s">
        <v>4171</v>
      </c>
      <c r="BK929" s="1" t="s">
        <v>172</v>
      </c>
      <c r="BL929" s="1" t="s">
        <v>3052</v>
      </c>
      <c r="BM929" s="1" t="s">
        <v>18519</v>
      </c>
      <c r="BN929" s="1" t="s">
        <v>74</v>
      </c>
      <c r="BO929" s="1" t="s">
        <v>74</v>
      </c>
      <c r="BP929" s="1" t="s">
        <v>74</v>
      </c>
      <c r="BQ929" s="1" t="s">
        <v>74</v>
      </c>
      <c r="BR929" s="1" t="s">
        <v>102</v>
      </c>
      <c r="BS929" s="1" t="s">
        <v>18520</v>
      </c>
      <c r="BT929" s="1" t="str">
        <f>HYPERLINK("https%3A%2F%2Fwww.webofscience.com%2Fwos%2Fwoscc%2Ffull-record%2FWOS:001072262200002","View Full Record in Web of Science")</f>
        <v>View Full Record in Web of Science</v>
      </c>
    </row>
    <row r="930" ht="12.75" customHeight="1">
      <c r="A930" s="1" t="s">
        <v>132</v>
      </c>
      <c r="B930" s="1" t="s">
        <v>18521</v>
      </c>
      <c r="C930" s="1" t="s">
        <v>74</v>
      </c>
      <c r="D930" s="1" t="s">
        <v>74</v>
      </c>
      <c r="E930" s="1" t="s">
        <v>74</v>
      </c>
      <c r="F930" s="1" t="s">
        <v>18522</v>
      </c>
      <c r="G930" s="1" t="s">
        <v>74</v>
      </c>
      <c r="H930" s="1" t="s">
        <v>74</v>
      </c>
      <c r="I930" s="1" t="s">
        <v>18523</v>
      </c>
      <c r="J930" s="1" t="s">
        <v>18524</v>
      </c>
      <c r="K930" s="1" t="s">
        <v>74</v>
      </c>
      <c r="L930" s="1" t="s">
        <v>74</v>
      </c>
      <c r="M930" s="1" t="s">
        <v>80</v>
      </c>
      <c r="N930" s="1" t="s">
        <v>136</v>
      </c>
      <c r="O930" s="1" t="s">
        <v>74</v>
      </c>
      <c r="P930" s="1" t="s">
        <v>74</v>
      </c>
      <c r="Q930" s="1" t="s">
        <v>74</v>
      </c>
      <c r="R930" s="1" t="s">
        <v>74</v>
      </c>
      <c r="S930" s="1" t="s">
        <v>74</v>
      </c>
      <c r="T930" s="1" t="s">
        <v>18525</v>
      </c>
      <c r="U930" s="1" t="s">
        <v>18526</v>
      </c>
      <c r="V930" s="1" t="s">
        <v>18527</v>
      </c>
      <c r="W930" s="1" t="s">
        <v>18528</v>
      </c>
      <c r="X930" s="1" t="s">
        <v>18529</v>
      </c>
      <c r="Y930" s="1" t="s">
        <v>18530</v>
      </c>
      <c r="Z930" s="1" t="s">
        <v>18531</v>
      </c>
      <c r="AA930" s="1" t="s">
        <v>18532</v>
      </c>
      <c r="AB930" s="1" t="s">
        <v>18533</v>
      </c>
      <c r="AC930" s="1" t="s">
        <v>18534</v>
      </c>
      <c r="AD930" s="1" t="s">
        <v>18535</v>
      </c>
      <c r="AE930" s="1" t="s">
        <v>18536</v>
      </c>
      <c r="AF930" s="1" t="s">
        <v>74</v>
      </c>
      <c r="AG930" s="1">
        <v>89.0</v>
      </c>
      <c r="AH930" s="1">
        <v>0.0</v>
      </c>
      <c r="AI930" s="1">
        <v>0.0</v>
      </c>
      <c r="AJ930" s="1">
        <v>34.0</v>
      </c>
      <c r="AK930" s="1">
        <v>34.0</v>
      </c>
      <c r="AL930" s="1" t="s">
        <v>2928</v>
      </c>
      <c r="AM930" s="1" t="s">
        <v>1090</v>
      </c>
      <c r="AN930" s="1" t="s">
        <v>2929</v>
      </c>
      <c r="AO930" s="1" t="s">
        <v>18537</v>
      </c>
      <c r="AP930" s="1" t="s">
        <v>18538</v>
      </c>
      <c r="AQ930" s="1" t="s">
        <v>74</v>
      </c>
      <c r="AR930" s="1" t="s">
        <v>18539</v>
      </c>
      <c r="AS930" s="1" t="s">
        <v>18540</v>
      </c>
      <c r="AT930" s="1" t="s">
        <v>4350</v>
      </c>
      <c r="AU930" s="1">
        <v>2024.0</v>
      </c>
      <c r="AV930" s="1">
        <v>51.0</v>
      </c>
      <c r="AW930" s="1">
        <v>6.0</v>
      </c>
      <c r="AX930" s="1" t="s">
        <v>74</v>
      </c>
      <c r="AY930" s="1" t="s">
        <v>74</v>
      </c>
      <c r="AZ930" s="1" t="s">
        <v>74</v>
      </c>
      <c r="BA930" s="1" t="s">
        <v>74</v>
      </c>
      <c r="BB930" s="1">
        <v>1104.0</v>
      </c>
      <c r="BC930" s="1">
        <v>1116.0</v>
      </c>
      <c r="BD930" s="1" t="s">
        <v>74</v>
      </c>
      <c r="BE930" s="1" t="s">
        <v>18541</v>
      </c>
      <c r="BF930" s="2" t="str">
        <f>HYPERLINK("http://dx.doi.org/10.1093/scipol/scae052","http://dx.doi.org/10.1093/scipol/scae052")</f>
        <v>http://dx.doi.org/10.1093/scipol/scae052</v>
      </c>
      <c r="BG930" s="1" t="s">
        <v>74</v>
      </c>
      <c r="BH930" s="1" t="s">
        <v>1883</v>
      </c>
      <c r="BI930" s="1">
        <v>13.0</v>
      </c>
      <c r="BJ930" s="1" t="s">
        <v>18542</v>
      </c>
      <c r="BK930" s="1" t="s">
        <v>203</v>
      </c>
      <c r="BL930" s="1" t="s">
        <v>18543</v>
      </c>
      <c r="BM930" s="1" t="s">
        <v>18544</v>
      </c>
      <c r="BN930" s="1" t="s">
        <v>74</v>
      </c>
      <c r="BO930" s="1" t="s">
        <v>74</v>
      </c>
      <c r="BP930" s="1" t="s">
        <v>74</v>
      </c>
      <c r="BQ930" s="1" t="s">
        <v>74</v>
      </c>
      <c r="BR930" s="1" t="s">
        <v>102</v>
      </c>
      <c r="BS930" s="1" t="s">
        <v>18545</v>
      </c>
      <c r="BT930" s="1" t="str">
        <f>HYPERLINK("https%3A%2F%2Fwww.webofscience.com%2Fwos%2Fwoscc%2Ffull-record%2FWOS:001315351500001","View Full Record in Web of Science")</f>
        <v>View Full Record in Web of Science</v>
      </c>
    </row>
    <row r="931" ht="12.75" customHeight="1">
      <c r="A931" s="1" t="s">
        <v>132</v>
      </c>
      <c r="B931" s="1" t="s">
        <v>18546</v>
      </c>
      <c r="C931" s="1" t="s">
        <v>74</v>
      </c>
      <c r="D931" s="1" t="s">
        <v>74</v>
      </c>
      <c r="E931" s="1" t="s">
        <v>74</v>
      </c>
      <c r="F931" s="1" t="s">
        <v>18547</v>
      </c>
      <c r="G931" s="1" t="s">
        <v>74</v>
      </c>
      <c r="H931" s="1" t="s">
        <v>74</v>
      </c>
      <c r="I931" s="1" t="s">
        <v>18548</v>
      </c>
      <c r="J931" s="1" t="s">
        <v>6649</v>
      </c>
      <c r="K931" s="1" t="s">
        <v>74</v>
      </c>
      <c r="L931" s="1" t="s">
        <v>74</v>
      </c>
      <c r="M931" s="1" t="s">
        <v>80</v>
      </c>
      <c r="N931" s="1" t="s">
        <v>136</v>
      </c>
      <c r="O931" s="1" t="s">
        <v>74</v>
      </c>
      <c r="P931" s="1" t="s">
        <v>74</v>
      </c>
      <c r="Q931" s="1" t="s">
        <v>74</v>
      </c>
      <c r="R931" s="1" t="s">
        <v>74</v>
      </c>
      <c r="S931" s="1" t="s">
        <v>74</v>
      </c>
      <c r="T931" s="1" t="s">
        <v>18549</v>
      </c>
      <c r="U931" s="1" t="s">
        <v>18550</v>
      </c>
      <c r="V931" s="1" t="s">
        <v>18551</v>
      </c>
      <c r="W931" s="1" t="s">
        <v>18552</v>
      </c>
      <c r="X931" s="1" t="s">
        <v>18553</v>
      </c>
      <c r="Y931" s="1" t="s">
        <v>18554</v>
      </c>
      <c r="Z931" s="1" t="s">
        <v>18555</v>
      </c>
      <c r="AA931" s="1" t="s">
        <v>18556</v>
      </c>
      <c r="AB931" s="1" t="s">
        <v>18557</v>
      </c>
      <c r="AC931" s="1" t="s">
        <v>18558</v>
      </c>
      <c r="AD931" s="1" t="s">
        <v>18559</v>
      </c>
      <c r="AE931" s="1" t="s">
        <v>18560</v>
      </c>
      <c r="AF931" s="1" t="s">
        <v>74</v>
      </c>
      <c r="AG931" s="1">
        <v>44.0</v>
      </c>
      <c r="AH931" s="1">
        <v>0.0</v>
      </c>
      <c r="AI931" s="1">
        <v>0.0</v>
      </c>
      <c r="AJ931" s="1">
        <v>16.0</v>
      </c>
      <c r="AK931" s="1">
        <v>23.0</v>
      </c>
      <c r="AL931" s="1" t="s">
        <v>321</v>
      </c>
      <c r="AM931" s="1" t="s">
        <v>322</v>
      </c>
      <c r="AN931" s="1" t="s">
        <v>323</v>
      </c>
      <c r="AO931" s="1" t="s">
        <v>6662</v>
      </c>
      <c r="AP931" s="1" t="s">
        <v>6663</v>
      </c>
      <c r="AQ931" s="1" t="s">
        <v>74</v>
      </c>
      <c r="AR931" s="1" t="s">
        <v>6664</v>
      </c>
      <c r="AS931" s="1" t="s">
        <v>6665</v>
      </c>
      <c r="AT931" s="1" t="s">
        <v>302</v>
      </c>
      <c r="AU931" s="1">
        <v>2024.0</v>
      </c>
      <c r="AV931" s="1">
        <v>132.0</v>
      </c>
      <c r="AW931" s="1" t="s">
        <v>74</v>
      </c>
      <c r="AX931" s="1" t="s">
        <v>74</v>
      </c>
      <c r="AY931" s="1" t="s">
        <v>74</v>
      </c>
      <c r="AZ931" s="1" t="s">
        <v>74</v>
      </c>
      <c r="BA931" s="1" t="s">
        <v>74</v>
      </c>
      <c r="BB931" s="1">
        <v>182.0</v>
      </c>
      <c r="BC931" s="1">
        <v>192.0</v>
      </c>
      <c r="BD931" s="1" t="s">
        <v>74</v>
      </c>
      <c r="BE931" s="1" t="s">
        <v>18561</v>
      </c>
      <c r="BF931" s="2" t="str">
        <f>HYPERLINK("http://dx.doi.org/10.1016/j.gr.2024.04.011","http://dx.doi.org/10.1016/j.gr.2024.04.011")</f>
        <v>http://dx.doi.org/10.1016/j.gr.2024.04.011</v>
      </c>
      <c r="BG931" s="1" t="s">
        <v>74</v>
      </c>
      <c r="BH931" s="1" t="s">
        <v>3129</v>
      </c>
      <c r="BI931" s="1">
        <v>11.0</v>
      </c>
      <c r="BJ931" s="1" t="s">
        <v>6667</v>
      </c>
      <c r="BK931" s="1" t="s">
        <v>149</v>
      </c>
      <c r="BL931" s="1" t="s">
        <v>6668</v>
      </c>
      <c r="BM931" s="1" t="s">
        <v>18562</v>
      </c>
      <c r="BN931" s="1" t="s">
        <v>74</v>
      </c>
      <c r="BO931" s="1" t="s">
        <v>74</v>
      </c>
      <c r="BP931" s="1" t="s">
        <v>74</v>
      </c>
      <c r="BQ931" s="1" t="s">
        <v>74</v>
      </c>
      <c r="BR931" s="1" t="s">
        <v>102</v>
      </c>
      <c r="BS931" s="1" t="s">
        <v>18563</v>
      </c>
      <c r="BT931" s="1" t="str">
        <f>HYPERLINK("https%3A%2F%2Fwww.webofscience.com%2Fwos%2Fwoscc%2Ffull-record%2FWOS:001242508000001","View Full Record in Web of Science")</f>
        <v>View Full Record in Web of Science</v>
      </c>
    </row>
    <row r="932" ht="12.75" customHeight="1">
      <c r="A932" s="1" t="s">
        <v>132</v>
      </c>
      <c r="B932" s="1" t="s">
        <v>18564</v>
      </c>
      <c r="C932" s="1" t="s">
        <v>74</v>
      </c>
      <c r="D932" s="1" t="s">
        <v>74</v>
      </c>
      <c r="E932" s="1" t="s">
        <v>74</v>
      </c>
      <c r="F932" s="1" t="s">
        <v>18565</v>
      </c>
      <c r="G932" s="1" t="s">
        <v>74</v>
      </c>
      <c r="H932" s="1" t="s">
        <v>74</v>
      </c>
      <c r="I932" s="1" t="s">
        <v>18566</v>
      </c>
      <c r="J932" s="1" t="s">
        <v>5018</v>
      </c>
      <c r="K932" s="1" t="s">
        <v>74</v>
      </c>
      <c r="L932" s="1" t="s">
        <v>74</v>
      </c>
      <c r="M932" s="1" t="s">
        <v>80</v>
      </c>
      <c r="N932" s="1" t="s">
        <v>136</v>
      </c>
      <c r="O932" s="1" t="s">
        <v>74</v>
      </c>
      <c r="P932" s="1" t="s">
        <v>74</v>
      </c>
      <c r="Q932" s="1" t="s">
        <v>74</v>
      </c>
      <c r="R932" s="1" t="s">
        <v>74</v>
      </c>
      <c r="S932" s="1" t="s">
        <v>74</v>
      </c>
      <c r="T932" s="1" t="s">
        <v>18567</v>
      </c>
      <c r="U932" s="1" t="s">
        <v>74</v>
      </c>
      <c r="V932" s="1" t="s">
        <v>18568</v>
      </c>
      <c r="W932" s="1" t="s">
        <v>18569</v>
      </c>
      <c r="X932" s="1" t="s">
        <v>5611</v>
      </c>
      <c r="Y932" s="1" t="s">
        <v>18570</v>
      </c>
      <c r="Z932" s="1" t="s">
        <v>18571</v>
      </c>
      <c r="AA932" s="1" t="s">
        <v>18572</v>
      </c>
      <c r="AB932" s="1" t="s">
        <v>18573</v>
      </c>
      <c r="AC932" s="1" t="s">
        <v>18574</v>
      </c>
      <c r="AD932" s="1" t="s">
        <v>18575</v>
      </c>
      <c r="AE932" s="1" t="s">
        <v>18576</v>
      </c>
      <c r="AF932" s="1" t="s">
        <v>74</v>
      </c>
      <c r="AG932" s="1">
        <v>40.0</v>
      </c>
      <c r="AH932" s="1">
        <v>0.0</v>
      </c>
      <c r="AI932" s="1">
        <v>0.0</v>
      </c>
      <c r="AJ932" s="1">
        <v>5.0</v>
      </c>
      <c r="AK932" s="1">
        <v>5.0</v>
      </c>
      <c r="AL932" s="1" t="s">
        <v>1970</v>
      </c>
      <c r="AM932" s="1" t="s">
        <v>1658</v>
      </c>
      <c r="AN932" s="1" t="s">
        <v>1971</v>
      </c>
      <c r="AO932" s="1" t="s">
        <v>74</v>
      </c>
      <c r="AP932" s="1" t="s">
        <v>5029</v>
      </c>
      <c r="AQ932" s="1" t="s">
        <v>74</v>
      </c>
      <c r="AR932" s="1" t="s">
        <v>5030</v>
      </c>
      <c r="AS932" s="1" t="s">
        <v>5031</v>
      </c>
      <c r="AT932" s="1" t="s">
        <v>1051</v>
      </c>
      <c r="AU932" s="1">
        <v>2024.0</v>
      </c>
      <c r="AV932" s="1">
        <v>16.0</v>
      </c>
      <c r="AW932" s="1">
        <v>24.0</v>
      </c>
      <c r="AX932" s="1" t="s">
        <v>74</v>
      </c>
      <c r="AY932" s="1" t="s">
        <v>74</v>
      </c>
      <c r="AZ932" s="1" t="s">
        <v>74</v>
      </c>
      <c r="BA932" s="1" t="s">
        <v>74</v>
      </c>
      <c r="BB932" s="1" t="s">
        <v>74</v>
      </c>
      <c r="BC932" s="1" t="s">
        <v>74</v>
      </c>
      <c r="BD932" s="1">
        <v>11135.0</v>
      </c>
      <c r="BE932" s="1" t="s">
        <v>18577</v>
      </c>
      <c r="BF932" s="2" t="str">
        <f>HYPERLINK("http://dx.doi.org/10.3390/su162411135","http://dx.doi.org/10.3390/su162411135")</f>
        <v>http://dx.doi.org/10.3390/su162411135</v>
      </c>
      <c r="BG932" s="1" t="s">
        <v>74</v>
      </c>
      <c r="BH932" s="1" t="s">
        <v>74</v>
      </c>
      <c r="BI932" s="1">
        <v>21.0</v>
      </c>
      <c r="BJ932" s="1" t="s">
        <v>5033</v>
      </c>
      <c r="BK932" s="1" t="s">
        <v>783</v>
      </c>
      <c r="BL932" s="1" t="s">
        <v>3612</v>
      </c>
      <c r="BM932" s="1" t="s">
        <v>18578</v>
      </c>
      <c r="BN932" s="1" t="s">
        <v>74</v>
      </c>
      <c r="BO932" s="1" t="s">
        <v>174</v>
      </c>
      <c r="BP932" s="1" t="s">
        <v>74</v>
      </c>
      <c r="BQ932" s="1" t="s">
        <v>74</v>
      </c>
      <c r="BR932" s="1" t="s">
        <v>102</v>
      </c>
      <c r="BS932" s="1" t="s">
        <v>18579</v>
      </c>
      <c r="BT932" s="1" t="str">
        <f>HYPERLINK("https%3A%2F%2Fwww.webofscience.com%2Fwos%2Fwoscc%2Ffull-record%2FWOS:001386989100001","View Full Record in Web of Science")</f>
        <v>View Full Record in Web of Science</v>
      </c>
    </row>
    <row r="933" ht="12.75" customHeight="1">
      <c r="A933" s="1" t="s">
        <v>132</v>
      </c>
      <c r="B933" s="1" t="s">
        <v>18580</v>
      </c>
      <c r="C933" s="1" t="s">
        <v>74</v>
      </c>
      <c r="D933" s="1" t="s">
        <v>74</v>
      </c>
      <c r="E933" s="1" t="s">
        <v>74</v>
      </c>
      <c r="F933" s="1" t="s">
        <v>18581</v>
      </c>
      <c r="G933" s="1" t="s">
        <v>74</v>
      </c>
      <c r="H933" s="1" t="s">
        <v>74</v>
      </c>
      <c r="I933" s="1" t="s">
        <v>18582</v>
      </c>
      <c r="J933" s="1" t="s">
        <v>18583</v>
      </c>
      <c r="K933" s="1" t="s">
        <v>74</v>
      </c>
      <c r="L933" s="1" t="s">
        <v>74</v>
      </c>
      <c r="M933" s="1" t="s">
        <v>80</v>
      </c>
      <c r="N933" s="1" t="s">
        <v>136</v>
      </c>
      <c r="O933" s="1" t="s">
        <v>74</v>
      </c>
      <c r="P933" s="1" t="s">
        <v>74</v>
      </c>
      <c r="Q933" s="1" t="s">
        <v>74</v>
      </c>
      <c r="R933" s="1" t="s">
        <v>74</v>
      </c>
      <c r="S933" s="1" t="s">
        <v>74</v>
      </c>
      <c r="T933" s="1" t="s">
        <v>18584</v>
      </c>
      <c r="U933" s="1" t="s">
        <v>74</v>
      </c>
      <c r="V933" s="1" t="s">
        <v>18585</v>
      </c>
      <c r="W933" s="1" t="s">
        <v>18586</v>
      </c>
      <c r="X933" s="1" t="s">
        <v>18121</v>
      </c>
      <c r="Y933" s="1" t="s">
        <v>18587</v>
      </c>
      <c r="Z933" s="1" t="s">
        <v>18588</v>
      </c>
      <c r="AA933" s="1" t="s">
        <v>74</v>
      </c>
      <c r="AB933" s="1" t="s">
        <v>18589</v>
      </c>
      <c r="AC933" s="1" t="s">
        <v>74</v>
      </c>
      <c r="AD933" s="1" t="s">
        <v>74</v>
      </c>
      <c r="AE933" s="1" t="s">
        <v>74</v>
      </c>
      <c r="AF933" s="1" t="s">
        <v>74</v>
      </c>
      <c r="AG933" s="1">
        <v>12.0</v>
      </c>
      <c r="AH933" s="1">
        <v>15.0</v>
      </c>
      <c r="AI933" s="1">
        <v>15.0</v>
      </c>
      <c r="AJ933" s="1">
        <v>6.0</v>
      </c>
      <c r="AK933" s="1">
        <v>37.0</v>
      </c>
      <c r="AL933" s="1" t="s">
        <v>192</v>
      </c>
      <c r="AM933" s="1" t="s">
        <v>193</v>
      </c>
      <c r="AN933" s="1" t="s">
        <v>194</v>
      </c>
      <c r="AO933" s="1" t="s">
        <v>18590</v>
      </c>
      <c r="AP933" s="1" t="s">
        <v>18591</v>
      </c>
      <c r="AQ933" s="1" t="s">
        <v>74</v>
      </c>
      <c r="AR933" s="1" t="s">
        <v>18592</v>
      </c>
      <c r="AS933" s="1" t="s">
        <v>18593</v>
      </c>
      <c r="AT933" s="1" t="s">
        <v>1709</v>
      </c>
      <c r="AU933" s="1">
        <v>2020.0</v>
      </c>
      <c r="AV933" s="1">
        <v>47.0</v>
      </c>
      <c r="AW933" s="1">
        <v>5.0</v>
      </c>
      <c r="AX933" s="1" t="s">
        <v>74</v>
      </c>
      <c r="AY933" s="1" t="s">
        <v>74</v>
      </c>
      <c r="AZ933" s="1" t="s">
        <v>474</v>
      </c>
      <c r="BA933" s="1" t="s">
        <v>74</v>
      </c>
      <c r="BB933" s="1">
        <v>852.0</v>
      </c>
      <c r="BC933" s="1">
        <v>855.0</v>
      </c>
      <c r="BD933" s="1" t="s">
        <v>74</v>
      </c>
      <c r="BE933" s="1" t="s">
        <v>18594</v>
      </c>
      <c r="BF933" s="2" t="str">
        <f>HYPERLINK("http://dx.doi.org/10.1007/s10488-020-01056-9","http://dx.doi.org/10.1007/s10488-020-01056-9")</f>
        <v>http://dx.doi.org/10.1007/s10488-020-01056-9</v>
      </c>
      <c r="BG933" s="1" t="s">
        <v>74</v>
      </c>
      <c r="BH933" s="1" t="s">
        <v>18595</v>
      </c>
      <c r="BI933" s="1">
        <v>4.0</v>
      </c>
      <c r="BJ933" s="1" t="s">
        <v>18596</v>
      </c>
      <c r="BK933" s="1" t="s">
        <v>203</v>
      </c>
      <c r="BL933" s="1" t="s">
        <v>12236</v>
      </c>
      <c r="BM933" s="1" t="s">
        <v>18597</v>
      </c>
      <c r="BN933" s="1">
        <v>3.271543E7</v>
      </c>
      <c r="BO933" s="1" t="s">
        <v>74</v>
      </c>
      <c r="BP933" s="1" t="s">
        <v>74</v>
      </c>
      <c r="BQ933" s="1" t="s">
        <v>74</v>
      </c>
      <c r="BR933" s="1" t="s">
        <v>102</v>
      </c>
      <c r="BS933" s="1" t="s">
        <v>18598</v>
      </c>
      <c r="BT933" s="1" t="str">
        <f>HYPERLINK("https%3A%2F%2Fwww.webofscience.com%2Fwos%2Fwoscc%2Ffull-record%2FWOS:000552603400006","View Full Record in Web of Science")</f>
        <v>View Full Record in Web of Science</v>
      </c>
    </row>
    <row r="934" ht="12.75" customHeight="1">
      <c r="A934" s="1" t="s">
        <v>132</v>
      </c>
      <c r="B934" s="1" t="s">
        <v>18599</v>
      </c>
      <c r="C934" s="1" t="s">
        <v>74</v>
      </c>
      <c r="D934" s="1" t="s">
        <v>74</v>
      </c>
      <c r="E934" s="1" t="s">
        <v>74</v>
      </c>
      <c r="F934" s="1" t="s">
        <v>18600</v>
      </c>
      <c r="G934" s="1" t="s">
        <v>74</v>
      </c>
      <c r="H934" s="1" t="s">
        <v>74</v>
      </c>
      <c r="I934" s="1" t="s">
        <v>18601</v>
      </c>
      <c r="J934" s="1" t="s">
        <v>18602</v>
      </c>
      <c r="K934" s="1" t="s">
        <v>74</v>
      </c>
      <c r="L934" s="1" t="s">
        <v>74</v>
      </c>
      <c r="M934" s="1" t="s">
        <v>80</v>
      </c>
      <c r="N934" s="1" t="s">
        <v>1010</v>
      </c>
      <c r="O934" s="1" t="s">
        <v>74</v>
      </c>
      <c r="P934" s="1" t="s">
        <v>74</v>
      </c>
      <c r="Q934" s="1" t="s">
        <v>74</v>
      </c>
      <c r="R934" s="1" t="s">
        <v>74</v>
      </c>
      <c r="S934" s="1" t="s">
        <v>74</v>
      </c>
      <c r="T934" s="1" t="s">
        <v>18603</v>
      </c>
      <c r="U934" s="1" t="s">
        <v>17611</v>
      </c>
      <c r="V934" s="1" t="s">
        <v>18604</v>
      </c>
      <c r="W934" s="1" t="s">
        <v>18605</v>
      </c>
      <c r="X934" s="1" t="s">
        <v>18606</v>
      </c>
      <c r="Y934" s="1" t="s">
        <v>18607</v>
      </c>
      <c r="Z934" s="1" t="s">
        <v>18608</v>
      </c>
      <c r="AA934" s="1" t="s">
        <v>74</v>
      </c>
      <c r="AB934" s="1" t="s">
        <v>18609</v>
      </c>
      <c r="AC934" s="1" t="s">
        <v>74</v>
      </c>
      <c r="AD934" s="1" t="s">
        <v>74</v>
      </c>
      <c r="AE934" s="1" t="s">
        <v>74</v>
      </c>
      <c r="AF934" s="1" t="s">
        <v>74</v>
      </c>
      <c r="AG934" s="1">
        <v>31.0</v>
      </c>
      <c r="AH934" s="1">
        <v>0.0</v>
      </c>
      <c r="AI934" s="1">
        <v>0.0</v>
      </c>
      <c r="AJ934" s="1">
        <v>2.0</v>
      </c>
      <c r="AK934" s="1">
        <v>2.0</v>
      </c>
      <c r="AL934" s="1" t="s">
        <v>192</v>
      </c>
      <c r="AM934" s="1" t="s">
        <v>193</v>
      </c>
      <c r="AN934" s="1" t="s">
        <v>194</v>
      </c>
      <c r="AO934" s="1" t="s">
        <v>18610</v>
      </c>
      <c r="AP934" s="1" t="s">
        <v>18611</v>
      </c>
      <c r="AQ934" s="1" t="s">
        <v>74</v>
      </c>
      <c r="AR934" s="1" t="s">
        <v>18612</v>
      </c>
      <c r="AS934" s="1" t="s">
        <v>18613</v>
      </c>
      <c r="AT934" s="1" t="s">
        <v>11241</v>
      </c>
      <c r="AU934" s="1">
        <v>2024.0</v>
      </c>
      <c r="AV934" s="1">
        <v>76.0</v>
      </c>
      <c r="AW934" s="1">
        <v>1.0</v>
      </c>
      <c r="AX934" s="1" t="s">
        <v>74</v>
      </c>
      <c r="AY934" s="1" t="s">
        <v>74</v>
      </c>
      <c r="AZ934" s="1" t="s">
        <v>74</v>
      </c>
      <c r="BA934" s="1" t="s">
        <v>74</v>
      </c>
      <c r="BB934" s="1" t="s">
        <v>74</v>
      </c>
      <c r="BC934" s="1" t="s">
        <v>74</v>
      </c>
      <c r="BD934" s="1">
        <v>120.0</v>
      </c>
      <c r="BE934" s="1" t="s">
        <v>18614</v>
      </c>
      <c r="BF934" s="2" t="str">
        <f>HYPERLINK("http://dx.doi.org/10.1186/s43044-024-00551-w","http://dx.doi.org/10.1186/s43044-024-00551-w")</f>
        <v>http://dx.doi.org/10.1186/s43044-024-00551-w</v>
      </c>
      <c r="BG934" s="1" t="s">
        <v>74</v>
      </c>
      <c r="BH934" s="1" t="s">
        <v>74</v>
      </c>
      <c r="BI934" s="1">
        <v>7.0</v>
      </c>
      <c r="BJ934" s="1" t="s">
        <v>2729</v>
      </c>
      <c r="BK934" s="1" t="s">
        <v>172</v>
      </c>
      <c r="BL934" s="1" t="s">
        <v>2730</v>
      </c>
      <c r="BM934" s="1" t="s">
        <v>18615</v>
      </c>
      <c r="BN934" s="1">
        <v>3.9242425E7</v>
      </c>
      <c r="BO934" s="1" t="s">
        <v>174</v>
      </c>
      <c r="BP934" s="1" t="s">
        <v>74</v>
      </c>
      <c r="BQ934" s="1" t="s">
        <v>74</v>
      </c>
      <c r="BR934" s="1" t="s">
        <v>102</v>
      </c>
      <c r="BS934" s="1" t="s">
        <v>18616</v>
      </c>
      <c r="BT934" s="1" t="str">
        <f>HYPERLINK("https%3A%2F%2Fwww.webofscience.com%2Fwos%2Fwoscc%2Ffull-record%2FWOS:001306594800001","View Full Record in Web of Science")</f>
        <v>View Full Record in Web of Science</v>
      </c>
    </row>
    <row r="935" ht="12.75" customHeight="1">
      <c r="A935" s="1" t="s">
        <v>72</v>
      </c>
      <c r="B935" s="1" t="s">
        <v>18617</v>
      </c>
      <c r="C935" s="1" t="s">
        <v>74</v>
      </c>
      <c r="D935" s="1" t="s">
        <v>410</v>
      </c>
      <c r="E935" s="1" t="s">
        <v>74</v>
      </c>
      <c r="F935" s="1" t="s">
        <v>18618</v>
      </c>
      <c r="G935" s="1" t="s">
        <v>74</v>
      </c>
      <c r="H935" s="1" t="s">
        <v>74</v>
      </c>
      <c r="I935" s="1" t="s">
        <v>18619</v>
      </c>
      <c r="J935" s="1" t="s">
        <v>413</v>
      </c>
      <c r="K935" s="1" t="s">
        <v>414</v>
      </c>
      <c r="L935" s="1" t="s">
        <v>74</v>
      </c>
      <c r="M935" s="1" t="s">
        <v>80</v>
      </c>
      <c r="N935" s="1" t="s">
        <v>81</v>
      </c>
      <c r="O935" s="1" t="s">
        <v>415</v>
      </c>
      <c r="P935" s="1" t="s">
        <v>416</v>
      </c>
      <c r="Q935" s="1" t="s">
        <v>417</v>
      </c>
      <c r="R935" s="1" t="s">
        <v>74</v>
      </c>
      <c r="S935" s="1" t="s">
        <v>418</v>
      </c>
      <c r="T935" s="1" t="s">
        <v>18620</v>
      </c>
      <c r="U935" s="1" t="s">
        <v>952</v>
      </c>
      <c r="V935" s="1" t="s">
        <v>18621</v>
      </c>
      <c r="W935" s="1" t="s">
        <v>18622</v>
      </c>
      <c r="X935" s="1" t="s">
        <v>18623</v>
      </c>
      <c r="Y935" s="1" t="s">
        <v>18624</v>
      </c>
      <c r="Z935" s="1" t="s">
        <v>18625</v>
      </c>
      <c r="AA935" s="1" t="s">
        <v>18626</v>
      </c>
      <c r="AB935" s="1" t="s">
        <v>18627</v>
      </c>
      <c r="AC935" s="1" t="s">
        <v>74</v>
      </c>
      <c r="AD935" s="1" t="s">
        <v>74</v>
      </c>
      <c r="AE935" s="1" t="s">
        <v>74</v>
      </c>
      <c r="AF935" s="1" t="s">
        <v>74</v>
      </c>
      <c r="AG935" s="1">
        <v>25.0</v>
      </c>
      <c r="AH935" s="1">
        <v>2.0</v>
      </c>
      <c r="AI935" s="1">
        <v>2.0</v>
      </c>
      <c r="AJ935" s="1">
        <v>1.0</v>
      </c>
      <c r="AK935" s="1">
        <v>22.0</v>
      </c>
      <c r="AL935" s="1" t="s">
        <v>223</v>
      </c>
      <c r="AM935" s="1" t="s">
        <v>224</v>
      </c>
      <c r="AN935" s="1" t="s">
        <v>225</v>
      </c>
      <c r="AO935" s="1" t="s">
        <v>430</v>
      </c>
      <c r="AP935" s="1" t="s">
        <v>431</v>
      </c>
      <c r="AQ935" s="1" t="s">
        <v>432</v>
      </c>
      <c r="AR935" s="1" t="s">
        <v>433</v>
      </c>
      <c r="AS935" s="1" t="s">
        <v>74</v>
      </c>
      <c r="AT935" s="1" t="s">
        <v>74</v>
      </c>
      <c r="AU935" s="1">
        <v>2022.0</v>
      </c>
      <c r="AV935" s="1">
        <v>1720.0</v>
      </c>
      <c r="AW935" s="1" t="s">
        <v>74</v>
      </c>
      <c r="AX935" s="1" t="s">
        <v>74</v>
      </c>
      <c r="AY935" s="1" t="s">
        <v>74</v>
      </c>
      <c r="AZ935" s="1" t="s">
        <v>74</v>
      </c>
      <c r="BA935" s="1" t="s">
        <v>74</v>
      </c>
      <c r="BB935" s="1">
        <v>454.0</v>
      </c>
      <c r="BC935" s="1">
        <v>460.0</v>
      </c>
      <c r="BD935" s="1" t="s">
        <v>74</v>
      </c>
      <c r="BE935" s="1" t="s">
        <v>18628</v>
      </c>
      <c r="BF935" s="2" t="str">
        <f>HYPERLINK("http://dx.doi.org/10.1007/978-3-031-22918-3_36","http://dx.doi.org/10.1007/978-3-031-22918-3_36")</f>
        <v>http://dx.doi.org/10.1007/978-3-031-22918-3_36</v>
      </c>
      <c r="BG935" s="1" t="s">
        <v>74</v>
      </c>
      <c r="BH935" s="1" t="s">
        <v>74</v>
      </c>
      <c r="BI935" s="1">
        <v>7.0</v>
      </c>
      <c r="BJ935" s="1" t="s">
        <v>435</v>
      </c>
      <c r="BK935" s="1" t="s">
        <v>405</v>
      </c>
      <c r="BL935" s="1" t="s">
        <v>436</v>
      </c>
      <c r="BM935" s="1" t="s">
        <v>437</v>
      </c>
      <c r="BN935" s="1" t="s">
        <v>74</v>
      </c>
      <c r="BO935" s="1" t="s">
        <v>74</v>
      </c>
      <c r="BP935" s="1" t="s">
        <v>74</v>
      </c>
      <c r="BQ935" s="1" t="s">
        <v>74</v>
      </c>
      <c r="BR935" s="1" t="s">
        <v>102</v>
      </c>
      <c r="BS935" s="1" t="s">
        <v>18629</v>
      </c>
      <c r="BT935" s="1" t="str">
        <f>HYPERLINK("https%3A%2F%2Fwww.webofscience.com%2Fwos%2Fwoscc%2Ffull-record%2FWOS:000976791200036","View Full Record in Web of Science")</f>
        <v>View Full Record in Web of Science</v>
      </c>
    </row>
    <row r="936" ht="12.75" customHeight="1">
      <c r="A936" s="1" t="s">
        <v>132</v>
      </c>
      <c r="B936" s="1" t="s">
        <v>18630</v>
      </c>
      <c r="C936" s="1" t="s">
        <v>74</v>
      </c>
      <c r="D936" s="1" t="s">
        <v>74</v>
      </c>
      <c r="E936" s="1" t="s">
        <v>74</v>
      </c>
      <c r="F936" s="1" t="s">
        <v>18631</v>
      </c>
      <c r="G936" s="1" t="s">
        <v>74</v>
      </c>
      <c r="H936" s="1" t="s">
        <v>74</v>
      </c>
      <c r="I936" s="1" t="s">
        <v>18632</v>
      </c>
      <c r="J936" s="1" t="s">
        <v>4294</v>
      </c>
      <c r="K936" s="1" t="s">
        <v>74</v>
      </c>
      <c r="L936" s="1" t="s">
        <v>74</v>
      </c>
      <c r="M936" s="1" t="s">
        <v>80</v>
      </c>
      <c r="N936" s="1" t="s">
        <v>1010</v>
      </c>
      <c r="O936" s="1" t="s">
        <v>74</v>
      </c>
      <c r="P936" s="1" t="s">
        <v>74</v>
      </c>
      <c r="Q936" s="1" t="s">
        <v>74</v>
      </c>
      <c r="R936" s="1" t="s">
        <v>74</v>
      </c>
      <c r="S936" s="1" t="s">
        <v>74</v>
      </c>
      <c r="T936" s="1" t="s">
        <v>18633</v>
      </c>
      <c r="U936" s="1" t="s">
        <v>18634</v>
      </c>
      <c r="V936" s="1" t="s">
        <v>18635</v>
      </c>
      <c r="W936" s="1" t="s">
        <v>18636</v>
      </c>
      <c r="X936" s="1" t="s">
        <v>18637</v>
      </c>
      <c r="Y936" s="1" t="s">
        <v>18638</v>
      </c>
      <c r="Z936" s="1" t="s">
        <v>18639</v>
      </c>
      <c r="AA936" s="1" t="s">
        <v>18640</v>
      </c>
      <c r="AB936" s="1" t="s">
        <v>18641</v>
      </c>
      <c r="AC936" s="1" t="s">
        <v>74</v>
      </c>
      <c r="AD936" s="1" t="s">
        <v>74</v>
      </c>
      <c r="AE936" s="1" t="s">
        <v>74</v>
      </c>
      <c r="AF936" s="1" t="s">
        <v>74</v>
      </c>
      <c r="AG936" s="1">
        <v>50.0</v>
      </c>
      <c r="AH936" s="1">
        <v>96.0</v>
      </c>
      <c r="AI936" s="1">
        <v>98.0</v>
      </c>
      <c r="AJ936" s="1">
        <v>2.0</v>
      </c>
      <c r="AK936" s="1">
        <v>14.0</v>
      </c>
      <c r="AL936" s="1" t="s">
        <v>192</v>
      </c>
      <c r="AM936" s="1" t="s">
        <v>193</v>
      </c>
      <c r="AN936" s="1" t="s">
        <v>194</v>
      </c>
      <c r="AO936" s="1" t="s">
        <v>4302</v>
      </c>
      <c r="AP936" s="1" t="s">
        <v>4303</v>
      </c>
      <c r="AQ936" s="1" t="s">
        <v>74</v>
      </c>
      <c r="AR936" s="1" t="s">
        <v>4304</v>
      </c>
      <c r="AS936" s="1" t="s">
        <v>4305</v>
      </c>
      <c r="AT936" s="1" t="s">
        <v>2469</v>
      </c>
      <c r="AU936" s="1">
        <v>2022.0</v>
      </c>
      <c r="AV936" s="1">
        <v>52.0</v>
      </c>
      <c r="AW936" s="1">
        <v>11.0</v>
      </c>
      <c r="AX936" s="1" t="s">
        <v>74</v>
      </c>
      <c r="AY936" s="1" t="s">
        <v>74</v>
      </c>
      <c r="AZ936" s="1" t="s">
        <v>474</v>
      </c>
      <c r="BA936" s="1" t="s">
        <v>74</v>
      </c>
      <c r="BB936" s="1">
        <v>2087.0</v>
      </c>
      <c r="BC936" s="1">
        <v>2093.0</v>
      </c>
      <c r="BD936" s="1" t="s">
        <v>74</v>
      </c>
      <c r="BE936" s="1" t="s">
        <v>18642</v>
      </c>
      <c r="BF936" s="2" t="str">
        <f>HYPERLINK("http://dx.doi.org/10.1007/s00247-021-05114-8","http://dx.doi.org/10.1007/s00247-021-05114-8")</f>
        <v>http://dx.doi.org/10.1007/s00247-021-05114-8</v>
      </c>
      <c r="BG936" s="1" t="s">
        <v>74</v>
      </c>
      <c r="BH936" s="1" t="s">
        <v>3899</v>
      </c>
      <c r="BI936" s="1">
        <v>7.0</v>
      </c>
      <c r="BJ936" s="1" t="s">
        <v>4308</v>
      </c>
      <c r="BK936" s="1" t="s">
        <v>149</v>
      </c>
      <c r="BL936" s="1" t="s">
        <v>4308</v>
      </c>
      <c r="BM936" s="1" t="s">
        <v>4309</v>
      </c>
      <c r="BN936" s="1">
        <v>3.4117522E7</v>
      </c>
      <c r="BO936" s="1" t="s">
        <v>3027</v>
      </c>
      <c r="BP936" s="1" t="s">
        <v>74</v>
      </c>
      <c r="BQ936" s="1" t="s">
        <v>74</v>
      </c>
      <c r="BR936" s="1" t="s">
        <v>102</v>
      </c>
      <c r="BS936" s="1" t="s">
        <v>18643</v>
      </c>
      <c r="BT936" s="1" t="str">
        <f>HYPERLINK("https%3A%2F%2Fwww.webofscience.com%2Fwos%2Fwoscc%2Ffull-record%2FWOS:000660363000001","View Full Record in Web of Science")</f>
        <v>View Full Record in Web of Science</v>
      </c>
    </row>
    <row r="937" ht="12.75" customHeight="1">
      <c r="A937" s="1" t="s">
        <v>132</v>
      </c>
      <c r="B937" s="1" t="s">
        <v>18644</v>
      </c>
      <c r="C937" s="1" t="s">
        <v>74</v>
      </c>
      <c r="D937" s="1" t="s">
        <v>74</v>
      </c>
      <c r="E937" s="1" t="s">
        <v>74</v>
      </c>
      <c r="F937" s="1" t="s">
        <v>18645</v>
      </c>
      <c r="G937" s="1" t="s">
        <v>74</v>
      </c>
      <c r="H937" s="1" t="s">
        <v>74</v>
      </c>
      <c r="I937" s="1" t="s">
        <v>18646</v>
      </c>
      <c r="J937" s="1" t="s">
        <v>18647</v>
      </c>
      <c r="K937" s="1" t="s">
        <v>74</v>
      </c>
      <c r="L937" s="1" t="s">
        <v>74</v>
      </c>
      <c r="M937" s="1" t="s">
        <v>157</v>
      </c>
      <c r="N937" s="1" t="s">
        <v>136</v>
      </c>
      <c r="O937" s="1" t="s">
        <v>74</v>
      </c>
      <c r="P937" s="1" t="s">
        <v>74</v>
      </c>
      <c r="Q937" s="1" t="s">
        <v>74</v>
      </c>
      <c r="R937" s="1" t="s">
        <v>74</v>
      </c>
      <c r="S937" s="1" t="s">
        <v>74</v>
      </c>
      <c r="T937" s="1" t="s">
        <v>18648</v>
      </c>
      <c r="U937" s="1" t="s">
        <v>74</v>
      </c>
      <c r="V937" s="1" t="s">
        <v>18649</v>
      </c>
      <c r="W937" s="1" t="s">
        <v>18650</v>
      </c>
      <c r="X937" s="1" t="s">
        <v>18651</v>
      </c>
      <c r="Y937" s="1" t="s">
        <v>18652</v>
      </c>
      <c r="Z937" s="1" t="s">
        <v>18653</v>
      </c>
      <c r="AA937" s="1" t="s">
        <v>74</v>
      </c>
      <c r="AB937" s="1" t="s">
        <v>74</v>
      </c>
      <c r="AC937" s="1" t="s">
        <v>74</v>
      </c>
      <c r="AD937" s="1" t="s">
        <v>74</v>
      </c>
      <c r="AE937" s="1" t="s">
        <v>74</v>
      </c>
      <c r="AF937" s="1" t="s">
        <v>74</v>
      </c>
      <c r="AG937" s="1">
        <v>25.0</v>
      </c>
      <c r="AH937" s="1">
        <v>0.0</v>
      </c>
      <c r="AI937" s="1">
        <v>0.0</v>
      </c>
      <c r="AJ937" s="1">
        <v>2.0</v>
      </c>
      <c r="AK937" s="1">
        <v>2.0</v>
      </c>
      <c r="AL937" s="1" t="s">
        <v>18654</v>
      </c>
      <c r="AM937" s="1" t="s">
        <v>18655</v>
      </c>
      <c r="AN937" s="1" t="s">
        <v>18656</v>
      </c>
      <c r="AO937" s="1" t="s">
        <v>18657</v>
      </c>
      <c r="AP937" s="1" t="s">
        <v>74</v>
      </c>
      <c r="AQ937" s="1" t="s">
        <v>74</v>
      </c>
      <c r="AR937" s="1" t="s">
        <v>18658</v>
      </c>
      <c r="AS937" s="1" t="s">
        <v>18659</v>
      </c>
      <c r="AT937" s="1" t="s">
        <v>74</v>
      </c>
      <c r="AU937" s="1">
        <v>2024.0</v>
      </c>
      <c r="AV937" s="1">
        <v>35.0</v>
      </c>
      <c r="AW937" s="1" t="s">
        <v>74</v>
      </c>
      <c r="AX937" s="1" t="s">
        <v>74</v>
      </c>
      <c r="AY937" s="1" t="s">
        <v>74</v>
      </c>
      <c r="AZ937" s="1" t="s">
        <v>74</v>
      </c>
      <c r="BA937" s="1" t="s">
        <v>74</v>
      </c>
      <c r="BB937" s="1" t="s">
        <v>74</v>
      </c>
      <c r="BC937" s="1" t="s">
        <v>74</v>
      </c>
      <c r="BD937" s="1" t="s">
        <v>18660</v>
      </c>
      <c r="BE937" s="1" t="s">
        <v>18661</v>
      </c>
      <c r="BF937" s="2" t="str">
        <f>HYPERLINK("http://dx.doi.org/10.32930/nuances.v35i00.10780","http://dx.doi.org/10.32930/nuances.v35i00.10780")</f>
        <v>http://dx.doi.org/10.32930/nuances.v35i00.10780</v>
      </c>
      <c r="BG937" s="1" t="s">
        <v>74</v>
      </c>
      <c r="BH937" s="1" t="s">
        <v>74</v>
      </c>
      <c r="BI937" s="1">
        <v>15.0</v>
      </c>
      <c r="BJ937" s="1" t="s">
        <v>171</v>
      </c>
      <c r="BK937" s="1" t="s">
        <v>172</v>
      </c>
      <c r="BL937" s="1" t="s">
        <v>171</v>
      </c>
      <c r="BM937" s="1" t="s">
        <v>18662</v>
      </c>
      <c r="BN937" s="1" t="s">
        <v>74</v>
      </c>
      <c r="BO937" s="1" t="s">
        <v>74</v>
      </c>
      <c r="BP937" s="1" t="s">
        <v>74</v>
      </c>
      <c r="BQ937" s="1" t="s">
        <v>74</v>
      </c>
      <c r="BR937" s="1" t="s">
        <v>102</v>
      </c>
      <c r="BS937" s="1" t="s">
        <v>18663</v>
      </c>
      <c r="BT937" s="1" t="str">
        <f>HYPERLINK("https%3A%2F%2Fwww.webofscience.com%2Fwos%2Fwoscc%2Ffull-record%2FWOS:001382024100001","View Full Record in Web of Science")</f>
        <v>View Full Record in Web of Science</v>
      </c>
    </row>
    <row r="938" ht="12.75" customHeight="1">
      <c r="A938" s="1" t="s">
        <v>132</v>
      </c>
      <c r="B938" s="1" t="s">
        <v>18664</v>
      </c>
      <c r="C938" s="1" t="s">
        <v>74</v>
      </c>
      <c r="D938" s="1" t="s">
        <v>74</v>
      </c>
      <c r="E938" s="1" t="s">
        <v>74</v>
      </c>
      <c r="F938" s="1" t="s">
        <v>18665</v>
      </c>
      <c r="G938" s="1" t="s">
        <v>74</v>
      </c>
      <c r="H938" s="1" t="s">
        <v>74</v>
      </c>
      <c r="I938" s="1" t="s">
        <v>18666</v>
      </c>
      <c r="J938" s="1" t="s">
        <v>5829</v>
      </c>
      <c r="K938" s="1" t="s">
        <v>74</v>
      </c>
      <c r="L938" s="1" t="s">
        <v>74</v>
      </c>
      <c r="M938" s="1" t="s">
        <v>80</v>
      </c>
      <c r="N938" s="1" t="s">
        <v>136</v>
      </c>
      <c r="O938" s="1" t="s">
        <v>74</v>
      </c>
      <c r="P938" s="1" t="s">
        <v>74</v>
      </c>
      <c r="Q938" s="1" t="s">
        <v>74</v>
      </c>
      <c r="R938" s="1" t="s">
        <v>74</v>
      </c>
      <c r="S938" s="1" t="s">
        <v>74</v>
      </c>
      <c r="T938" s="1" t="s">
        <v>18667</v>
      </c>
      <c r="U938" s="1" t="s">
        <v>18668</v>
      </c>
      <c r="V938" s="1" t="s">
        <v>18669</v>
      </c>
      <c r="W938" s="1" t="s">
        <v>18670</v>
      </c>
      <c r="X938" s="1" t="s">
        <v>18671</v>
      </c>
      <c r="Y938" s="1" t="s">
        <v>18672</v>
      </c>
      <c r="Z938" s="1" t="s">
        <v>74</v>
      </c>
      <c r="AA938" s="1" t="s">
        <v>18673</v>
      </c>
      <c r="AB938" s="1" t="s">
        <v>18674</v>
      </c>
      <c r="AC938" s="1" t="s">
        <v>18675</v>
      </c>
      <c r="AD938" s="1" t="s">
        <v>18676</v>
      </c>
      <c r="AE938" s="1" t="s">
        <v>3018</v>
      </c>
      <c r="AF938" s="1" t="s">
        <v>74</v>
      </c>
      <c r="AG938" s="1">
        <v>89.0</v>
      </c>
      <c r="AH938" s="1">
        <v>21.0</v>
      </c>
      <c r="AI938" s="1">
        <v>21.0</v>
      </c>
      <c r="AJ938" s="1">
        <v>163.0</v>
      </c>
      <c r="AK938" s="1">
        <v>263.0</v>
      </c>
      <c r="AL938" s="1" t="s">
        <v>595</v>
      </c>
      <c r="AM938" s="1" t="s">
        <v>467</v>
      </c>
      <c r="AN938" s="1" t="s">
        <v>596</v>
      </c>
      <c r="AO938" s="1" t="s">
        <v>5838</v>
      </c>
      <c r="AP938" s="1" t="s">
        <v>5839</v>
      </c>
      <c r="AQ938" s="1" t="s">
        <v>74</v>
      </c>
      <c r="AR938" s="1" t="s">
        <v>5840</v>
      </c>
      <c r="AS938" s="1" t="s">
        <v>5841</v>
      </c>
      <c r="AT938" s="1" t="s">
        <v>10528</v>
      </c>
      <c r="AU938" s="1">
        <v>2024.0</v>
      </c>
      <c r="AV938" s="1">
        <v>44.0</v>
      </c>
      <c r="AW938" s="1" t="s">
        <v>18677</v>
      </c>
      <c r="AX938" s="1" t="s">
        <v>74</v>
      </c>
      <c r="AY938" s="1" t="s">
        <v>74</v>
      </c>
      <c r="AZ938" s="1" t="s">
        <v>74</v>
      </c>
      <c r="BA938" s="1" t="s">
        <v>74</v>
      </c>
      <c r="BB938" s="1">
        <v>149.0</v>
      </c>
      <c r="BC938" s="1">
        <v>172.0</v>
      </c>
      <c r="BD938" s="1" t="s">
        <v>74</v>
      </c>
      <c r="BE938" s="1" t="s">
        <v>18678</v>
      </c>
      <c r="BF938" s="2" t="str">
        <f>HYPERLINK("http://dx.doi.org/10.1080/02642069.2024.2305451","http://dx.doi.org/10.1080/02642069.2024.2305451")</f>
        <v>http://dx.doi.org/10.1080/02642069.2024.2305451</v>
      </c>
      <c r="BG938" s="1" t="s">
        <v>74</v>
      </c>
      <c r="BH938" s="1" t="s">
        <v>8579</v>
      </c>
      <c r="BI938" s="1">
        <v>24.0</v>
      </c>
      <c r="BJ938" s="1" t="s">
        <v>1776</v>
      </c>
      <c r="BK938" s="1" t="s">
        <v>203</v>
      </c>
      <c r="BL938" s="1" t="s">
        <v>204</v>
      </c>
      <c r="BM938" s="1" t="s">
        <v>18679</v>
      </c>
      <c r="BN938" s="1" t="s">
        <v>74</v>
      </c>
      <c r="BO938" s="1" t="s">
        <v>632</v>
      </c>
      <c r="BP938" s="1" t="s">
        <v>74</v>
      </c>
      <c r="BQ938" s="1" t="s">
        <v>74</v>
      </c>
      <c r="BR938" s="1" t="s">
        <v>102</v>
      </c>
      <c r="BS938" s="1" t="s">
        <v>18680</v>
      </c>
      <c r="BT938" s="1" t="str">
        <f>HYPERLINK("https%3A%2F%2Fwww.webofscience.com%2Fwos%2Fwoscc%2Ffull-record%2FWOS:001151868300001","View Full Record in Web of Science")</f>
        <v>View Full Record in Web of Science</v>
      </c>
    </row>
    <row r="939" ht="12.75" customHeight="1">
      <c r="A939" s="1" t="s">
        <v>132</v>
      </c>
      <c r="B939" s="1" t="s">
        <v>18681</v>
      </c>
      <c r="C939" s="1" t="s">
        <v>74</v>
      </c>
      <c r="D939" s="1" t="s">
        <v>74</v>
      </c>
      <c r="E939" s="1" t="s">
        <v>74</v>
      </c>
      <c r="F939" s="1" t="s">
        <v>18682</v>
      </c>
      <c r="G939" s="1" t="s">
        <v>74</v>
      </c>
      <c r="H939" s="1" t="s">
        <v>74</v>
      </c>
      <c r="I939" s="1" t="s">
        <v>18683</v>
      </c>
      <c r="J939" s="1" t="s">
        <v>11925</v>
      </c>
      <c r="K939" s="1" t="s">
        <v>74</v>
      </c>
      <c r="L939" s="1" t="s">
        <v>74</v>
      </c>
      <c r="M939" s="1" t="s">
        <v>80</v>
      </c>
      <c r="N939" s="1" t="s">
        <v>136</v>
      </c>
      <c r="O939" s="1" t="s">
        <v>74</v>
      </c>
      <c r="P939" s="1" t="s">
        <v>74</v>
      </c>
      <c r="Q939" s="1" t="s">
        <v>74</v>
      </c>
      <c r="R939" s="1" t="s">
        <v>74</v>
      </c>
      <c r="S939" s="1" t="s">
        <v>74</v>
      </c>
      <c r="T939" s="1" t="s">
        <v>18684</v>
      </c>
      <c r="U939" s="1" t="s">
        <v>18685</v>
      </c>
      <c r="V939" s="1" t="s">
        <v>18686</v>
      </c>
      <c r="W939" s="1" t="s">
        <v>18687</v>
      </c>
      <c r="X939" s="1" t="s">
        <v>18688</v>
      </c>
      <c r="Y939" s="1" t="s">
        <v>18689</v>
      </c>
      <c r="Z939" s="1" t="s">
        <v>18690</v>
      </c>
      <c r="AA939" s="1" t="s">
        <v>74</v>
      </c>
      <c r="AB939" s="1" t="s">
        <v>18691</v>
      </c>
      <c r="AC939" s="1" t="s">
        <v>18692</v>
      </c>
      <c r="AD939" s="1" t="s">
        <v>18693</v>
      </c>
      <c r="AE939" s="1" t="s">
        <v>18694</v>
      </c>
      <c r="AF939" s="1" t="s">
        <v>74</v>
      </c>
      <c r="AG939" s="1">
        <v>30.0</v>
      </c>
      <c r="AH939" s="1">
        <v>1.0</v>
      </c>
      <c r="AI939" s="1">
        <v>1.0</v>
      </c>
      <c r="AJ939" s="1">
        <v>39.0</v>
      </c>
      <c r="AK939" s="1">
        <v>56.0</v>
      </c>
      <c r="AL939" s="1" t="s">
        <v>321</v>
      </c>
      <c r="AM939" s="1" t="s">
        <v>322</v>
      </c>
      <c r="AN939" s="1" t="s">
        <v>323</v>
      </c>
      <c r="AO939" s="1" t="s">
        <v>11936</v>
      </c>
      <c r="AP939" s="1" t="s">
        <v>11937</v>
      </c>
      <c r="AQ939" s="1" t="s">
        <v>74</v>
      </c>
      <c r="AR939" s="1" t="s">
        <v>11938</v>
      </c>
      <c r="AS939" s="1" t="s">
        <v>11939</v>
      </c>
      <c r="AT939" s="1" t="s">
        <v>328</v>
      </c>
      <c r="AU939" s="1">
        <v>2024.0</v>
      </c>
      <c r="AV939" s="1">
        <v>92.0</v>
      </c>
      <c r="AW939" s="1" t="s">
        <v>74</v>
      </c>
      <c r="AX939" s="1" t="s">
        <v>74</v>
      </c>
      <c r="AY939" s="1" t="s">
        <v>74</v>
      </c>
      <c r="AZ939" s="1" t="s">
        <v>74</v>
      </c>
      <c r="BA939" s="1" t="s">
        <v>74</v>
      </c>
      <c r="BB939" s="1" t="s">
        <v>74</v>
      </c>
      <c r="BC939" s="1" t="s">
        <v>74</v>
      </c>
      <c r="BD939" s="1">
        <v>101745.0</v>
      </c>
      <c r="BE939" s="1" t="s">
        <v>18695</v>
      </c>
      <c r="BF939" s="2" t="str">
        <f>HYPERLINK("http://dx.doi.org/10.1016/j.asieco.2024.101745","http://dx.doi.org/10.1016/j.asieco.2024.101745")</f>
        <v>http://dx.doi.org/10.1016/j.asieco.2024.101745</v>
      </c>
      <c r="BG939" s="1" t="s">
        <v>74</v>
      </c>
      <c r="BH939" s="1" t="s">
        <v>580</v>
      </c>
      <c r="BI939" s="1">
        <v>21.0</v>
      </c>
      <c r="BJ939" s="1" t="s">
        <v>202</v>
      </c>
      <c r="BK939" s="1" t="s">
        <v>203</v>
      </c>
      <c r="BL939" s="1" t="s">
        <v>204</v>
      </c>
      <c r="BM939" s="1" t="s">
        <v>18696</v>
      </c>
      <c r="BN939" s="1" t="s">
        <v>74</v>
      </c>
      <c r="BO939" s="1" t="s">
        <v>74</v>
      </c>
      <c r="BP939" s="1" t="s">
        <v>74</v>
      </c>
      <c r="BQ939" s="1" t="s">
        <v>74</v>
      </c>
      <c r="BR939" s="1" t="s">
        <v>102</v>
      </c>
      <c r="BS939" s="1" t="s">
        <v>18697</v>
      </c>
      <c r="BT939" s="1" t="str">
        <f>HYPERLINK("https%3A%2F%2Fwww.webofscience.com%2Fwos%2Fwoscc%2Ffull-record%2FWOS:001236793900001","View Full Record in Web of Science")</f>
        <v>View Full Record in Web of Science</v>
      </c>
    </row>
    <row r="940" ht="12.75" customHeight="1">
      <c r="A940" s="1" t="s">
        <v>132</v>
      </c>
      <c r="B940" s="1" t="s">
        <v>18698</v>
      </c>
      <c r="C940" s="1" t="s">
        <v>74</v>
      </c>
      <c r="D940" s="1" t="s">
        <v>74</v>
      </c>
      <c r="E940" s="1" t="s">
        <v>74</v>
      </c>
      <c r="F940" s="1" t="s">
        <v>18699</v>
      </c>
      <c r="G940" s="1" t="s">
        <v>74</v>
      </c>
      <c r="H940" s="1" t="s">
        <v>74</v>
      </c>
      <c r="I940" s="1" t="s">
        <v>18700</v>
      </c>
      <c r="J940" s="1" t="s">
        <v>18701</v>
      </c>
      <c r="K940" s="1" t="s">
        <v>74</v>
      </c>
      <c r="L940" s="1" t="s">
        <v>74</v>
      </c>
      <c r="M940" s="1" t="s">
        <v>80</v>
      </c>
      <c r="N940" s="1" t="s">
        <v>136</v>
      </c>
      <c r="O940" s="1" t="s">
        <v>74</v>
      </c>
      <c r="P940" s="1" t="s">
        <v>74</v>
      </c>
      <c r="Q940" s="1" t="s">
        <v>74</v>
      </c>
      <c r="R940" s="1" t="s">
        <v>74</v>
      </c>
      <c r="S940" s="1" t="s">
        <v>74</v>
      </c>
      <c r="T940" s="1" t="s">
        <v>18702</v>
      </c>
      <c r="U940" s="1" t="s">
        <v>18703</v>
      </c>
      <c r="V940" s="1" t="s">
        <v>18704</v>
      </c>
      <c r="W940" s="1" t="s">
        <v>18705</v>
      </c>
      <c r="X940" s="1" t="s">
        <v>18706</v>
      </c>
      <c r="Y940" s="1" t="s">
        <v>18707</v>
      </c>
      <c r="Z940" s="1" t="s">
        <v>18708</v>
      </c>
      <c r="AA940" s="1" t="s">
        <v>18709</v>
      </c>
      <c r="AB940" s="1" t="s">
        <v>18710</v>
      </c>
      <c r="AC940" s="1" t="s">
        <v>18711</v>
      </c>
      <c r="AD940" s="1" t="s">
        <v>18712</v>
      </c>
      <c r="AE940" s="1" t="s">
        <v>18713</v>
      </c>
      <c r="AF940" s="1" t="s">
        <v>74</v>
      </c>
      <c r="AG940" s="1">
        <v>50.0</v>
      </c>
      <c r="AH940" s="1">
        <v>1.0</v>
      </c>
      <c r="AI940" s="1">
        <v>1.0</v>
      </c>
      <c r="AJ940" s="1">
        <v>30.0</v>
      </c>
      <c r="AK940" s="1">
        <v>30.0</v>
      </c>
      <c r="AL940" s="1" t="s">
        <v>321</v>
      </c>
      <c r="AM940" s="1" t="s">
        <v>322</v>
      </c>
      <c r="AN940" s="1" t="s">
        <v>323</v>
      </c>
      <c r="AO940" s="1" t="s">
        <v>18714</v>
      </c>
      <c r="AP940" s="1" t="s">
        <v>74</v>
      </c>
      <c r="AQ940" s="1" t="s">
        <v>74</v>
      </c>
      <c r="AR940" s="1" t="s">
        <v>18715</v>
      </c>
      <c r="AS940" s="1" t="s">
        <v>18716</v>
      </c>
      <c r="AT940" s="1" t="s">
        <v>1709</v>
      </c>
      <c r="AU940" s="1">
        <v>2024.0</v>
      </c>
      <c r="AV940" s="1">
        <v>17.0</v>
      </c>
      <c r="AW940" s="1">
        <v>3.0</v>
      </c>
      <c r="AX940" s="1" t="s">
        <v>74</v>
      </c>
      <c r="AY940" s="1" t="s">
        <v>74</v>
      </c>
      <c r="AZ940" s="1" t="s">
        <v>74</v>
      </c>
      <c r="BA940" s="1" t="s">
        <v>74</v>
      </c>
      <c r="BB940" s="1" t="s">
        <v>74</v>
      </c>
      <c r="BC940" s="1" t="s">
        <v>74</v>
      </c>
      <c r="BD940" s="1">
        <v>100372.0</v>
      </c>
      <c r="BE940" s="1" t="s">
        <v>18717</v>
      </c>
      <c r="BF940" s="2" t="str">
        <f>HYPERLINK("http://dx.doi.org/10.1016/j.cjar.2024.100372","http://dx.doi.org/10.1016/j.cjar.2024.100372")</f>
        <v>http://dx.doi.org/10.1016/j.cjar.2024.100372</v>
      </c>
      <c r="BG940" s="1" t="s">
        <v>74</v>
      </c>
      <c r="BH940" s="1" t="s">
        <v>3349</v>
      </c>
      <c r="BI940" s="1">
        <v>22.0</v>
      </c>
      <c r="BJ940" s="1" t="s">
        <v>3350</v>
      </c>
      <c r="BK940" s="1" t="s">
        <v>172</v>
      </c>
      <c r="BL940" s="1" t="s">
        <v>204</v>
      </c>
      <c r="BM940" s="1" t="s">
        <v>18718</v>
      </c>
      <c r="BN940" s="1" t="s">
        <v>74</v>
      </c>
      <c r="BO940" s="1" t="s">
        <v>174</v>
      </c>
      <c r="BP940" s="1" t="s">
        <v>74</v>
      </c>
      <c r="BQ940" s="1" t="s">
        <v>74</v>
      </c>
      <c r="BR940" s="1" t="s">
        <v>102</v>
      </c>
      <c r="BS940" s="1" t="s">
        <v>18719</v>
      </c>
      <c r="BT940" s="1" t="str">
        <f>HYPERLINK("https%3A%2F%2Fwww.webofscience.com%2Fwos%2Fwoscc%2Ffull-record%2FWOS:001289328600001","View Full Record in Web of Science")</f>
        <v>View Full Record in Web of Science</v>
      </c>
    </row>
    <row r="941" ht="12.75" customHeight="1">
      <c r="A941" s="1" t="s">
        <v>132</v>
      </c>
      <c r="B941" s="1" t="s">
        <v>18720</v>
      </c>
      <c r="C941" s="1" t="s">
        <v>74</v>
      </c>
      <c r="D941" s="1" t="s">
        <v>74</v>
      </c>
      <c r="E941" s="1" t="s">
        <v>74</v>
      </c>
      <c r="F941" s="1" t="s">
        <v>18721</v>
      </c>
      <c r="G941" s="1" t="s">
        <v>74</v>
      </c>
      <c r="H941" s="1" t="s">
        <v>74</v>
      </c>
      <c r="I941" s="1" t="s">
        <v>18722</v>
      </c>
      <c r="J941" s="1" t="s">
        <v>263</v>
      </c>
      <c r="K941" s="1" t="s">
        <v>74</v>
      </c>
      <c r="L941" s="1" t="s">
        <v>74</v>
      </c>
      <c r="M941" s="1" t="s">
        <v>80</v>
      </c>
      <c r="N941" s="1" t="s">
        <v>136</v>
      </c>
      <c r="O941" s="1" t="s">
        <v>74</v>
      </c>
      <c r="P941" s="1" t="s">
        <v>74</v>
      </c>
      <c r="Q941" s="1" t="s">
        <v>74</v>
      </c>
      <c r="R941" s="1" t="s">
        <v>74</v>
      </c>
      <c r="S941" s="1" t="s">
        <v>74</v>
      </c>
      <c r="T941" s="1" t="s">
        <v>18723</v>
      </c>
      <c r="U941" s="1" t="s">
        <v>18724</v>
      </c>
      <c r="V941" s="1" t="s">
        <v>18725</v>
      </c>
      <c r="W941" s="1" t="s">
        <v>18726</v>
      </c>
      <c r="X941" s="1" t="s">
        <v>18727</v>
      </c>
      <c r="Y941" s="1" t="s">
        <v>18728</v>
      </c>
      <c r="Z941" s="1" t="s">
        <v>18729</v>
      </c>
      <c r="AA941" s="1" t="s">
        <v>74</v>
      </c>
      <c r="AB941" s="1" t="s">
        <v>18730</v>
      </c>
      <c r="AC941" s="1" t="s">
        <v>74</v>
      </c>
      <c r="AD941" s="1" t="s">
        <v>74</v>
      </c>
      <c r="AE941" s="1" t="s">
        <v>74</v>
      </c>
      <c r="AF941" s="1" t="s">
        <v>74</v>
      </c>
      <c r="AG941" s="1">
        <v>37.0</v>
      </c>
      <c r="AH941" s="1">
        <v>4.0</v>
      </c>
      <c r="AI941" s="1">
        <v>4.0</v>
      </c>
      <c r="AJ941" s="1">
        <v>16.0</v>
      </c>
      <c r="AK941" s="1">
        <v>52.0</v>
      </c>
      <c r="AL941" s="1" t="s">
        <v>275</v>
      </c>
      <c r="AM941" s="1" t="s">
        <v>276</v>
      </c>
      <c r="AN941" s="1" t="s">
        <v>277</v>
      </c>
      <c r="AO941" s="1" t="s">
        <v>74</v>
      </c>
      <c r="AP941" s="1" t="s">
        <v>278</v>
      </c>
      <c r="AQ941" s="1" t="s">
        <v>74</v>
      </c>
      <c r="AR941" s="1" t="s">
        <v>279</v>
      </c>
      <c r="AS941" s="1" t="s">
        <v>280</v>
      </c>
      <c r="AT941" s="1" t="s">
        <v>18731</v>
      </c>
      <c r="AU941" s="1">
        <v>2022.0</v>
      </c>
      <c r="AV941" s="1">
        <v>5.0</v>
      </c>
      <c r="AW941" s="1" t="s">
        <v>74</v>
      </c>
      <c r="AX941" s="1" t="s">
        <v>74</v>
      </c>
      <c r="AY941" s="1" t="s">
        <v>74</v>
      </c>
      <c r="AZ941" s="1" t="s">
        <v>74</v>
      </c>
      <c r="BA941" s="1" t="s">
        <v>74</v>
      </c>
      <c r="BB941" s="1" t="s">
        <v>74</v>
      </c>
      <c r="BC941" s="1" t="s">
        <v>74</v>
      </c>
      <c r="BD941" s="1">
        <v>868789.0</v>
      </c>
      <c r="BE941" s="1" t="s">
        <v>18732</v>
      </c>
      <c r="BF941" s="2" t="str">
        <f>HYPERLINK("http://dx.doi.org/10.3389/frai.2022.868789","http://dx.doi.org/10.3389/frai.2022.868789")</f>
        <v>http://dx.doi.org/10.3389/frai.2022.868789</v>
      </c>
      <c r="BG941" s="1" t="s">
        <v>74</v>
      </c>
      <c r="BH941" s="1" t="s">
        <v>74</v>
      </c>
      <c r="BI941" s="1">
        <v>14.0</v>
      </c>
      <c r="BJ941" s="1" t="s">
        <v>282</v>
      </c>
      <c r="BK941" s="1" t="s">
        <v>172</v>
      </c>
      <c r="BL941" s="1" t="s">
        <v>232</v>
      </c>
      <c r="BM941" s="1" t="s">
        <v>18733</v>
      </c>
      <c r="BN941" s="1">
        <v>3.559265E7</v>
      </c>
      <c r="BO941" s="1" t="s">
        <v>1161</v>
      </c>
      <c r="BP941" s="1" t="s">
        <v>74</v>
      </c>
      <c r="BQ941" s="1" t="s">
        <v>74</v>
      </c>
      <c r="BR941" s="1" t="s">
        <v>102</v>
      </c>
      <c r="BS941" s="1" t="s">
        <v>18734</v>
      </c>
      <c r="BT941" s="1" t="str">
        <f>HYPERLINK("https%3A%2F%2Fwww.webofscience.com%2Fwos%2Fwoscc%2Ffull-record%2FWOS:000913729900001","View Full Record in Web of Science")</f>
        <v>View Full Record in Web of Science</v>
      </c>
    </row>
    <row r="942" ht="12.75" customHeight="1">
      <c r="A942" s="1" t="s">
        <v>132</v>
      </c>
      <c r="B942" s="1" t="s">
        <v>18735</v>
      </c>
      <c r="C942" s="1" t="s">
        <v>74</v>
      </c>
      <c r="D942" s="1" t="s">
        <v>74</v>
      </c>
      <c r="E942" s="1" t="s">
        <v>74</v>
      </c>
      <c r="F942" s="1" t="s">
        <v>18736</v>
      </c>
      <c r="G942" s="1" t="s">
        <v>74</v>
      </c>
      <c r="H942" s="1" t="s">
        <v>74</v>
      </c>
      <c r="I942" s="1" t="s">
        <v>18737</v>
      </c>
      <c r="J942" s="1" t="s">
        <v>18738</v>
      </c>
      <c r="K942" s="1" t="s">
        <v>74</v>
      </c>
      <c r="L942" s="1" t="s">
        <v>74</v>
      </c>
      <c r="M942" s="1" t="s">
        <v>6419</v>
      </c>
      <c r="N942" s="1" t="s">
        <v>136</v>
      </c>
      <c r="O942" s="1" t="s">
        <v>74</v>
      </c>
      <c r="P942" s="1" t="s">
        <v>74</v>
      </c>
      <c r="Q942" s="1" t="s">
        <v>74</v>
      </c>
      <c r="R942" s="1" t="s">
        <v>74</v>
      </c>
      <c r="S942" s="1" t="s">
        <v>74</v>
      </c>
      <c r="T942" s="1" t="s">
        <v>18739</v>
      </c>
      <c r="U942" s="1" t="s">
        <v>18740</v>
      </c>
      <c r="V942" s="1" t="s">
        <v>18741</v>
      </c>
      <c r="W942" s="1" t="s">
        <v>18742</v>
      </c>
      <c r="X942" s="1" t="s">
        <v>18743</v>
      </c>
      <c r="Y942" s="1" t="s">
        <v>18744</v>
      </c>
      <c r="Z942" s="1" t="s">
        <v>18745</v>
      </c>
      <c r="AA942" s="1" t="s">
        <v>18746</v>
      </c>
      <c r="AB942" s="1" t="s">
        <v>74</v>
      </c>
      <c r="AC942" s="1" t="s">
        <v>74</v>
      </c>
      <c r="AD942" s="1" t="s">
        <v>74</v>
      </c>
      <c r="AE942" s="1" t="s">
        <v>74</v>
      </c>
      <c r="AF942" s="1" t="s">
        <v>74</v>
      </c>
      <c r="AG942" s="1">
        <v>92.0</v>
      </c>
      <c r="AH942" s="1">
        <v>0.0</v>
      </c>
      <c r="AI942" s="1">
        <v>0.0</v>
      </c>
      <c r="AJ942" s="1">
        <v>1.0</v>
      </c>
      <c r="AK942" s="1">
        <v>1.0</v>
      </c>
      <c r="AL942" s="1" t="s">
        <v>18747</v>
      </c>
      <c r="AM942" s="1" t="s">
        <v>18748</v>
      </c>
      <c r="AN942" s="1" t="s">
        <v>18749</v>
      </c>
      <c r="AO942" s="1" t="s">
        <v>18750</v>
      </c>
      <c r="AP942" s="1" t="s">
        <v>18751</v>
      </c>
      <c r="AQ942" s="1" t="s">
        <v>74</v>
      </c>
      <c r="AR942" s="1" t="s">
        <v>18752</v>
      </c>
      <c r="AS942" s="1" t="s">
        <v>18753</v>
      </c>
      <c r="AT942" s="1" t="s">
        <v>74</v>
      </c>
      <c r="AU942" s="1">
        <v>2024.0</v>
      </c>
      <c r="AV942" s="1">
        <v>38.0</v>
      </c>
      <c r="AW942" s="1">
        <v>4.0</v>
      </c>
      <c r="AX942" s="1" t="s">
        <v>74</v>
      </c>
      <c r="AY942" s="1" t="s">
        <v>74</v>
      </c>
      <c r="AZ942" s="1" t="s">
        <v>74</v>
      </c>
      <c r="BA942" s="1" t="s">
        <v>74</v>
      </c>
      <c r="BB942" s="1">
        <v>225.0</v>
      </c>
      <c r="BC942" s="1">
        <v>261.0</v>
      </c>
      <c r="BD942" s="1" t="s">
        <v>74</v>
      </c>
      <c r="BE942" s="1" t="s">
        <v>18754</v>
      </c>
      <c r="BF942" s="2" t="str">
        <f>HYPERLINK("http://dx.doi.org/10.24146/tk.1486759","http://dx.doi.org/10.24146/tk.1486759")</f>
        <v>http://dx.doi.org/10.24146/tk.1486759</v>
      </c>
      <c r="BG942" s="1" t="s">
        <v>74</v>
      </c>
      <c r="BH942" s="1" t="s">
        <v>74</v>
      </c>
      <c r="BI942" s="1">
        <v>37.0</v>
      </c>
      <c r="BJ942" s="1" t="s">
        <v>358</v>
      </c>
      <c r="BK942" s="1" t="s">
        <v>172</v>
      </c>
      <c r="BL942" s="1" t="s">
        <v>358</v>
      </c>
      <c r="BM942" s="1" t="s">
        <v>18755</v>
      </c>
      <c r="BN942" s="1" t="s">
        <v>74</v>
      </c>
      <c r="BO942" s="1" t="s">
        <v>174</v>
      </c>
      <c r="BP942" s="1" t="s">
        <v>74</v>
      </c>
      <c r="BQ942" s="1" t="s">
        <v>74</v>
      </c>
      <c r="BR942" s="1" t="s">
        <v>102</v>
      </c>
      <c r="BS942" s="1" t="s">
        <v>18756</v>
      </c>
      <c r="BT942" s="1" t="str">
        <f>HYPERLINK("https%3A%2F%2Fwww.webofscience.com%2Fwos%2Fwoscc%2Ffull-record%2FWOS:001394430100003","View Full Record in Web of Science")</f>
        <v>View Full Record in Web of Science</v>
      </c>
    </row>
    <row r="943" ht="12.75" customHeight="1">
      <c r="A943" s="1" t="s">
        <v>132</v>
      </c>
      <c r="B943" s="1" t="s">
        <v>18757</v>
      </c>
      <c r="C943" s="1" t="s">
        <v>74</v>
      </c>
      <c r="D943" s="1" t="s">
        <v>74</v>
      </c>
      <c r="E943" s="1" t="s">
        <v>74</v>
      </c>
      <c r="F943" s="1" t="s">
        <v>18758</v>
      </c>
      <c r="G943" s="1" t="s">
        <v>74</v>
      </c>
      <c r="H943" s="1" t="s">
        <v>74</v>
      </c>
      <c r="I943" s="1" t="s">
        <v>18759</v>
      </c>
      <c r="J943" s="1" t="s">
        <v>13113</v>
      </c>
      <c r="K943" s="1" t="s">
        <v>74</v>
      </c>
      <c r="L943" s="1" t="s">
        <v>74</v>
      </c>
      <c r="M943" s="1" t="s">
        <v>80</v>
      </c>
      <c r="N943" s="1" t="s">
        <v>136</v>
      </c>
      <c r="O943" s="1" t="s">
        <v>74</v>
      </c>
      <c r="P943" s="1" t="s">
        <v>74</v>
      </c>
      <c r="Q943" s="1" t="s">
        <v>74</v>
      </c>
      <c r="R943" s="1" t="s">
        <v>74</v>
      </c>
      <c r="S943" s="1" t="s">
        <v>74</v>
      </c>
      <c r="T943" s="1" t="s">
        <v>18760</v>
      </c>
      <c r="U943" s="1" t="s">
        <v>18761</v>
      </c>
      <c r="V943" s="1" t="s">
        <v>18762</v>
      </c>
      <c r="W943" s="1" t="s">
        <v>18763</v>
      </c>
      <c r="X943" s="1" t="s">
        <v>18764</v>
      </c>
      <c r="Y943" s="1" t="s">
        <v>18765</v>
      </c>
      <c r="Z943" s="1" t="s">
        <v>18766</v>
      </c>
      <c r="AA943" s="1" t="s">
        <v>18767</v>
      </c>
      <c r="AB943" s="1" t="s">
        <v>18768</v>
      </c>
      <c r="AC943" s="1" t="s">
        <v>18769</v>
      </c>
      <c r="AD943" s="1" t="s">
        <v>18770</v>
      </c>
      <c r="AE943" s="1" t="s">
        <v>18771</v>
      </c>
      <c r="AF943" s="1" t="s">
        <v>74</v>
      </c>
      <c r="AG943" s="1">
        <v>248.0</v>
      </c>
      <c r="AH943" s="1">
        <v>6.0</v>
      </c>
      <c r="AI943" s="1">
        <v>6.0</v>
      </c>
      <c r="AJ943" s="1">
        <v>30.0</v>
      </c>
      <c r="AK943" s="1">
        <v>48.0</v>
      </c>
      <c r="AL943" s="1" t="s">
        <v>1357</v>
      </c>
      <c r="AM943" s="1" t="s">
        <v>1358</v>
      </c>
      <c r="AN943" s="1" t="s">
        <v>1359</v>
      </c>
      <c r="AO943" s="1" t="s">
        <v>74</v>
      </c>
      <c r="AP943" s="1" t="s">
        <v>13125</v>
      </c>
      <c r="AQ943" s="1" t="s">
        <v>74</v>
      </c>
      <c r="AR943" s="1" t="s">
        <v>13126</v>
      </c>
      <c r="AS943" s="1" t="s">
        <v>13127</v>
      </c>
      <c r="AT943" s="1" t="s">
        <v>1364</v>
      </c>
      <c r="AU943" s="1">
        <v>2024.0</v>
      </c>
      <c r="AV943" s="1">
        <v>6.0</v>
      </c>
      <c r="AW943" s="1">
        <v>5.0</v>
      </c>
      <c r="AX943" s="1" t="s">
        <v>74</v>
      </c>
      <c r="AY943" s="1" t="s">
        <v>74</v>
      </c>
      <c r="AZ943" s="1" t="s">
        <v>74</v>
      </c>
      <c r="BA943" s="1" t="s">
        <v>74</v>
      </c>
      <c r="BB943" s="1" t="s">
        <v>74</v>
      </c>
      <c r="BC943" s="1" t="s">
        <v>74</v>
      </c>
      <c r="BD943" s="1" t="s">
        <v>74</v>
      </c>
      <c r="BE943" s="1" t="s">
        <v>18772</v>
      </c>
      <c r="BF943" s="2" t="str">
        <f>HYPERLINK("http://dx.doi.org/10.1002/aisy.202300268","http://dx.doi.org/10.1002/aisy.202300268")</f>
        <v>http://dx.doi.org/10.1002/aisy.202300268</v>
      </c>
      <c r="BG943" s="1" t="s">
        <v>74</v>
      </c>
      <c r="BH943" s="1" t="s">
        <v>580</v>
      </c>
      <c r="BI943" s="1">
        <v>25.0</v>
      </c>
      <c r="BJ943" s="1" t="s">
        <v>13129</v>
      </c>
      <c r="BK943" s="1" t="s">
        <v>149</v>
      </c>
      <c r="BL943" s="1" t="s">
        <v>13130</v>
      </c>
      <c r="BM943" s="1" t="s">
        <v>18773</v>
      </c>
      <c r="BN943" s="1" t="s">
        <v>74</v>
      </c>
      <c r="BO943" s="1" t="s">
        <v>74</v>
      </c>
      <c r="BP943" s="1" t="s">
        <v>74</v>
      </c>
      <c r="BQ943" s="1" t="s">
        <v>74</v>
      </c>
      <c r="BR943" s="1" t="s">
        <v>102</v>
      </c>
      <c r="BS943" s="1" t="s">
        <v>18774</v>
      </c>
      <c r="BT943" s="1" t="str">
        <f>HYPERLINK("https%3A%2F%2Fwww.webofscience.com%2Fwos%2Fwoscc%2Ffull-record%2FWOS:001205596000001","View Full Record in Web of Science")</f>
        <v>View Full Record in Web of Science</v>
      </c>
    </row>
    <row r="944" ht="12.75" customHeight="1">
      <c r="A944" s="1" t="s">
        <v>132</v>
      </c>
      <c r="B944" s="1" t="s">
        <v>18775</v>
      </c>
      <c r="C944" s="1" t="s">
        <v>74</v>
      </c>
      <c r="D944" s="1" t="s">
        <v>74</v>
      </c>
      <c r="E944" s="1" t="s">
        <v>74</v>
      </c>
      <c r="F944" s="1" t="s">
        <v>18776</v>
      </c>
      <c r="G944" s="1" t="s">
        <v>74</v>
      </c>
      <c r="H944" s="1" t="s">
        <v>74</v>
      </c>
      <c r="I944" s="1" t="s">
        <v>18777</v>
      </c>
      <c r="J944" s="1" t="s">
        <v>16655</v>
      </c>
      <c r="K944" s="1" t="s">
        <v>74</v>
      </c>
      <c r="L944" s="1" t="s">
        <v>74</v>
      </c>
      <c r="M944" s="1" t="s">
        <v>80</v>
      </c>
      <c r="N944" s="1" t="s">
        <v>136</v>
      </c>
      <c r="O944" s="1" t="s">
        <v>74</v>
      </c>
      <c r="P944" s="1" t="s">
        <v>74</v>
      </c>
      <c r="Q944" s="1" t="s">
        <v>74</v>
      </c>
      <c r="R944" s="1" t="s">
        <v>74</v>
      </c>
      <c r="S944" s="1" t="s">
        <v>74</v>
      </c>
      <c r="T944" s="1" t="s">
        <v>18778</v>
      </c>
      <c r="U944" s="1" t="s">
        <v>1938</v>
      </c>
      <c r="V944" s="1" t="s">
        <v>18779</v>
      </c>
      <c r="W944" s="1" t="s">
        <v>18780</v>
      </c>
      <c r="X944" s="1" t="s">
        <v>18781</v>
      </c>
      <c r="Y944" s="1" t="s">
        <v>18782</v>
      </c>
      <c r="Z944" s="1" t="s">
        <v>18783</v>
      </c>
      <c r="AA944" s="1" t="s">
        <v>74</v>
      </c>
      <c r="AB944" s="1" t="s">
        <v>18784</v>
      </c>
      <c r="AC944" s="1" t="s">
        <v>74</v>
      </c>
      <c r="AD944" s="1" t="s">
        <v>74</v>
      </c>
      <c r="AE944" s="1" t="s">
        <v>74</v>
      </c>
      <c r="AF944" s="1" t="s">
        <v>74</v>
      </c>
      <c r="AG944" s="1">
        <v>13.0</v>
      </c>
      <c r="AH944" s="1">
        <v>84.0</v>
      </c>
      <c r="AI944" s="1">
        <v>85.0</v>
      </c>
      <c r="AJ944" s="1">
        <v>3.0</v>
      </c>
      <c r="AK944" s="1">
        <v>28.0</v>
      </c>
      <c r="AL944" s="1" t="s">
        <v>3551</v>
      </c>
      <c r="AM944" s="1" t="s">
        <v>193</v>
      </c>
      <c r="AN944" s="1" t="s">
        <v>16928</v>
      </c>
      <c r="AO944" s="1" t="s">
        <v>16667</v>
      </c>
      <c r="AP944" s="1" t="s">
        <v>74</v>
      </c>
      <c r="AQ944" s="1" t="s">
        <v>74</v>
      </c>
      <c r="AR944" s="1" t="s">
        <v>16669</v>
      </c>
      <c r="AS944" s="1" t="s">
        <v>16670</v>
      </c>
      <c r="AT944" s="1" t="s">
        <v>1051</v>
      </c>
      <c r="AU944" s="1">
        <v>2018.0</v>
      </c>
      <c r="AV944" s="1">
        <v>15.0</v>
      </c>
      <c r="AW944" s="1">
        <v>12.0</v>
      </c>
      <c r="AX944" s="1" t="s">
        <v>74</v>
      </c>
      <c r="AY944" s="1" t="s">
        <v>74</v>
      </c>
      <c r="AZ944" s="1" t="s">
        <v>74</v>
      </c>
      <c r="BA944" s="1" t="s">
        <v>74</v>
      </c>
      <c r="BB944" s="1">
        <v>1753.0</v>
      </c>
      <c r="BC944" s="1">
        <v>1757.0</v>
      </c>
      <c r="BD944" s="1" t="s">
        <v>74</v>
      </c>
      <c r="BE944" s="1" t="s">
        <v>18785</v>
      </c>
      <c r="BF944" s="2" t="str">
        <f>HYPERLINK("http://dx.doi.org/10.1016/j.jacr.2017.12.021","http://dx.doi.org/10.1016/j.jacr.2017.12.021")</f>
        <v>http://dx.doi.org/10.1016/j.jacr.2017.12.021</v>
      </c>
      <c r="BG944" s="1" t="s">
        <v>74</v>
      </c>
      <c r="BH944" s="1" t="s">
        <v>74</v>
      </c>
      <c r="BI944" s="1">
        <v>5.0</v>
      </c>
      <c r="BJ944" s="1" t="s">
        <v>656</v>
      </c>
      <c r="BK944" s="1" t="s">
        <v>149</v>
      </c>
      <c r="BL944" s="1" t="s">
        <v>656</v>
      </c>
      <c r="BM944" s="1" t="s">
        <v>18786</v>
      </c>
      <c r="BN944" s="1">
        <v>2.9477289E7</v>
      </c>
      <c r="BO944" s="1" t="s">
        <v>74</v>
      </c>
      <c r="BP944" s="1" t="s">
        <v>74</v>
      </c>
      <c r="BQ944" s="1" t="s">
        <v>74</v>
      </c>
      <c r="BR944" s="1" t="s">
        <v>102</v>
      </c>
      <c r="BS944" s="1" t="s">
        <v>18787</v>
      </c>
      <c r="BT944" s="1" t="str">
        <f>HYPERLINK("https%3A%2F%2Fwww.webofscience.com%2Fwos%2Fwoscc%2Ffull-record%2FWOS:000452939000019","View Full Record in Web of Science")</f>
        <v>View Full Record in Web of Science</v>
      </c>
    </row>
    <row r="945" ht="12.75" customHeight="1">
      <c r="A945" s="1" t="s">
        <v>132</v>
      </c>
      <c r="B945" s="1" t="s">
        <v>18788</v>
      </c>
      <c r="C945" s="1" t="s">
        <v>74</v>
      </c>
      <c r="D945" s="1" t="s">
        <v>74</v>
      </c>
      <c r="E945" s="1" t="s">
        <v>74</v>
      </c>
      <c r="F945" s="1" t="s">
        <v>18789</v>
      </c>
      <c r="G945" s="1" t="s">
        <v>74</v>
      </c>
      <c r="H945" s="1" t="s">
        <v>74</v>
      </c>
      <c r="I945" s="1" t="s">
        <v>18790</v>
      </c>
      <c r="J945" s="1" t="s">
        <v>8174</v>
      </c>
      <c r="K945" s="1" t="s">
        <v>74</v>
      </c>
      <c r="L945" s="1" t="s">
        <v>74</v>
      </c>
      <c r="M945" s="1" t="s">
        <v>80</v>
      </c>
      <c r="N945" s="1" t="s">
        <v>136</v>
      </c>
      <c r="O945" s="1" t="s">
        <v>74</v>
      </c>
      <c r="P945" s="1" t="s">
        <v>74</v>
      </c>
      <c r="Q945" s="1" t="s">
        <v>74</v>
      </c>
      <c r="R945" s="1" t="s">
        <v>74</v>
      </c>
      <c r="S945" s="1" t="s">
        <v>74</v>
      </c>
      <c r="T945" s="1" t="s">
        <v>18791</v>
      </c>
      <c r="U945" s="1" t="s">
        <v>18792</v>
      </c>
      <c r="V945" s="1" t="s">
        <v>18793</v>
      </c>
      <c r="W945" s="1" t="s">
        <v>18794</v>
      </c>
      <c r="X945" s="1" t="s">
        <v>18795</v>
      </c>
      <c r="Y945" s="1" t="s">
        <v>18796</v>
      </c>
      <c r="Z945" s="1" t="s">
        <v>18797</v>
      </c>
      <c r="AA945" s="1" t="s">
        <v>18798</v>
      </c>
      <c r="AB945" s="1" t="s">
        <v>74</v>
      </c>
      <c r="AC945" s="1" t="s">
        <v>18799</v>
      </c>
      <c r="AD945" s="1" t="s">
        <v>5753</v>
      </c>
      <c r="AE945" s="1" t="s">
        <v>18800</v>
      </c>
      <c r="AF945" s="1" t="s">
        <v>74</v>
      </c>
      <c r="AG945" s="1">
        <v>80.0</v>
      </c>
      <c r="AH945" s="1">
        <v>16.0</v>
      </c>
      <c r="AI945" s="1">
        <v>16.0</v>
      </c>
      <c r="AJ945" s="1">
        <v>53.0</v>
      </c>
      <c r="AK945" s="1">
        <v>78.0</v>
      </c>
      <c r="AL945" s="1" t="s">
        <v>321</v>
      </c>
      <c r="AM945" s="1" t="s">
        <v>322</v>
      </c>
      <c r="AN945" s="1" t="s">
        <v>323</v>
      </c>
      <c r="AO945" s="1" t="s">
        <v>8184</v>
      </c>
      <c r="AP945" s="1" t="s">
        <v>8185</v>
      </c>
      <c r="AQ945" s="1" t="s">
        <v>74</v>
      </c>
      <c r="AR945" s="1" t="s">
        <v>8186</v>
      </c>
      <c r="AS945" s="1" t="s">
        <v>8187</v>
      </c>
      <c r="AT945" s="1" t="s">
        <v>1364</v>
      </c>
      <c r="AU945" s="1">
        <v>2024.0</v>
      </c>
      <c r="AV945" s="1">
        <v>133.0</v>
      </c>
      <c r="AW945" s="1" t="s">
        <v>74</v>
      </c>
      <c r="AX945" s="1" t="s">
        <v>74</v>
      </c>
      <c r="AY945" s="1" t="s">
        <v>74</v>
      </c>
      <c r="AZ945" s="1" t="s">
        <v>74</v>
      </c>
      <c r="BA945" s="1" t="s">
        <v>74</v>
      </c>
      <c r="BB945" s="1" t="s">
        <v>74</v>
      </c>
      <c r="BC945" s="1" t="s">
        <v>74</v>
      </c>
      <c r="BD945" s="1">
        <v>107493.0</v>
      </c>
      <c r="BE945" s="1" t="s">
        <v>18801</v>
      </c>
      <c r="BF945" s="2" t="str">
        <f>HYPERLINK("http://dx.doi.org/10.1016/j.eneco.2024.107493","http://dx.doi.org/10.1016/j.eneco.2024.107493")</f>
        <v>http://dx.doi.org/10.1016/j.eneco.2024.107493</v>
      </c>
      <c r="BG945" s="1" t="s">
        <v>74</v>
      </c>
      <c r="BH945" s="1" t="s">
        <v>2958</v>
      </c>
      <c r="BI945" s="1">
        <v>12.0</v>
      </c>
      <c r="BJ945" s="1" t="s">
        <v>202</v>
      </c>
      <c r="BK945" s="1" t="s">
        <v>203</v>
      </c>
      <c r="BL945" s="1" t="s">
        <v>204</v>
      </c>
      <c r="BM945" s="1" t="s">
        <v>18802</v>
      </c>
      <c r="BN945" s="1" t="s">
        <v>74</v>
      </c>
      <c r="BO945" s="1" t="s">
        <v>306</v>
      </c>
      <c r="BP945" s="1" t="s">
        <v>74</v>
      </c>
      <c r="BQ945" s="1" t="s">
        <v>74</v>
      </c>
      <c r="BR945" s="1" t="s">
        <v>102</v>
      </c>
      <c r="BS945" s="1" t="s">
        <v>18803</v>
      </c>
      <c r="BT945" s="1" t="str">
        <f>HYPERLINK("https%3A%2F%2Fwww.webofscience.com%2Fwos%2Fwoscc%2Ffull-record%2FWOS:001223061800001","View Full Record in Web of Science")</f>
        <v>View Full Record in Web of Science</v>
      </c>
    </row>
    <row r="946" ht="12.75" customHeight="1">
      <c r="A946" s="1" t="s">
        <v>132</v>
      </c>
      <c r="B946" s="1" t="s">
        <v>18804</v>
      </c>
      <c r="C946" s="1" t="s">
        <v>74</v>
      </c>
      <c r="D946" s="1" t="s">
        <v>74</v>
      </c>
      <c r="E946" s="1" t="s">
        <v>74</v>
      </c>
      <c r="F946" s="1" t="s">
        <v>18805</v>
      </c>
      <c r="G946" s="1" t="s">
        <v>74</v>
      </c>
      <c r="H946" s="1" t="s">
        <v>74</v>
      </c>
      <c r="I946" s="1" t="s">
        <v>18806</v>
      </c>
      <c r="J946" s="1" t="s">
        <v>1035</v>
      </c>
      <c r="K946" s="1" t="s">
        <v>74</v>
      </c>
      <c r="L946" s="1" t="s">
        <v>74</v>
      </c>
      <c r="M946" s="1" t="s">
        <v>80</v>
      </c>
      <c r="N946" s="1" t="s">
        <v>136</v>
      </c>
      <c r="O946" s="1" t="s">
        <v>74</v>
      </c>
      <c r="P946" s="1" t="s">
        <v>74</v>
      </c>
      <c r="Q946" s="1" t="s">
        <v>74</v>
      </c>
      <c r="R946" s="1" t="s">
        <v>74</v>
      </c>
      <c r="S946" s="1" t="s">
        <v>74</v>
      </c>
      <c r="T946" s="1" t="s">
        <v>18807</v>
      </c>
      <c r="U946" s="1" t="s">
        <v>74</v>
      </c>
      <c r="V946" s="1" t="s">
        <v>18808</v>
      </c>
      <c r="W946" s="1" t="s">
        <v>18809</v>
      </c>
      <c r="X946" s="1" t="s">
        <v>18810</v>
      </c>
      <c r="Y946" s="1" t="s">
        <v>18811</v>
      </c>
      <c r="Z946" s="1" t="s">
        <v>18812</v>
      </c>
      <c r="AA946" s="1" t="s">
        <v>18813</v>
      </c>
      <c r="AB946" s="1" t="s">
        <v>18814</v>
      </c>
      <c r="AC946" s="1" t="s">
        <v>74</v>
      </c>
      <c r="AD946" s="1" t="s">
        <v>74</v>
      </c>
      <c r="AE946" s="1" t="s">
        <v>74</v>
      </c>
      <c r="AF946" s="1" t="s">
        <v>74</v>
      </c>
      <c r="AG946" s="1">
        <v>40.0</v>
      </c>
      <c r="AH946" s="1">
        <v>7.0</v>
      </c>
      <c r="AI946" s="1">
        <v>9.0</v>
      </c>
      <c r="AJ946" s="1">
        <v>19.0</v>
      </c>
      <c r="AK946" s="1">
        <v>150.0</v>
      </c>
      <c r="AL946" s="1" t="s">
        <v>1044</v>
      </c>
      <c r="AM946" s="1" t="s">
        <v>1045</v>
      </c>
      <c r="AN946" s="1" t="s">
        <v>1046</v>
      </c>
      <c r="AO946" s="1" t="s">
        <v>1048</v>
      </c>
      <c r="AP946" s="1" t="s">
        <v>74</v>
      </c>
      <c r="AQ946" s="1" t="s">
        <v>74</v>
      </c>
      <c r="AR946" s="1" t="s">
        <v>1049</v>
      </c>
      <c r="AS946" s="1" t="s">
        <v>1050</v>
      </c>
      <c r="AT946" s="1" t="s">
        <v>1253</v>
      </c>
      <c r="AU946" s="1">
        <v>2022.0</v>
      </c>
      <c r="AV946" s="1">
        <v>13.0</v>
      </c>
      <c r="AW946" s="1">
        <v>1.0</v>
      </c>
      <c r="AX946" s="1" t="s">
        <v>74</v>
      </c>
      <c r="AY946" s="1">
        <v>1.0</v>
      </c>
      <c r="AZ946" s="1" t="s">
        <v>74</v>
      </c>
      <c r="BA946" s="1" t="s">
        <v>74</v>
      </c>
      <c r="BB946" s="1">
        <v>339.0</v>
      </c>
      <c r="BC946" s="1">
        <v>356.0</v>
      </c>
      <c r="BD946" s="1" t="s">
        <v>74</v>
      </c>
      <c r="BE946" s="1" t="s">
        <v>18815</v>
      </c>
      <c r="BF946" s="2" t="str">
        <f>HYPERLINK("http://dx.doi.org/10.18662/brain/13.1Sup1/322","http://dx.doi.org/10.18662/brain/13.1Sup1/322")</f>
        <v>http://dx.doi.org/10.18662/brain/13.1Sup1/322</v>
      </c>
      <c r="BG946" s="1" t="s">
        <v>74</v>
      </c>
      <c r="BH946" s="1" t="s">
        <v>74</v>
      </c>
      <c r="BI946" s="1">
        <v>18.0</v>
      </c>
      <c r="BJ946" s="1" t="s">
        <v>1053</v>
      </c>
      <c r="BK946" s="1" t="s">
        <v>172</v>
      </c>
      <c r="BL946" s="1" t="s">
        <v>1054</v>
      </c>
      <c r="BM946" s="1" t="s">
        <v>18816</v>
      </c>
      <c r="BN946" s="1" t="s">
        <v>74</v>
      </c>
      <c r="BO946" s="1" t="s">
        <v>174</v>
      </c>
      <c r="BP946" s="1" t="s">
        <v>74</v>
      </c>
      <c r="BQ946" s="1" t="s">
        <v>74</v>
      </c>
      <c r="BR946" s="1" t="s">
        <v>102</v>
      </c>
      <c r="BS946" s="1" t="s">
        <v>18817</v>
      </c>
      <c r="BT946" s="1" t="str">
        <f>HYPERLINK("https%3A%2F%2Fwww.webofscience.com%2Fwos%2Fwoscc%2Ffull-record%2FWOS:000820126200019","View Full Record in Web of Science")</f>
        <v>View Full Record in Web of Science</v>
      </c>
    </row>
    <row r="947" ht="12.75" customHeight="1">
      <c r="A947" s="1" t="s">
        <v>132</v>
      </c>
      <c r="B947" s="1" t="s">
        <v>18818</v>
      </c>
      <c r="C947" s="1" t="s">
        <v>74</v>
      </c>
      <c r="D947" s="1" t="s">
        <v>74</v>
      </c>
      <c r="E947" s="1" t="s">
        <v>74</v>
      </c>
      <c r="F947" s="1" t="s">
        <v>18819</v>
      </c>
      <c r="G947" s="1" t="s">
        <v>74</v>
      </c>
      <c r="H947" s="1" t="s">
        <v>74</v>
      </c>
      <c r="I947" s="1" t="s">
        <v>18820</v>
      </c>
      <c r="J947" s="1" t="s">
        <v>3329</v>
      </c>
      <c r="K947" s="1" t="s">
        <v>74</v>
      </c>
      <c r="L947" s="1" t="s">
        <v>74</v>
      </c>
      <c r="M947" s="1" t="s">
        <v>80</v>
      </c>
      <c r="N947" s="1" t="s">
        <v>1010</v>
      </c>
      <c r="O947" s="1" t="s">
        <v>74</v>
      </c>
      <c r="P947" s="1" t="s">
        <v>74</v>
      </c>
      <c r="Q947" s="1" t="s">
        <v>74</v>
      </c>
      <c r="R947" s="1" t="s">
        <v>74</v>
      </c>
      <c r="S947" s="1" t="s">
        <v>74</v>
      </c>
      <c r="T947" s="1" t="s">
        <v>18821</v>
      </c>
      <c r="U947" s="1" t="s">
        <v>18822</v>
      </c>
      <c r="V947" s="1" t="s">
        <v>18823</v>
      </c>
      <c r="W947" s="1" t="s">
        <v>18824</v>
      </c>
      <c r="X947" s="1" t="s">
        <v>18825</v>
      </c>
      <c r="Y947" s="1" t="s">
        <v>18826</v>
      </c>
      <c r="Z947" s="1" t="s">
        <v>18827</v>
      </c>
      <c r="AA947" s="1" t="s">
        <v>18828</v>
      </c>
      <c r="AB947" s="1" t="s">
        <v>18829</v>
      </c>
      <c r="AC947" s="1" t="s">
        <v>18830</v>
      </c>
      <c r="AD947" s="1" t="s">
        <v>18831</v>
      </c>
      <c r="AE947" s="1" t="s">
        <v>18832</v>
      </c>
      <c r="AF947" s="1" t="s">
        <v>74</v>
      </c>
      <c r="AG947" s="1">
        <v>44.0</v>
      </c>
      <c r="AH947" s="1">
        <v>10.0</v>
      </c>
      <c r="AI947" s="1">
        <v>10.0</v>
      </c>
      <c r="AJ947" s="1">
        <v>42.0</v>
      </c>
      <c r="AK947" s="1">
        <v>130.0</v>
      </c>
      <c r="AL947" s="1" t="s">
        <v>3341</v>
      </c>
      <c r="AM947" s="1" t="s">
        <v>2426</v>
      </c>
      <c r="AN947" s="1" t="s">
        <v>3342</v>
      </c>
      <c r="AO947" s="1" t="s">
        <v>3343</v>
      </c>
      <c r="AP947" s="1" t="s">
        <v>3344</v>
      </c>
      <c r="AQ947" s="1" t="s">
        <v>74</v>
      </c>
      <c r="AR947" s="1" t="s">
        <v>3345</v>
      </c>
      <c r="AS947" s="1" t="s">
        <v>3346</v>
      </c>
      <c r="AT947" s="1" t="s">
        <v>1709</v>
      </c>
      <c r="AU947" s="1">
        <v>2023.0</v>
      </c>
      <c r="AV947" s="1">
        <v>56.0</v>
      </c>
      <c r="AW947" s="1" t="s">
        <v>74</v>
      </c>
      <c r="AX947" s="1" t="s">
        <v>74</v>
      </c>
      <c r="AY947" s="1" t="s">
        <v>74</v>
      </c>
      <c r="AZ947" s="1" t="s">
        <v>74</v>
      </c>
      <c r="BA947" s="1" t="s">
        <v>74</v>
      </c>
      <c r="BB947" s="1" t="s">
        <v>74</v>
      </c>
      <c r="BC947" s="1" t="s">
        <v>74</v>
      </c>
      <c r="BD947" s="1">
        <v>104145.0</v>
      </c>
      <c r="BE947" s="1" t="s">
        <v>18833</v>
      </c>
      <c r="BF947" s="2" t="str">
        <f>HYPERLINK("http://dx.doi.org/10.1016/j.frl.2023.104145","http://dx.doi.org/10.1016/j.frl.2023.104145")</f>
        <v>http://dx.doi.org/10.1016/j.frl.2023.104145</v>
      </c>
      <c r="BG947" s="1" t="s">
        <v>74</v>
      </c>
      <c r="BH947" s="1" t="s">
        <v>4124</v>
      </c>
      <c r="BI947" s="1">
        <v>10.0</v>
      </c>
      <c r="BJ947" s="1" t="s">
        <v>3350</v>
      </c>
      <c r="BK947" s="1" t="s">
        <v>203</v>
      </c>
      <c r="BL947" s="1" t="s">
        <v>204</v>
      </c>
      <c r="BM947" s="1" t="s">
        <v>18834</v>
      </c>
      <c r="BN947" s="1" t="s">
        <v>74</v>
      </c>
      <c r="BO947" s="1" t="s">
        <v>74</v>
      </c>
      <c r="BP947" s="1" t="s">
        <v>74</v>
      </c>
      <c r="BQ947" s="1" t="s">
        <v>74</v>
      </c>
      <c r="BR947" s="1" t="s">
        <v>102</v>
      </c>
      <c r="BS947" s="1" t="s">
        <v>18835</v>
      </c>
      <c r="BT947" s="1" t="str">
        <f>HYPERLINK("https%3A%2F%2Fwww.webofscience.com%2Fwos%2Fwoscc%2Ffull-record%2FWOS:001038379000001","View Full Record in Web of Science")</f>
        <v>View Full Record in Web of Science</v>
      </c>
    </row>
    <row r="948" ht="12.75" customHeight="1">
      <c r="A948" s="1" t="s">
        <v>132</v>
      </c>
      <c r="B948" s="1" t="s">
        <v>18836</v>
      </c>
      <c r="C948" s="1" t="s">
        <v>74</v>
      </c>
      <c r="D948" s="1" t="s">
        <v>74</v>
      </c>
      <c r="E948" s="1" t="s">
        <v>74</v>
      </c>
      <c r="F948" s="1" t="s">
        <v>18837</v>
      </c>
      <c r="G948" s="1" t="s">
        <v>74</v>
      </c>
      <c r="H948" s="1" t="s">
        <v>74</v>
      </c>
      <c r="I948" s="1" t="s">
        <v>18838</v>
      </c>
      <c r="J948" s="1" t="s">
        <v>1602</v>
      </c>
      <c r="K948" s="1" t="s">
        <v>74</v>
      </c>
      <c r="L948" s="1" t="s">
        <v>74</v>
      </c>
      <c r="M948" s="1" t="s">
        <v>80</v>
      </c>
      <c r="N948" s="1" t="s">
        <v>136</v>
      </c>
      <c r="O948" s="1" t="s">
        <v>74</v>
      </c>
      <c r="P948" s="1" t="s">
        <v>74</v>
      </c>
      <c r="Q948" s="1" t="s">
        <v>74</v>
      </c>
      <c r="R948" s="1" t="s">
        <v>74</v>
      </c>
      <c r="S948" s="1" t="s">
        <v>74</v>
      </c>
      <c r="T948" s="1" t="s">
        <v>18839</v>
      </c>
      <c r="U948" s="1" t="s">
        <v>74</v>
      </c>
      <c r="V948" s="1" t="s">
        <v>18840</v>
      </c>
      <c r="W948" s="1" t="s">
        <v>18841</v>
      </c>
      <c r="X948" s="1" t="s">
        <v>18842</v>
      </c>
      <c r="Y948" s="1" t="s">
        <v>18843</v>
      </c>
      <c r="Z948" s="1" t="s">
        <v>18844</v>
      </c>
      <c r="AA948" s="1" t="s">
        <v>18845</v>
      </c>
      <c r="AB948" s="1" t="s">
        <v>18846</v>
      </c>
      <c r="AC948" s="1" t="s">
        <v>18847</v>
      </c>
      <c r="AD948" s="1" t="s">
        <v>18848</v>
      </c>
      <c r="AE948" s="1" t="s">
        <v>18849</v>
      </c>
      <c r="AF948" s="1" t="s">
        <v>74</v>
      </c>
      <c r="AG948" s="1">
        <v>35.0</v>
      </c>
      <c r="AH948" s="1">
        <v>0.0</v>
      </c>
      <c r="AI948" s="1">
        <v>0.0</v>
      </c>
      <c r="AJ948" s="1">
        <v>10.0</v>
      </c>
      <c r="AK948" s="1">
        <v>10.0</v>
      </c>
      <c r="AL948" s="1" t="s">
        <v>1612</v>
      </c>
      <c r="AM948" s="1" t="s">
        <v>1613</v>
      </c>
      <c r="AN948" s="1" t="s">
        <v>1614</v>
      </c>
      <c r="AO948" s="1" t="s">
        <v>1615</v>
      </c>
      <c r="AP948" s="1" t="s">
        <v>74</v>
      </c>
      <c r="AQ948" s="1" t="s">
        <v>74</v>
      </c>
      <c r="AR948" s="1" t="s">
        <v>1602</v>
      </c>
      <c r="AS948" s="1" t="s">
        <v>1616</v>
      </c>
      <c r="AT948" s="1" t="s">
        <v>74</v>
      </c>
      <c r="AU948" s="1">
        <v>2024.0</v>
      </c>
      <c r="AV948" s="1">
        <v>12.0</v>
      </c>
      <c r="AW948" s="1" t="s">
        <v>74</v>
      </c>
      <c r="AX948" s="1" t="s">
        <v>74</v>
      </c>
      <c r="AY948" s="1" t="s">
        <v>74</v>
      </c>
      <c r="AZ948" s="1" t="s">
        <v>74</v>
      </c>
      <c r="BA948" s="1" t="s">
        <v>74</v>
      </c>
      <c r="BB948" s="1">
        <v>129765.0</v>
      </c>
      <c r="BC948" s="1">
        <v>129775.0</v>
      </c>
      <c r="BD948" s="1" t="s">
        <v>74</v>
      </c>
      <c r="BE948" s="1" t="s">
        <v>18850</v>
      </c>
      <c r="BF948" s="2" t="str">
        <f>HYPERLINK("http://dx.doi.org/10.1109/ACCESS.2024.3454801","http://dx.doi.org/10.1109/ACCESS.2024.3454801")</f>
        <v>http://dx.doi.org/10.1109/ACCESS.2024.3454801</v>
      </c>
      <c r="BG948" s="1" t="s">
        <v>74</v>
      </c>
      <c r="BH948" s="1" t="s">
        <v>74</v>
      </c>
      <c r="BI948" s="1">
        <v>11.0</v>
      </c>
      <c r="BJ948" s="1" t="s">
        <v>1618</v>
      </c>
      <c r="BK948" s="1" t="s">
        <v>149</v>
      </c>
      <c r="BL948" s="1" t="s">
        <v>1619</v>
      </c>
      <c r="BM948" s="1" t="s">
        <v>18851</v>
      </c>
      <c r="BN948" s="1" t="s">
        <v>74</v>
      </c>
      <c r="BO948" s="1" t="s">
        <v>174</v>
      </c>
      <c r="BP948" s="1" t="s">
        <v>74</v>
      </c>
      <c r="BQ948" s="1" t="s">
        <v>74</v>
      </c>
      <c r="BR948" s="1" t="s">
        <v>102</v>
      </c>
      <c r="BS948" s="1" t="s">
        <v>18852</v>
      </c>
      <c r="BT948" s="1" t="str">
        <f>HYPERLINK("https%3A%2F%2Fwww.webofscience.com%2Fwos%2Fwoscc%2Ffull-record%2FWOS:001320485800001","View Full Record in Web of Science")</f>
        <v>View Full Record in Web of Science</v>
      </c>
    </row>
    <row r="949" ht="12.75" customHeight="1">
      <c r="A949" s="1" t="s">
        <v>132</v>
      </c>
      <c r="B949" s="1" t="s">
        <v>18853</v>
      </c>
      <c r="C949" s="1" t="s">
        <v>74</v>
      </c>
      <c r="D949" s="1" t="s">
        <v>74</v>
      </c>
      <c r="E949" s="1" t="s">
        <v>74</v>
      </c>
      <c r="F949" s="1" t="s">
        <v>18854</v>
      </c>
      <c r="G949" s="1" t="s">
        <v>74</v>
      </c>
      <c r="H949" s="1" t="s">
        <v>74</v>
      </c>
      <c r="I949" s="1" t="s">
        <v>18855</v>
      </c>
      <c r="J949" s="1" t="s">
        <v>18856</v>
      </c>
      <c r="K949" s="1" t="s">
        <v>74</v>
      </c>
      <c r="L949" s="1" t="s">
        <v>74</v>
      </c>
      <c r="M949" s="1" t="s">
        <v>80</v>
      </c>
      <c r="N949" s="1" t="s">
        <v>136</v>
      </c>
      <c r="O949" s="1" t="s">
        <v>74</v>
      </c>
      <c r="P949" s="1" t="s">
        <v>74</v>
      </c>
      <c r="Q949" s="1" t="s">
        <v>74</v>
      </c>
      <c r="R949" s="1" t="s">
        <v>74</v>
      </c>
      <c r="S949" s="1" t="s">
        <v>74</v>
      </c>
      <c r="T949" s="1" t="s">
        <v>18857</v>
      </c>
      <c r="U949" s="1" t="s">
        <v>74</v>
      </c>
      <c r="V949" s="1" t="s">
        <v>18858</v>
      </c>
      <c r="W949" s="1" t="s">
        <v>18859</v>
      </c>
      <c r="X949" s="1" t="s">
        <v>18860</v>
      </c>
      <c r="Y949" s="1" t="s">
        <v>18861</v>
      </c>
      <c r="Z949" s="1" t="s">
        <v>18862</v>
      </c>
      <c r="AA949" s="1" t="s">
        <v>18863</v>
      </c>
      <c r="AB949" s="1" t="s">
        <v>18864</v>
      </c>
      <c r="AC949" s="1" t="s">
        <v>18865</v>
      </c>
      <c r="AD949" s="1" t="s">
        <v>18866</v>
      </c>
      <c r="AE949" s="1" t="s">
        <v>18867</v>
      </c>
      <c r="AF949" s="1" t="s">
        <v>74</v>
      </c>
      <c r="AG949" s="1">
        <v>23.0</v>
      </c>
      <c r="AH949" s="1">
        <v>51.0</v>
      </c>
      <c r="AI949" s="1">
        <v>54.0</v>
      </c>
      <c r="AJ949" s="1">
        <v>13.0</v>
      </c>
      <c r="AK949" s="1">
        <v>68.0</v>
      </c>
      <c r="AL949" s="1" t="s">
        <v>1020</v>
      </c>
      <c r="AM949" s="1" t="s">
        <v>1021</v>
      </c>
      <c r="AN949" s="1" t="s">
        <v>1022</v>
      </c>
      <c r="AO949" s="1" t="s">
        <v>18868</v>
      </c>
      <c r="AP949" s="1" t="s">
        <v>18869</v>
      </c>
      <c r="AQ949" s="1" t="s">
        <v>74</v>
      </c>
      <c r="AR949" s="1" t="s">
        <v>18870</v>
      </c>
      <c r="AS949" s="1" t="s">
        <v>18871</v>
      </c>
      <c r="AT949" s="1" t="s">
        <v>199</v>
      </c>
      <c r="AU949" s="1">
        <v>2020.0</v>
      </c>
      <c r="AV949" s="1">
        <v>48.0</v>
      </c>
      <c r="AW949" s="1">
        <v>11.0</v>
      </c>
      <c r="AX949" s="1" t="s">
        <v>74</v>
      </c>
      <c r="AY949" s="1" t="s">
        <v>74</v>
      </c>
      <c r="AZ949" s="1" t="s">
        <v>74</v>
      </c>
      <c r="BA949" s="1" t="s">
        <v>74</v>
      </c>
      <c r="BB949" s="1" t="s">
        <v>18872</v>
      </c>
      <c r="BC949" s="1" t="s">
        <v>18873</v>
      </c>
      <c r="BD949" s="1" t="s">
        <v>74</v>
      </c>
      <c r="BE949" s="1" t="s">
        <v>18874</v>
      </c>
      <c r="BF949" s="2" t="str">
        <f>HYPERLINK("http://dx.doi.org/10.1097/CCM.0000000000004550","http://dx.doi.org/10.1097/CCM.0000000000004550")</f>
        <v>http://dx.doi.org/10.1097/CCM.0000000000004550</v>
      </c>
      <c r="BG949" s="1" t="s">
        <v>74</v>
      </c>
      <c r="BH949" s="1" t="s">
        <v>74</v>
      </c>
      <c r="BI949" s="1">
        <v>6.0</v>
      </c>
      <c r="BJ949" s="1" t="s">
        <v>18875</v>
      </c>
      <c r="BK949" s="1" t="s">
        <v>149</v>
      </c>
      <c r="BL949" s="1" t="s">
        <v>1159</v>
      </c>
      <c r="BM949" s="1" t="s">
        <v>18876</v>
      </c>
      <c r="BN949" s="1">
        <v>3.2885937E7</v>
      </c>
      <c r="BO949" s="1" t="s">
        <v>74</v>
      </c>
      <c r="BP949" s="1" t="s">
        <v>74</v>
      </c>
      <c r="BQ949" s="1" t="s">
        <v>74</v>
      </c>
      <c r="BR949" s="1" t="s">
        <v>102</v>
      </c>
      <c r="BS949" s="1" t="s">
        <v>18877</v>
      </c>
      <c r="BT949" s="1" t="str">
        <f>HYPERLINK("https%3A%2F%2Fwww.webofscience.com%2Fwos%2Fwoscc%2Ffull-record%2FWOS:000576935300013","View Full Record in Web of Science")</f>
        <v>View Full Record in Web of Science</v>
      </c>
    </row>
    <row r="950" ht="12.75" customHeight="1">
      <c r="A950" s="1" t="s">
        <v>132</v>
      </c>
      <c r="B950" s="1" t="s">
        <v>18878</v>
      </c>
      <c r="C950" s="1" t="s">
        <v>74</v>
      </c>
      <c r="D950" s="1" t="s">
        <v>74</v>
      </c>
      <c r="E950" s="1" t="s">
        <v>74</v>
      </c>
      <c r="F950" s="1" t="s">
        <v>18879</v>
      </c>
      <c r="G950" s="1" t="s">
        <v>74</v>
      </c>
      <c r="H950" s="1" t="s">
        <v>74</v>
      </c>
      <c r="I950" s="1" t="s">
        <v>18880</v>
      </c>
      <c r="J950" s="1" t="s">
        <v>18881</v>
      </c>
      <c r="K950" s="1" t="s">
        <v>74</v>
      </c>
      <c r="L950" s="1" t="s">
        <v>74</v>
      </c>
      <c r="M950" s="1" t="s">
        <v>80</v>
      </c>
      <c r="N950" s="1" t="s">
        <v>1010</v>
      </c>
      <c r="O950" s="1" t="s">
        <v>74</v>
      </c>
      <c r="P950" s="1" t="s">
        <v>74</v>
      </c>
      <c r="Q950" s="1" t="s">
        <v>74</v>
      </c>
      <c r="R950" s="1" t="s">
        <v>74</v>
      </c>
      <c r="S950" s="1" t="s">
        <v>74</v>
      </c>
      <c r="T950" s="1" t="s">
        <v>18882</v>
      </c>
      <c r="U950" s="1" t="s">
        <v>18883</v>
      </c>
      <c r="V950" s="1" t="s">
        <v>18884</v>
      </c>
      <c r="W950" s="1" t="s">
        <v>18885</v>
      </c>
      <c r="X950" s="1" t="s">
        <v>18886</v>
      </c>
      <c r="Y950" s="1" t="s">
        <v>18887</v>
      </c>
      <c r="Z950" s="1" t="s">
        <v>18888</v>
      </c>
      <c r="AA950" s="1" t="s">
        <v>74</v>
      </c>
      <c r="AB950" s="1" t="s">
        <v>18889</v>
      </c>
      <c r="AC950" s="1" t="s">
        <v>18890</v>
      </c>
      <c r="AD950" s="1" t="s">
        <v>18891</v>
      </c>
      <c r="AE950" s="1" t="s">
        <v>18892</v>
      </c>
      <c r="AF950" s="1" t="s">
        <v>74</v>
      </c>
      <c r="AG950" s="1">
        <v>36.0</v>
      </c>
      <c r="AH950" s="1">
        <v>5.0</v>
      </c>
      <c r="AI950" s="1">
        <v>5.0</v>
      </c>
      <c r="AJ950" s="1">
        <v>8.0</v>
      </c>
      <c r="AK950" s="1">
        <v>24.0</v>
      </c>
      <c r="AL950" s="1" t="s">
        <v>192</v>
      </c>
      <c r="AM950" s="1" t="s">
        <v>193</v>
      </c>
      <c r="AN950" s="1" t="s">
        <v>194</v>
      </c>
      <c r="AO950" s="1" t="s">
        <v>18893</v>
      </c>
      <c r="AP950" s="1" t="s">
        <v>18894</v>
      </c>
      <c r="AQ950" s="1" t="s">
        <v>74</v>
      </c>
      <c r="AR950" s="1" t="s">
        <v>18895</v>
      </c>
      <c r="AS950" s="1" t="s">
        <v>18896</v>
      </c>
      <c r="AT950" s="1" t="s">
        <v>1051</v>
      </c>
      <c r="AU950" s="1">
        <v>2023.0</v>
      </c>
      <c r="AV950" s="1">
        <v>33.0</v>
      </c>
      <c r="AW950" s="1">
        <v>12.0</v>
      </c>
      <c r="AX950" s="1" t="s">
        <v>74</v>
      </c>
      <c r="AY950" s="1" t="s">
        <v>74</v>
      </c>
      <c r="AZ950" s="1" t="s">
        <v>74</v>
      </c>
      <c r="BA950" s="1" t="s">
        <v>74</v>
      </c>
      <c r="BB950" s="1">
        <v>8833.0</v>
      </c>
      <c r="BC950" s="1">
        <v>8841.0</v>
      </c>
      <c r="BD950" s="1" t="s">
        <v>18897</v>
      </c>
      <c r="BE950" s="1" t="s">
        <v>18898</v>
      </c>
      <c r="BF950" s="2" t="str">
        <f>HYPERLINK("http://dx.doi.org/10.1007/s00330-023-09860-1","http://dx.doi.org/10.1007/s00330-023-09860-1")</f>
        <v>http://dx.doi.org/10.1007/s00330-023-09860-1</v>
      </c>
      <c r="BG950" s="1" t="s">
        <v>74</v>
      </c>
      <c r="BH950" s="1" t="s">
        <v>3074</v>
      </c>
      <c r="BI950" s="1">
        <v>9.0</v>
      </c>
      <c r="BJ950" s="1" t="s">
        <v>656</v>
      </c>
      <c r="BK950" s="1" t="s">
        <v>149</v>
      </c>
      <c r="BL950" s="1" t="s">
        <v>656</v>
      </c>
      <c r="BM950" s="1" t="s">
        <v>18899</v>
      </c>
      <c r="BN950" s="1">
        <v>3.7418025E7</v>
      </c>
      <c r="BO950" s="1" t="s">
        <v>7447</v>
      </c>
      <c r="BP950" s="1" t="s">
        <v>74</v>
      </c>
      <c r="BQ950" s="1" t="s">
        <v>74</v>
      </c>
      <c r="BR950" s="1" t="s">
        <v>102</v>
      </c>
      <c r="BS950" s="1" t="s">
        <v>18900</v>
      </c>
      <c r="BT950" s="1" t="str">
        <f>HYPERLINK("https%3A%2F%2Fwww.webofscience.com%2Fwos%2Fwoscc%2Ffull-record%2FWOS:001025406000001","View Full Record in Web of Science")</f>
        <v>View Full Record in Web of Science</v>
      </c>
    </row>
    <row r="951" ht="12.75" customHeight="1">
      <c r="A951" s="1" t="s">
        <v>132</v>
      </c>
      <c r="B951" s="1" t="s">
        <v>18901</v>
      </c>
      <c r="C951" s="1" t="s">
        <v>74</v>
      </c>
      <c r="D951" s="1" t="s">
        <v>74</v>
      </c>
      <c r="E951" s="1" t="s">
        <v>74</v>
      </c>
      <c r="F951" s="1" t="s">
        <v>18902</v>
      </c>
      <c r="G951" s="1" t="s">
        <v>74</v>
      </c>
      <c r="H951" s="1" t="s">
        <v>74</v>
      </c>
      <c r="I951" s="1" t="s">
        <v>18903</v>
      </c>
      <c r="J951" s="1" t="s">
        <v>9652</v>
      </c>
      <c r="K951" s="1" t="s">
        <v>74</v>
      </c>
      <c r="L951" s="1" t="s">
        <v>74</v>
      </c>
      <c r="M951" s="1" t="s">
        <v>80</v>
      </c>
      <c r="N951" s="1" t="s">
        <v>1010</v>
      </c>
      <c r="O951" s="1" t="s">
        <v>74</v>
      </c>
      <c r="P951" s="1" t="s">
        <v>74</v>
      </c>
      <c r="Q951" s="1" t="s">
        <v>74</v>
      </c>
      <c r="R951" s="1" t="s">
        <v>74</v>
      </c>
      <c r="S951" s="1" t="s">
        <v>74</v>
      </c>
      <c r="T951" s="1" t="s">
        <v>18904</v>
      </c>
      <c r="U951" s="1" t="s">
        <v>18905</v>
      </c>
      <c r="V951" s="1" t="s">
        <v>18906</v>
      </c>
      <c r="W951" s="1" t="s">
        <v>18907</v>
      </c>
      <c r="X951" s="1" t="s">
        <v>18908</v>
      </c>
      <c r="Y951" s="1" t="s">
        <v>18909</v>
      </c>
      <c r="Z951" s="1" t="s">
        <v>18910</v>
      </c>
      <c r="AA951" s="1" t="s">
        <v>18911</v>
      </c>
      <c r="AB951" s="1" t="s">
        <v>18912</v>
      </c>
      <c r="AC951" s="1" t="s">
        <v>18913</v>
      </c>
      <c r="AD951" s="1" t="s">
        <v>18914</v>
      </c>
      <c r="AE951" s="1" t="s">
        <v>18915</v>
      </c>
      <c r="AF951" s="1" t="s">
        <v>74</v>
      </c>
      <c r="AG951" s="1">
        <v>225.0</v>
      </c>
      <c r="AH951" s="1">
        <v>30.0</v>
      </c>
      <c r="AI951" s="1">
        <v>30.0</v>
      </c>
      <c r="AJ951" s="1">
        <v>6.0</v>
      </c>
      <c r="AK951" s="1">
        <v>47.0</v>
      </c>
      <c r="AL951" s="1" t="s">
        <v>1970</v>
      </c>
      <c r="AM951" s="1" t="s">
        <v>1658</v>
      </c>
      <c r="AN951" s="1" t="s">
        <v>1971</v>
      </c>
      <c r="AO951" s="1" t="s">
        <v>74</v>
      </c>
      <c r="AP951" s="1" t="s">
        <v>9662</v>
      </c>
      <c r="AQ951" s="1" t="s">
        <v>74</v>
      </c>
      <c r="AR951" s="1" t="s">
        <v>9652</v>
      </c>
      <c r="AS951" s="1" t="s">
        <v>9663</v>
      </c>
      <c r="AT951" s="1" t="s">
        <v>2469</v>
      </c>
      <c r="AU951" s="1">
        <v>2021.0</v>
      </c>
      <c r="AV951" s="1">
        <v>13.0</v>
      </c>
      <c r="AW951" s="1">
        <v>19.0</v>
      </c>
      <c r="AX951" s="1" t="s">
        <v>74</v>
      </c>
      <c r="AY951" s="1" t="s">
        <v>74</v>
      </c>
      <c r="AZ951" s="1" t="s">
        <v>74</v>
      </c>
      <c r="BA951" s="1" t="s">
        <v>74</v>
      </c>
      <c r="BB951" s="1" t="s">
        <v>74</v>
      </c>
      <c r="BC951" s="1" t="s">
        <v>74</v>
      </c>
      <c r="BD951" s="1">
        <v>5010.0</v>
      </c>
      <c r="BE951" s="1" t="s">
        <v>18916</v>
      </c>
      <c r="BF951" s="2" t="str">
        <f>HYPERLINK("http://dx.doi.org/10.3390/cancers13195010","http://dx.doi.org/10.3390/cancers13195010")</f>
        <v>http://dx.doi.org/10.3390/cancers13195010</v>
      </c>
      <c r="BG951" s="1" t="s">
        <v>74</v>
      </c>
      <c r="BH951" s="1" t="s">
        <v>74</v>
      </c>
      <c r="BI951" s="1">
        <v>25.0</v>
      </c>
      <c r="BJ951" s="1" t="s">
        <v>1904</v>
      </c>
      <c r="BK951" s="1" t="s">
        <v>783</v>
      </c>
      <c r="BL951" s="1" t="s">
        <v>1904</v>
      </c>
      <c r="BM951" s="1" t="s">
        <v>18917</v>
      </c>
      <c r="BN951" s="1">
        <v>3.4638495E7</v>
      </c>
      <c r="BO951" s="1" t="s">
        <v>284</v>
      </c>
      <c r="BP951" s="1" t="s">
        <v>74</v>
      </c>
      <c r="BQ951" s="1" t="s">
        <v>74</v>
      </c>
      <c r="BR951" s="1" t="s">
        <v>102</v>
      </c>
      <c r="BS951" s="1" t="s">
        <v>18918</v>
      </c>
      <c r="BT951" s="1" t="str">
        <f>HYPERLINK("https%3A%2F%2Fwww.webofscience.com%2Fwos%2Fwoscc%2Ffull-record%2FWOS:000707742600001","View Full Record in Web of Science")</f>
        <v>View Full Record in Web of Science</v>
      </c>
    </row>
    <row r="952" ht="12.75" customHeight="1">
      <c r="A952" s="1" t="s">
        <v>132</v>
      </c>
      <c r="B952" s="1" t="s">
        <v>18919</v>
      </c>
      <c r="C952" s="1" t="s">
        <v>74</v>
      </c>
      <c r="D952" s="1" t="s">
        <v>74</v>
      </c>
      <c r="E952" s="1" t="s">
        <v>74</v>
      </c>
      <c r="F952" s="1" t="s">
        <v>18920</v>
      </c>
      <c r="G952" s="1" t="s">
        <v>74</v>
      </c>
      <c r="H952" s="1" t="s">
        <v>74</v>
      </c>
      <c r="I952" s="1" t="s">
        <v>18921</v>
      </c>
      <c r="J952" s="1" t="s">
        <v>18922</v>
      </c>
      <c r="K952" s="1" t="s">
        <v>74</v>
      </c>
      <c r="L952" s="1" t="s">
        <v>74</v>
      </c>
      <c r="M952" s="1" t="s">
        <v>80</v>
      </c>
      <c r="N952" s="1" t="s">
        <v>1010</v>
      </c>
      <c r="O952" s="1" t="s">
        <v>74</v>
      </c>
      <c r="P952" s="1" t="s">
        <v>74</v>
      </c>
      <c r="Q952" s="1" t="s">
        <v>74</v>
      </c>
      <c r="R952" s="1" t="s">
        <v>74</v>
      </c>
      <c r="S952" s="1" t="s">
        <v>74</v>
      </c>
      <c r="T952" s="1" t="s">
        <v>18923</v>
      </c>
      <c r="U952" s="1" t="s">
        <v>18924</v>
      </c>
      <c r="V952" s="1" t="s">
        <v>18925</v>
      </c>
      <c r="W952" s="1" t="s">
        <v>18926</v>
      </c>
      <c r="X952" s="1" t="s">
        <v>18927</v>
      </c>
      <c r="Y952" s="1" t="s">
        <v>18928</v>
      </c>
      <c r="Z952" s="1" t="s">
        <v>18929</v>
      </c>
      <c r="AA952" s="1" t="s">
        <v>18930</v>
      </c>
      <c r="AB952" s="1" t="s">
        <v>18931</v>
      </c>
      <c r="AC952" s="1" t="s">
        <v>18932</v>
      </c>
      <c r="AD952" s="1" t="s">
        <v>18933</v>
      </c>
      <c r="AE952" s="1" t="s">
        <v>18934</v>
      </c>
      <c r="AF952" s="1" t="s">
        <v>74</v>
      </c>
      <c r="AG952" s="1">
        <v>90.0</v>
      </c>
      <c r="AH952" s="1">
        <v>69.0</v>
      </c>
      <c r="AI952" s="1">
        <v>73.0</v>
      </c>
      <c r="AJ952" s="1">
        <v>85.0</v>
      </c>
      <c r="AK952" s="1">
        <v>520.0</v>
      </c>
      <c r="AL952" s="1" t="s">
        <v>1357</v>
      </c>
      <c r="AM952" s="1" t="s">
        <v>1358</v>
      </c>
      <c r="AN952" s="1" t="s">
        <v>1359</v>
      </c>
      <c r="AO952" s="1" t="s">
        <v>18935</v>
      </c>
      <c r="AP952" s="1" t="s">
        <v>18936</v>
      </c>
      <c r="AQ952" s="1" t="s">
        <v>74</v>
      </c>
      <c r="AR952" s="1" t="s">
        <v>18937</v>
      </c>
      <c r="AS952" s="1" t="s">
        <v>18938</v>
      </c>
      <c r="AT952" s="1" t="s">
        <v>199</v>
      </c>
      <c r="AU952" s="1">
        <v>2022.0</v>
      </c>
      <c r="AV952" s="1">
        <v>32.0</v>
      </c>
      <c r="AW952" s="1">
        <v>4.0</v>
      </c>
      <c r="AX952" s="1" t="s">
        <v>74</v>
      </c>
      <c r="AY952" s="1" t="s">
        <v>74</v>
      </c>
      <c r="AZ952" s="1" t="s">
        <v>74</v>
      </c>
      <c r="BA952" s="1" t="s">
        <v>74</v>
      </c>
      <c r="BB952" s="1">
        <v>729.0</v>
      </c>
      <c r="BC952" s="1">
        <v>742.0</v>
      </c>
      <c r="BD952" s="1" t="s">
        <v>74</v>
      </c>
      <c r="BE952" s="1" t="s">
        <v>18939</v>
      </c>
      <c r="BF952" s="2" t="str">
        <f>HYPERLINK("http://dx.doi.org/10.1111/1748-8583.12433","http://dx.doi.org/10.1111/1748-8583.12433")</f>
        <v>http://dx.doi.org/10.1111/1748-8583.12433</v>
      </c>
      <c r="BG952" s="1" t="s">
        <v>74</v>
      </c>
      <c r="BH952" s="1" t="s">
        <v>8249</v>
      </c>
      <c r="BI952" s="1">
        <v>14.0</v>
      </c>
      <c r="BJ952" s="1" t="s">
        <v>14577</v>
      </c>
      <c r="BK952" s="1" t="s">
        <v>203</v>
      </c>
      <c r="BL952" s="1" t="s">
        <v>204</v>
      </c>
      <c r="BM952" s="1" t="s">
        <v>18940</v>
      </c>
      <c r="BN952" s="1" t="s">
        <v>74</v>
      </c>
      <c r="BO952" s="1" t="s">
        <v>18941</v>
      </c>
      <c r="BP952" s="1" t="s">
        <v>74</v>
      </c>
      <c r="BQ952" s="1" t="s">
        <v>74</v>
      </c>
      <c r="BR952" s="1" t="s">
        <v>102</v>
      </c>
      <c r="BS952" s="1" t="s">
        <v>18942</v>
      </c>
      <c r="BT952" s="1" t="str">
        <f>HYPERLINK("https%3A%2F%2Fwww.webofscience.com%2Fwos%2Fwoscc%2Ffull-record%2FWOS:000740055000001","View Full Record in Web of Science")</f>
        <v>View Full Record in Web of Science</v>
      </c>
    </row>
    <row r="953" ht="12.75" customHeight="1">
      <c r="A953" s="1" t="s">
        <v>132</v>
      </c>
      <c r="B953" s="1" t="s">
        <v>18943</v>
      </c>
      <c r="C953" s="1" t="s">
        <v>74</v>
      </c>
      <c r="D953" s="1" t="s">
        <v>74</v>
      </c>
      <c r="E953" s="1" t="s">
        <v>74</v>
      </c>
      <c r="F953" s="1" t="s">
        <v>18944</v>
      </c>
      <c r="G953" s="1" t="s">
        <v>74</v>
      </c>
      <c r="H953" s="1" t="s">
        <v>74</v>
      </c>
      <c r="I953" s="1" t="s">
        <v>18945</v>
      </c>
      <c r="J953" s="1" t="s">
        <v>18946</v>
      </c>
      <c r="K953" s="1" t="s">
        <v>74</v>
      </c>
      <c r="L953" s="1" t="s">
        <v>74</v>
      </c>
      <c r="M953" s="1" t="s">
        <v>80</v>
      </c>
      <c r="N953" s="1" t="s">
        <v>136</v>
      </c>
      <c r="O953" s="1" t="s">
        <v>74</v>
      </c>
      <c r="P953" s="1" t="s">
        <v>74</v>
      </c>
      <c r="Q953" s="1" t="s">
        <v>74</v>
      </c>
      <c r="R953" s="1" t="s">
        <v>74</v>
      </c>
      <c r="S953" s="1" t="s">
        <v>74</v>
      </c>
      <c r="T953" s="1" t="s">
        <v>18947</v>
      </c>
      <c r="U953" s="1" t="s">
        <v>18948</v>
      </c>
      <c r="V953" s="1" t="s">
        <v>18949</v>
      </c>
      <c r="W953" s="1" t="s">
        <v>18950</v>
      </c>
      <c r="X953" s="1" t="s">
        <v>18951</v>
      </c>
      <c r="Y953" s="1" t="s">
        <v>18952</v>
      </c>
      <c r="Z953" s="1" t="s">
        <v>18953</v>
      </c>
      <c r="AA953" s="1" t="s">
        <v>18954</v>
      </c>
      <c r="AB953" s="1" t="s">
        <v>18955</v>
      </c>
      <c r="AC953" s="1" t="s">
        <v>74</v>
      </c>
      <c r="AD953" s="1" t="s">
        <v>74</v>
      </c>
      <c r="AE953" s="1" t="s">
        <v>74</v>
      </c>
      <c r="AF953" s="1" t="s">
        <v>74</v>
      </c>
      <c r="AG953" s="1">
        <v>50.0</v>
      </c>
      <c r="AH953" s="1">
        <v>24.0</v>
      </c>
      <c r="AI953" s="1">
        <v>24.0</v>
      </c>
      <c r="AJ953" s="1">
        <v>3.0</v>
      </c>
      <c r="AK953" s="1">
        <v>12.0</v>
      </c>
      <c r="AL953" s="1" t="s">
        <v>2745</v>
      </c>
      <c r="AM953" s="1" t="s">
        <v>2746</v>
      </c>
      <c r="AN953" s="1" t="s">
        <v>2747</v>
      </c>
      <c r="AO953" s="1" t="s">
        <v>18956</v>
      </c>
      <c r="AP953" s="1" t="s">
        <v>18957</v>
      </c>
      <c r="AQ953" s="1" t="s">
        <v>74</v>
      </c>
      <c r="AR953" s="1" t="s">
        <v>18958</v>
      </c>
      <c r="AS953" s="1" t="s">
        <v>18959</v>
      </c>
      <c r="AT953" s="1" t="s">
        <v>2469</v>
      </c>
      <c r="AU953" s="1">
        <v>2022.0</v>
      </c>
      <c r="AV953" s="1">
        <v>27.0</v>
      </c>
      <c r="AW953" s="1">
        <v>5.0</v>
      </c>
      <c r="AX953" s="1" t="s">
        <v>74</v>
      </c>
      <c r="AY953" s="1" t="s">
        <v>74</v>
      </c>
      <c r="AZ953" s="1" t="s">
        <v>474</v>
      </c>
      <c r="BA953" s="1" t="s">
        <v>74</v>
      </c>
      <c r="BB953" s="1" t="s">
        <v>74</v>
      </c>
      <c r="BC953" s="1" t="s">
        <v>74</v>
      </c>
      <c r="BD953" s="1">
        <v>101346.0</v>
      </c>
      <c r="BE953" s="1" t="s">
        <v>18960</v>
      </c>
      <c r="BF953" s="2" t="str">
        <f>HYPERLINK("http://dx.doi.org/10.1016/j.siny.2022.101346","http://dx.doi.org/10.1016/j.siny.2022.101346")</f>
        <v>http://dx.doi.org/10.1016/j.siny.2022.101346</v>
      </c>
      <c r="BG953" s="1" t="s">
        <v>74</v>
      </c>
      <c r="BH953" s="1" t="s">
        <v>74</v>
      </c>
      <c r="BI953" s="1">
        <v>7.0</v>
      </c>
      <c r="BJ953" s="1" t="s">
        <v>8888</v>
      </c>
      <c r="BK953" s="1" t="s">
        <v>149</v>
      </c>
      <c r="BL953" s="1" t="s">
        <v>8888</v>
      </c>
      <c r="BM953" s="1" t="s">
        <v>18961</v>
      </c>
      <c r="BN953" s="1">
        <v>3.5473694E7</v>
      </c>
      <c r="BO953" s="1" t="s">
        <v>7447</v>
      </c>
      <c r="BP953" s="1" t="s">
        <v>74</v>
      </c>
      <c r="BQ953" s="1" t="s">
        <v>74</v>
      </c>
      <c r="BR953" s="1" t="s">
        <v>102</v>
      </c>
      <c r="BS953" s="1" t="s">
        <v>18962</v>
      </c>
      <c r="BT953" s="1" t="str">
        <f>HYPERLINK("https%3A%2F%2Fwww.webofscience.com%2Fwos%2Fwoscc%2Ffull-record%2FWOS:000907629200008","View Full Record in Web of Science")</f>
        <v>View Full Record in Web of Science</v>
      </c>
    </row>
    <row r="954" ht="12.75" customHeight="1">
      <c r="A954" s="1" t="s">
        <v>132</v>
      </c>
      <c r="B954" s="1" t="s">
        <v>18963</v>
      </c>
      <c r="C954" s="1" t="s">
        <v>74</v>
      </c>
      <c r="D954" s="1" t="s">
        <v>74</v>
      </c>
      <c r="E954" s="1" t="s">
        <v>74</v>
      </c>
      <c r="F954" s="1" t="s">
        <v>18964</v>
      </c>
      <c r="G954" s="1" t="s">
        <v>74</v>
      </c>
      <c r="H954" s="1" t="s">
        <v>74</v>
      </c>
      <c r="I954" s="1" t="s">
        <v>18965</v>
      </c>
      <c r="J954" s="1" t="s">
        <v>263</v>
      </c>
      <c r="K954" s="1" t="s">
        <v>74</v>
      </c>
      <c r="L954" s="1" t="s">
        <v>74</v>
      </c>
      <c r="M954" s="1" t="s">
        <v>80</v>
      </c>
      <c r="N954" s="1" t="s">
        <v>1010</v>
      </c>
      <c r="O954" s="1" t="s">
        <v>74</v>
      </c>
      <c r="P954" s="1" t="s">
        <v>74</v>
      </c>
      <c r="Q954" s="1" t="s">
        <v>74</v>
      </c>
      <c r="R954" s="1" t="s">
        <v>74</v>
      </c>
      <c r="S954" s="1" t="s">
        <v>74</v>
      </c>
      <c r="T954" s="1" t="s">
        <v>18966</v>
      </c>
      <c r="U954" s="1" t="s">
        <v>18967</v>
      </c>
      <c r="V954" s="1" t="s">
        <v>18968</v>
      </c>
      <c r="W954" s="1" t="s">
        <v>18969</v>
      </c>
      <c r="X954" s="1" t="s">
        <v>18970</v>
      </c>
      <c r="Y954" s="1" t="s">
        <v>18971</v>
      </c>
      <c r="Z954" s="1" t="s">
        <v>18972</v>
      </c>
      <c r="AA954" s="1" t="s">
        <v>18973</v>
      </c>
      <c r="AB954" s="1" t="s">
        <v>18974</v>
      </c>
      <c r="AC954" s="1" t="s">
        <v>18975</v>
      </c>
      <c r="AD954" s="1" t="s">
        <v>18975</v>
      </c>
      <c r="AE954" s="1" t="s">
        <v>18976</v>
      </c>
      <c r="AF954" s="1" t="s">
        <v>74</v>
      </c>
      <c r="AG954" s="1">
        <v>81.0</v>
      </c>
      <c r="AH954" s="1">
        <v>3.0</v>
      </c>
      <c r="AI954" s="1">
        <v>3.0</v>
      </c>
      <c r="AJ954" s="1">
        <v>0.0</v>
      </c>
      <c r="AK954" s="1">
        <v>3.0</v>
      </c>
      <c r="AL954" s="1" t="s">
        <v>275</v>
      </c>
      <c r="AM954" s="1" t="s">
        <v>276</v>
      </c>
      <c r="AN954" s="1" t="s">
        <v>277</v>
      </c>
      <c r="AO954" s="1" t="s">
        <v>74</v>
      </c>
      <c r="AP954" s="1" t="s">
        <v>278</v>
      </c>
      <c r="AQ954" s="1" t="s">
        <v>74</v>
      </c>
      <c r="AR954" s="1" t="s">
        <v>279</v>
      </c>
      <c r="AS954" s="1" t="s">
        <v>280</v>
      </c>
      <c r="AT954" s="1" t="s">
        <v>10020</v>
      </c>
      <c r="AU954" s="1">
        <v>2023.0</v>
      </c>
      <c r="AV954" s="1">
        <v>6.0</v>
      </c>
      <c r="AW954" s="1" t="s">
        <v>74</v>
      </c>
      <c r="AX954" s="1" t="s">
        <v>74</v>
      </c>
      <c r="AY954" s="1" t="s">
        <v>74</v>
      </c>
      <c r="AZ954" s="1" t="s">
        <v>74</v>
      </c>
      <c r="BA954" s="1" t="s">
        <v>74</v>
      </c>
      <c r="BB954" s="1" t="s">
        <v>74</v>
      </c>
      <c r="BC954" s="1" t="s">
        <v>74</v>
      </c>
      <c r="BD954" s="1">
        <v>1266560.0</v>
      </c>
      <c r="BE954" s="1" t="s">
        <v>18977</v>
      </c>
      <c r="BF954" s="2" t="str">
        <f>HYPERLINK("http://dx.doi.org/10.3389/frai.2023.1266560","http://dx.doi.org/10.3389/frai.2023.1266560")</f>
        <v>http://dx.doi.org/10.3389/frai.2023.1266560</v>
      </c>
      <c r="BG954" s="1" t="s">
        <v>74</v>
      </c>
      <c r="BH954" s="1" t="s">
        <v>74</v>
      </c>
      <c r="BI954" s="1">
        <v>15.0</v>
      </c>
      <c r="BJ954" s="1" t="s">
        <v>282</v>
      </c>
      <c r="BK954" s="1" t="s">
        <v>172</v>
      </c>
      <c r="BL954" s="1" t="s">
        <v>232</v>
      </c>
      <c r="BM954" s="1" t="s">
        <v>18978</v>
      </c>
      <c r="BN954" s="1">
        <v>3.802866E7</v>
      </c>
      <c r="BO954" s="1" t="s">
        <v>284</v>
      </c>
      <c r="BP954" s="1" t="s">
        <v>74</v>
      </c>
      <c r="BQ954" s="1" t="s">
        <v>74</v>
      </c>
      <c r="BR954" s="1" t="s">
        <v>102</v>
      </c>
      <c r="BS954" s="1" t="s">
        <v>18979</v>
      </c>
      <c r="BT954" s="1" t="str">
        <f>HYPERLINK("https%3A%2F%2Fwww.webofscience.com%2Fwos%2Fwoscc%2Ffull-record%2FWOS:001104793900001","View Full Record in Web of Science")</f>
        <v>View Full Record in Web of Science</v>
      </c>
    </row>
    <row r="955" ht="12.75" customHeight="1">
      <c r="A955" s="1" t="s">
        <v>132</v>
      </c>
      <c r="B955" s="1" t="s">
        <v>18980</v>
      </c>
      <c r="C955" s="1" t="s">
        <v>74</v>
      </c>
      <c r="D955" s="1" t="s">
        <v>74</v>
      </c>
      <c r="E955" s="1" t="s">
        <v>74</v>
      </c>
      <c r="F955" s="1" t="s">
        <v>18981</v>
      </c>
      <c r="G955" s="1" t="s">
        <v>74</v>
      </c>
      <c r="H955" s="1" t="s">
        <v>74</v>
      </c>
      <c r="I955" s="1" t="s">
        <v>18982</v>
      </c>
      <c r="J955" s="1" t="s">
        <v>18983</v>
      </c>
      <c r="K955" s="1" t="s">
        <v>74</v>
      </c>
      <c r="L955" s="1" t="s">
        <v>74</v>
      </c>
      <c r="M955" s="1" t="s">
        <v>80</v>
      </c>
      <c r="N955" s="1" t="s">
        <v>136</v>
      </c>
      <c r="O955" s="1" t="s">
        <v>74</v>
      </c>
      <c r="P955" s="1" t="s">
        <v>74</v>
      </c>
      <c r="Q955" s="1" t="s">
        <v>74</v>
      </c>
      <c r="R955" s="1" t="s">
        <v>74</v>
      </c>
      <c r="S955" s="1" t="s">
        <v>74</v>
      </c>
      <c r="T955" s="1" t="s">
        <v>18984</v>
      </c>
      <c r="U955" s="1" t="s">
        <v>18985</v>
      </c>
      <c r="V955" s="1" t="s">
        <v>18986</v>
      </c>
      <c r="W955" s="1" t="s">
        <v>18987</v>
      </c>
      <c r="X955" s="1" t="s">
        <v>18988</v>
      </c>
      <c r="Y955" s="1" t="s">
        <v>18989</v>
      </c>
      <c r="Z955" s="1" t="s">
        <v>18990</v>
      </c>
      <c r="AA955" s="1" t="s">
        <v>18991</v>
      </c>
      <c r="AB955" s="1" t="s">
        <v>18992</v>
      </c>
      <c r="AC955" s="1" t="s">
        <v>74</v>
      </c>
      <c r="AD955" s="1" t="s">
        <v>74</v>
      </c>
      <c r="AE955" s="1" t="s">
        <v>74</v>
      </c>
      <c r="AF955" s="1" t="s">
        <v>74</v>
      </c>
      <c r="AG955" s="1">
        <v>40.0</v>
      </c>
      <c r="AH955" s="1">
        <v>17.0</v>
      </c>
      <c r="AI955" s="1">
        <v>17.0</v>
      </c>
      <c r="AJ955" s="1">
        <v>5.0</v>
      </c>
      <c r="AK955" s="1">
        <v>30.0</v>
      </c>
      <c r="AL955" s="1" t="s">
        <v>192</v>
      </c>
      <c r="AM955" s="1" t="s">
        <v>193</v>
      </c>
      <c r="AN955" s="1" t="s">
        <v>194</v>
      </c>
      <c r="AO955" s="1" t="s">
        <v>18993</v>
      </c>
      <c r="AP955" s="1" t="s">
        <v>18994</v>
      </c>
      <c r="AQ955" s="1" t="s">
        <v>74</v>
      </c>
      <c r="AR955" s="1" t="s">
        <v>18995</v>
      </c>
      <c r="AS955" s="1" t="s">
        <v>18996</v>
      </c>
      <c r="AT955" s="1" t="s">
        <v>1709</v>
      </c>
      <c r="AU955" s="1">
        <v>2019.0</v>
      </c>
      <c r="AV955" s="1">
        <v>20.0</v>
      </c>
      <c r="AW955" s="1">
        <v>9.0</v>
      </c>
      <c r="AX955" s="1" t="s">
        <v>74</v>
      </c>
      <c r="AY955" s="1" t="s">
        <v>74</v>
      </c>
      <c r="AZ955" s="1" t="s">
        <v>74</v>
      </c>
      <c r="BA955" s="1" t="s">
        <v>74</v>
      </c>
      <c r="BB955" s="1" t="s">
        <v>74</v>
      </c>
      <c r="BC955" s="1" t="s">
        <v>74</v>
      </c>
      <c r="BD955" s="1">
        <v>52.0</v>
      </c>
      <c r="BE955" s="1" t="s">
        <v>18997</v>
      </c>
      <c r="BF955" s="2" t="str">
        <f>HYPERLINK("http://dx.doi.org/10.1007/s11934-019-0914-4","http://dx.doi.org/10.1007/s11934-019-0914-4")</f>
        <v>http://dx.doi.org/10.1007/s11934-019-0914-4</v>
      </c>
      <c r="BG955" s="1" t="s">
        <v>74</v>
      </c>
      <c r="BH955" s="1" t="s">
        <v>74</v>
      </c>
      <c r="BI955" s="1">
        <v>6.0</v>
      </c>
      <c r="BJ955" s="1" t="s">
        <v>1665</v>
      </c>
      <c r="BK955" s="1" t="s">
        <v>149</v>
      </c>
      <c r="BL955" s="1" t="s">
        <v>1665</v>
      </c>
      <c r="BM955" s="1" t="s">
        <v>18998</v>
      </c>
      <c r="BN955" s="1">
        <v>3.1353422E7</v>
      </c>
      <c r="BO955" s="1" t="s">
        <v>74</v>
      </c>
      <c r="BP955" s="1" t="s">
        <v>74</v>
      </c>
      <c r="BQ955" s="1" t="s">
        <v>74</v>
      </c>
      <c r="BR955" s="1" t="s">
        <v>102</v>
      </c>
      <c r="BS955" s="1" t="s">
        <v>18999</v>
      </c>
      <c r="BT955" s="1" t="str">
        <f>HYPERLINK("https%3A%2F%2Fwww.webofscience.com%2Fwos%2Fwoscc%2Ffull-record%2FWOS:000477712300001","View Full Record in Web of Science")</f>
        <v>View Full Record in Web of Science</v>
      </c>
    </row>
    <row r="956" ht="12.75" customHeight="1">
      <c r="A956" s="1" t="s">
        <v>132</v>
      </c>
      <c r="B956" s="1" t="s">
        <v>19000</v>
      </c>
      <c r="C956" s="1" t="s">
        <v>74</v>
      </c>
      <c r="D956" s="1" t="s">
        <v>74</v>
      </c>
      <c r="E956" s="1" t="s">
        <v>74</v>
      </c>
      <c r="F956" s="1" t="s">
        <v>19001</v>
      </c>
      <c r="G956" s="1" t="s">
        <v>74</v>
      </c>
      <c r="H956" s="1" t="s">
        <v>74</v>
      </c>
      <c r="I956" s="1" t="s">
        <v>19002</v>
      </c>
      <c r="J956" s="1" t="s">
        <v>19003</v>
      </c>
      <c r="K956" s="1" t="s">
        <v>74</v>
      </c>
      <c r="L956" s="1" t="s">
        <v>74</v>
      </c>
      <c r="M956" s="1" t="s">
        <v>638</v>
      </c>
      <c r="N956" s="1" t="s">
        <v>136</v>
      </c>
      <c r="O956" s="1" t="s">
        <v>74</v>
      </c>
      <c r="P956" s="1" t="s">
        <v>74</v>
      </c>
      <c r="Q956" s="1" t="s">
        <v>74</v>
      </c>
      <c r="R956" s="1" t="s">
        <v>74</v>
      </c>
      <c r="S956" s="1" t="s">
        <v>74</v>
      </c>
      <c r="T956" s="1" t="s">
        <v>19004</v>
      </c>
      <c r="U956" s="1" t="s">
        <v>74</v>
      </c>
      <c r="V956" s="1" t="s">
        <v>19005</v>
      </c>
      <c r="W956" s="1" t="s">
        <v>19006</v>
      </c>
      <c r="X956" s="1" t="s">
        <v>19007</v>
      </c>
      <c r="Y956" s="1" t="s">
        <v>19008</v>
      </c>
      <c r="Z956" s="1" t="s">
        <v>19009</v>
      </c>
      <c r="AA956" s="1" t="s">
        <v>19010</v>
      </c>
      <c r="AB956" s="1" t="s">
        <v>74</v>
      </c>
      <c r="AC956" s="1" t="s">
        <v>74</v>
      </c>
      <c r="AD956" s="1" t="s">
        <v>74</v>
      </c>
      <c r="AE956" s="1" t="s">
        <v>74</v>
      </c>
      <c r="AF956" s="1" t="s">
        <v>74</v>
      </c>
      <c r="AG956" s="1">
        <v>58.0</v>
      </c>
      <c r="AH956" s="1">
        <v>2.0</v>
      </c>
      <c r="AI956" s="1">
        <v>2.0</v>
      </c>
      <c r="AJ956" s="1">
        <v>11.0</v>
      </c>
      <c r="AK956" s="1">
        <v>22.0</v>
      </c>
      <c r="AL956" s="1" t="s">
        <v>19011</v>
      </c>
      <c r="AM956" s="1" t="s">
        <v>648</v>
      </c>
      <c r="AN956" s="1" t="s">
        <v>19012</v>
      </c>
      <c r="AO956" s="1" t="s">
        <v>19013</v>
      </c>
      <c r="AP956" s="1" t="s">
        <v>74</v>
      </c>
      <c r="AQ956" s="1" t="s">
        <v>74</v>
      </c>
      <c r="AR956" s="1" t="s">
        <v>19014</v>
      </c>
      <c r="AS956" s="1" t="s">
        <v>19015</v>
      </c>
      <c r="AT956" s="1" t="s">
        <v>328</v>
      </c>
      <c r="AU956" s="1">
        <v>2021.0</v>
      </c>
      <c r="AV956" s="1" t="s">
        <v>74</v>
      </c>
      <c r="AW956" s="1">
        <v>45.0</v>
      </c>
      <c r="AX956" s="1" t="s">
        <v>74</v>
      </c>
      <c r="AY956" s="1" t="s">
        <v>74</v>
      </c>
      <c r="AZ956" s="1" t="s">
        <v>74</v>
      </c>
      <c r="BA956" s="1" t="s">
        <v>74</v>
      </c>
      <c r="BB956" s="1">
        <v>123.0</v>
      </c>
      <c r="BC956" s="1">
        <v>161.0</v>
      </c>
      <c r="BD956" s="1" t="s">
        <v>74</v>
      </c>
      <c r="BE956" s="1" t="s">
        <v>19016</v>
      </c>
      <c r="BF956" s="2" t="str">
        <f>HYPERLINK("http://dx.doi.org/10.20318/dyl.2021.6104","http://dx.doi.org/10.20318/dyl.2021.6104")</f>
        <v>http://dx.doi.org/10.20318/dyl.2021.6104</v>
      </c>
      <c r="BG956" s="1" t="s">
        <v>74</v>
      </c>
      <c r="BH956" s="1" t="s">
        <v>74</v>
      </c>
      <c r="BI956" s="1">
        <v>39.0</v>
      </c>
      <c r="BJ956" s="1" t="s">
        <v>915</v>
      </c>
      <c r="BK956" s="1" t="s">
        <v>172</v>
      </c>
      <c r="BL956" s="1" t="s">
        <v>916</v>
      </c>
      <c r="BM956" s="1" t="s">
        <v>19017</v>
      </c>
      <c r="BN956" s="1" t="s">
        <v>74</v>
      </c>
      <c r="BO956" s="1" t="s">
        <v>1161</v>
      </c>
      <c r="BP956" s="1" t="s">
        <v>74</v>
      </c>
      <c r="BQ956" s="1" t="s">
        <v>74</v>
      </c>
      <c r="BR956" s="1" t="s">
        <v>102</v>
      </c>
      <c r="BS956" s="1" t="s">
        <v>19018</v>
      </c>
      <c r="BT956" s="1" t="str">
        <f>HYPERLINK("https%3A%2F%2Fwww.webofscience.com%2Fwos%2Fwoscc%2Ffull-record%2FWOS:000733343900005","View Full Record in Web of Science")</f>
        <v>View Full Record in Web of Science</v>
      </c>
    </row>
    <row r="957" ht="12.75" customHeight="1">
      <c r="A957" s="1" t="s">
        <v>132</v>
      </c>
      <c r="B957" s="1" t="s">
        <v>19019</v>
      </c>
      <c r="C957" s="1" t="s">
        <v>74</v>
      </c>
      <c r="D957" s="1" t="s">
        <v>74</v>
      </c>
      <c r="E957" s="1" t="s">
        <v>74</v>
      </c>
      <c r="F957" s="1" t="s">
        <v>19020</v>
      </c>
      <c r="G957" s="1" t="s">
        <v>74</v>
      </c>
      <c r="H957" s="1" t="s">
        <v>74</v>
      </c>
      <c r="I957" s="1" t="s">
        <v>19021</v>
      </c>
      <c r="J957" s="1" t="s">
        <v>19022</v>
      </c>
      <c r="K957" s="1" t="s">
        <v>74</v>
      </c>
      <c r="L957" s="1" t="s">
        <v>74</v>
      </c>
      <c r="M957" s="1" t="s">
        <v>3863</v>
      </c>
      <c r="N957" s="1" t="s">
        <v>136</v>
      </c>
      <c r="O957" s="1" t="s">
        <v>74</v>
      </c>
      <c r="P957" s="1" t="s">
        <v>74</v>
      </c>
      <c r="Q957" s="1" t="s">
        <v>74</v>
      </c>
      <c r="R957" s="1" t="s">
        <v>74</v>
      </c>
      <c r="S957" s="1" t="s">
        <v>74</v>
      </c>
      <c r="T957" s="1" t="s">
        <v>19023</v>
      </c>
      <c r="U957" s="1" t="s">
        <v>74</v>
      </c>
      <c r="V957" s="1" t="s">
        <v>19024</v>
      </c>
      <c r="W957" s="1" t="s">
        <v>19025</v>
      </c>
      <c r="X957" s="1" t="s">
        <v>19026</v>
      </c>
      <c r="Y957" s="1" t="s">
        <v>19027</v>
      </c>
      <c r="Z957" s="1" t="s">
        <v>19028</v>
      </c>
      <c r="AA957" s="1" t="s">
        <v>74</v>
      </c>
      <c r="AB957" s="1" t="s">
        <v>74</v>
      </c>
      <c r="AC957" s="1" t="s">
        <v>74</v>
      </c>
      <c r="AD957" s="1" t="s">
        <v>74</v>
      </c>
      <c r="AE957" s="1" t="s">
        <v>74</v>
      </c>
      <c r="AF957" s="1" t="s">
        <v>74</v>
      </c>
      <c r="AG957" s="1">
        <v>4.0</v>
      </c>
      <c r="AH957" s="1">
        <v>0.0</v>
      </c>
      <c r="AI957" s="1">
        <v>0.0</v>
      </c>
      <c r="AJ957" s="1">
        <v>10.0</v>
      </c>
      <c r="AK957" s="1">
        <v>17.0</v>
      </c>
      <c r="AL957" s="1" t="s">
        <v>19029</v>
      </c>
      <c r="AM957" s="1" t="s">
        <v>19030</v>
      </c>
      <c r="AN957" s="1" t="s">
        <v>19031</v>
      </c>
      <c r="AO957" s="1" t="s">
        <v>19032</v>
      </c>
      <c r="AP957" s="1" t="s">
        <v>74</v>
      </c>
      <c r="AQ957" s="1" t="s">
        <v>74</v>
      </c>
      <c r="AR957" s="1" t="s">
        <v>19033</v>
      </c>
      <c r="AS957" s="1" t="s">
        <v>19034</v>
      </c>
      <c r="AT957" s="1" t="s">
        <v>74</v>
      </c>
      <c r="AU957" s="1">
        <v>2023.0</v>
      </c>
      <c r="AV957" s="1" t="s">
        <v>74</v>
      </c>
      <c r="AW957" s="1">
        <v>11.0</v>
      </c>
      <c r="AX957" s="1" t="s">
        <v>74</v>
      </c>
      <c r="AY957" s="1" t="s">
        <v>74</v>
      </c>
      <c r="AZ957" s="1" t="s">
        <v>74</v>
      </c>
      <c r="BA957" s="1" t="s">
        <v>74</v>
      </c>
      <c r="BB957" s="1">
        <v>115.0</v>
      </c>
      <c r="BC957" s="1">
        <v>120.0</v>
      </c>
      <c r="BD957" s="1" t="s">
        <v>74</v>
      </c>
      <c r="BE957" s="1" t="s">
        <v>19035</v>
      </c>
      <c r="BF957" s="2" t="str">
        <f>HYPERLINK("http://dx.doi.org/10.31857/S013216250028537-3","http://dx.doi.org/10.31857/S013216250028537-3")</f>
        <v>http://dx.doi.org/10.31857/S013216250028537-3</v>
      </c>
      <c r="BG957" s="1" t="s">
        <v>74</v>
      </c>
      <c r="BH957" s="1" t="s">
        <v>74</v>
      </c>
      <c r="BI957" s="1">
        <v>6.0</v>
      </c>
      <c r="BJ957" s="1" t="s">
        <v>3130</v>
      </c>
      <c r="BK957" s="1" t="s">
        <v>203</v>
      </c>
      <c r="BL957" s="1" t="s">
        <v>3130</v>
      </c>
      <c r="BM957" s="1" t="s">
        <v>19036</v>
      </c>
      <c r="BN957" s="1" t="s">
        <v>74</v>
      </c>
      <c r="BO957" s="1" t="s">
        <v>74</v>
      </c>
      <c r="BP957" s="1" t="s">
        <v>74</v>
      </c>
      <c r="BQ957" s="1" t="s">
        <v>74</v>
      </c>
      <c r="BR957" s="1" t="s">
        <v>102</v>
      </c>
      <c r="BS957" s="1" t="s">
        <v>19037</v>
      </c>
      <c r="BT957" s="1" t="str">
        <f>HYPERLINK("https%3A%2F%2Fwww.webofscience.com%2Fwos%2Fwoscc%2Ffull-record%2FWOS:001138020600011","View Full Record in Web of Science")</f>
        <v>View Full Record in Web of Science</v>
      </c>
    </row>
    <row r="958" ht="12.75" customHeight="1">
      <c r="A958" s="1" t="s">
        <v>132</v>
      </c>
      <c r="B958" s="1" t="s">
        <v>19038</v>
      </c>
      <c r="C958" s="1" t="s">
        <v>74</v>
      </c>
      <c r="D958" s="1" t="s">
        <v>74</v>
      </c>
      <c r="E958" s="1" t="s">
        <v>74</v>
      </c>
      <c r="F958" s="1" t="s">
        <v>19039</v>
      </c>
      <c r="G958" s="1" t="s">
        <v>74</v>
      </c>
      <c r="H958" s="1" t="s">
        <v>74</v>
      </c>
      <c r="I958" s="1" t="s">
        <v>19040</v>
      </c>
      <c r="J958" s="1" t="s">
        <v>3329</v>
      </c>
      <c r="K958" s="1" t="s">
        <v>74</v>
      </c>
      <c r="L958" s="1" t="s">
        <v>74</v>
      </c>
      <c r="M958" s="1" t="s">
        <v>80</v>
      </c>
      <c r="N958" s="1" t="s">
        <v>136</v>
      </c>
      <c r="O958" s="1" t="s">
        <v>74</v>
      </c>
      <c r="P958" s="1" t="s">
        <v>74</v>
      </c>
      <c r="Q958" s="1" t="s">
        <v>74</v>
      </c>
      <c r="R958" s="1" t="s">
        <v>74</v>
      </c>
      <c r="S958" s="1" t="s">
        <v>74</v>
      </c>
      <c r="T958" s="1" t="s">
        <v>19041</v>
      </c>
      <c r="U958" s="1" t="s">
        <v>19042</v>
      </c>
      <c r="V958" s="1" t="s">
        <v>19043</v>
      </c>
      <c r="W958" s="1" t="s">
        <v>19044</v>
      </c>
      <c r="X958" s="1" t="s">
        <v>19045</v>
      </c>
      <c r="Y958" s="1" t="s">
        <v>19046</v>
      </c>
      <c r="Z958" s="1" t="s">
        <v>19047</v>
      </c>
      <c r="AA958" s="1" t="s">
        <v>74</v>
      </c>
      <c r="AB958" s="1" t="s">
        <v>74</v>
      </c>
      <c r="AC958" s="1" t="s">
        <v>74</v>
      </c>
      <c r="AD958" s="1" t="s">
        <v>74</v>
      </c>
      <c r="AE958" s="1" t="s">
        <v>74</v>
      </c>
      <c r="AF958" s="1" t="s">
        <v>74</v>
      </c>
      <c r="AG958" s="1">
        <v>24.0</v>
      </c>
      <c r="AH958" s="1">
        <v>0.0</v>
      </c>
      <c r="AI958" s="1">
        <v>0.0</v>
      </c>
      <c r="AJ958" s="1">
        <v>75.0</v>
      </c>
      <c r="AK958" s="1">
        <v>75.0</v>
      </c>
      <c r="AL958" s="1" t="s">
        <v>3341</v>
      </c>
      <c r="AM958" s="1" t="s">
        <v>2426</v>
      </c>
      <c r="AN958" s="1" t="s">
        <v>3342</v>
      </c>
      <c r="AO958" s="1" t="s">
        <v>3343</v>
      </c>
      <c r="AP958" s="1" t="s">
        <v>3344</v>
      </c>
      <c r="AQ958" s="1" t="s">
        <v>74</v>
      </c>
      <c r="AR958" s="1" t="s">
        <v>3345</v>
      </c>
      <c r="AS958" s="1" t="s">
        <v>3346</v>
      </c>
      <c r="AT958" s="1" t="s">
        <v>1301</v>
      </c>
      <c r="AU958" s="1">
        <v>2025.0</v>
      </c>
      <c r="AV958" s="1">
        <v>72.0</v>
      </c>
      <c r="AW958" s="1" t="s">
        <v>74</v>
      </c>
      <c r="AX958" s="1" t="s">
        <v>74</v>
      </c>
      <c r="AY958" s="1" t="s">
        <v>74</v>
      </c>
      <c r="AZ958" s="1" t="s">
        <v>74</v>
      </c>
      <c r="BA958" s="1" t="s">
        <v>74</v>
      </c>
      <c r="BB958" s="1" t="s">
        <v>74</v>
      </c>
      <c r="BC958" s="1" t="s">
        <v>74</v>
      </c>
      <c r="BD958" s="1">
        <v>106480.0</v>
      </c>
      <c r="BE958" s="1" t="s">
        <v>19048</v>
      </c>
      <c r="BF958" s="2" t="str">
        <f>HYPERLINK("http://dx.doi.org/10.1016/j.frl.2024.106480","http://dx.doi.org/10.1016/j.frl.2024.106480")</f>
        <v>http://dx.doi.org/10.1016/j.frl.2024.106480</v>
      </c>
      <c r="BG958" s="1" t="s">
        <v>74</v>
      </c>
      <c r="BH958" s="1" t="s">
        <v>499</v>
      </c>
      <c r="BI958" s="1">
        <v>10.0</v>
      </c>
      <c r="BJ958" s="1" t="s">
        <v>3350</v>
      </c>
      <c r="BK958" s="1" t="s">
        <v>203</v>
      </c>
      <c r="BL958" s="1" t="s">
        <v>204</v>
      </c>
      <c r="BM958" s="1" t="s">
        <v>19049</v>
      </c>
      <c r="BN958" s="1" t="s">
        <v>74</v>
      </c>
      <c r="BO958" s="1" t="s">
        <v>74</v>
      </c>
      <c r="BP958" s="1" t="s">
        <v>74</v>
      </c>
      <c r="BQ958" s="1" t="s">
        <v>74</v>
      </c>
      <c r="BR958" s="1" t="s">
        <v>102</v>
      </c>
      <c r="BS958" s="1" t="s">
        <v>19050</v>
      </c>
      <c r="BT958" s="1" t="str">
        <f>HYPERLINK("https%3A%2F%2Fwww.webofscience.com%2Fwos%2Fwoscc%2Ffull-record%2FWOS:001372514300001","View Full Record in Web of Science")</f>
        <v>View Full Record in Web of Science</v>
      </c>
    </row>
    <row r="959" ht="12.75" customHeight="1">
      <c r="A959" s="1" t="s">
        <v>132</v>
      </c>
      <c r="B959" s="1" t="s">
        <v>19051</v>
      </c>
      <c r="C959" s="1" t="s">
        <v>74</v>
      </c>
      <c r="D959" s="1" t="s">
        <v>74</v>
      </c>
      <c r="E959" s="1" t="s">
        <v>74</v>
      </c>
      <c r="F959" s="1" t="s">
        <v>19052</v>
      </c>
      <c r="G959" s="1" t="s">
        <v>74</v>
      </c>
      <c r="H959" s="1" t="s">
        <v>74</v>
      </c>
      <c r="I959" s="1" t="s">
        <v>19053</v>
      </c>
      <c r="J959" s="1" t="s">
        <v>19054</v>
      </c>
      <c r="K959" s="1" t="s">
        <v>74</v>
      </c>
      <c r="L959" s="1" t="s">
        <v>74</v>
      </c>
      <c r="M959" s="1" t="s">
        <v>80</v>
      </c>
      <c r="N959" s="1" t="s">
        <v>136</v>
      </c>
      <c r="O959" s="1" t="s">
        <v>74</v>
      </c>
      <c r="P959" s="1" t="s">
        <v>74</v>
      </c>
      <c r="Q959" s="1" t="s">
        <v>74</v>
      </c>
      <c r="R959" s="1" t="s">
        <v>74</v>
      </c>
      <c r="S959" s="1" t="s">
        <v>74</v>
      </c>
      <c r="T959" s="1" t="s">
        <v>19055</v>
      </c>
      <c r="U959" s="1" t="s">
        <v>19056</v>
      </c>
      <c r="V959" s="1" t="s">
        <v>19057</v>
      </c>
      <c r="W959" s="1" t="s">
        <v>19058</v>
      </c>
      <c r="X959" s="1" t="s">
        <v>19059</v>
      </c>
      <c r="Y959" s="1" t="s">
        <v>19060</v>
      </c>
      <c r="Z959" s="1" t="s">
        <v>19061</v>
      </c>
      <c r="AA959" s="1" t="s">
        <v>19062</v>
      </c>
      <c r="AB959" s="1" t="s">
        <v>19063</v>
      </c>
      <c r="AC959" s="1" t="s">
        <v>74</v>
      </c>
      <c r="AD959" s="1" t="s">
        <v>74</v>
      </c>
      <c r="AE959" s="1" t="s">
        <v>74</v>
      </c>
      <c r="AF959" s="1" t="s">
        <v>74</v>
      </c>
      <c r="AG959" s="1">
        <v>33.0</v>
      </c>
      <c r="AH959" s="1">
        <v>31.0</v>
      </c>
      <c r="AI959" s="1">
        <v>34.0</v>
      </c>
      <c r="AJ959" s="1">
        <v>7.0</v>
      </c>
      <c r="AK959" s="1">
        <v>71.0</v>
      </c>
      <c r="AL959" s="1" t="s">
        <v>7687</v>
      </c>
      <c r="AM959" s="1" t="s">
        <v>349</v>
      </c>
      <c r="AN959" s="1" t="s">
        <v>7688</v>
      </c>
      <c r="AO959" s="1" t="s">
        <v>19064</v>
      </c>
      <c r="AP959" s="1" t="s">
        <v>19065</v>
      </c>
      <c r="AQ959" s="1" t="s">
        <v>74</v>
      </c>
      <c r="AR959" s="1" t="s">
        <v>19066</v>
      </c>
      <c r="AS959" s="1" t="s">
        <v>19067</v>
      </c>
      <c r="AT959" s="1" t="s">
        <v>1253</v>
      </c>
      <c r="AU959" s="1">
        <v>2020.0</v>
      </c>
      <c r="AV959" s="1">
        <v>32.0</v>
      </c>
      <c r="AW959" s="1">
        <v>7.0</v>
      </c>
      <c r="AX959" s="1" t="s">
        <v>74</v>
      </c>
      <c r="AY959" s="1" t="s">
        <v>74</v>
      </c>
      <c r="AZ959" s="1" t="s">
        <v>474</v>
      </c>
      <c r="BA959" s="1" t="s">
        <v>74</v>
      </c>
      <c r="BB959" s="1">
        <v>2243.0</v>
      </c>
      <c r="BC959" s="1">
        <v>2256.0</v>
      </c>
      <c r="BD959" s="1" t="s">
        <v>74</v>
      </c>
      <c r="BE959" s="1" t="s">
        <v>19068</v>
      </c>
      <c r="BF959" s="2" t="str">
        <f>HYPERLINK("http://dx.doi.org/10.1007/s00521-019-04393-5","http://dx.doi.org/10.1007/s00521-019-04393-5")</f>
        <v>http://dx.doi.org/10.1007/s00521-019-04393-5</v>
      </c>
      <c r="BG959" s="1" t="s">
        <v>74</v>
      </c>
      <c r="BH959" s="1" t="s">
        <v>74</v>
      </c>
      <c r="BI959" s="1">
        <v>14.0</v>
      </c>
      <c r="BJ959" s="1" t="s">
        <v>1214</v>
      </c>
      <c r="BK959" s="1" t="s">
        <v>783</v>
      </c>
      <c r="BL959" s="1" t="s">
        <v>232</v>
      </c>
      <c r="BM959" s="1" t="s">
        <v>19069</v>
      </c>
      <c r="BN959" s="1" t="s">
        <v>74</v>
      </c>
      <c r="BO959" s="1" t="s">
        <v>74</v>
      </c>
      <c r="BP959" s="1" t="s">
        <v>74</v>
      </c>
      <c r="BQ959" s="1" t="s">
        <v>74</v>
      </c>
      <c r="BR959" s="1" t="s">
        <v>102</v>
      </c>
      <c r="BS959" s="1" t="s">
        <v>19070</v>
      </c>
      <c r="BT959" s="1" t="str">
        <f>HYPERLINK("https%3A%2F%2Fwww.webofscience.com%2Fwos%2Fwoscc%2Ffull-record%2FWOS:000522553100031","View Full Record in Web of Science")</f>
        <v>View Full Record in Web of Science</v>
      </c>
    </row>
    <row r="960" ht="12.75" customHeight="1">
      <c r="A960" s="1" t="s">
        <v>72</v>
      </c>
      <c r="B960" s="1" t="s">
        <v>19071</v>
      </c>
      <c r="C960" s="1" t="s">
        <v>74</v>
      </c>
      <c r="D960" s="1" t="s">
        <v>10025</v>
      </c>
      <c r="E960" s="1" t="s">
        <v>74</v>
      </c>
      <c r="F960" s="1" t="s">
        <v>19072</v>
      </c>
      <c r="G960" s="1" t="s">
        <v>74</v>
      </c>
      <c r="H960" s="1" t="s">
        <v>74</v>
      </c>
      <c r="I960" s="1" t="s">
        <v>19073</v>
      </c>
      <c r="J960" s="1" t="s">
        <v>10028</v>
      </c>
      <c r="K960" s="1" t="s">
        <v>74</v>
      </c>
      <c r="L960" s="1" t="s">
        <v>74</v>
      </c>
      <c r="M960" s="1" t="s">
        <v>80</v>
      </c>
      <c r="N960" s="1" t="s">
        <v>81</v>
      </c>
      <c r="O960" s="1" t="s">
        <v>10029</v>
      </c>
      <c r="P960" s="1" t="s">
        <v>10030</v>
      </c>
      <c r="Q960" s="1" t="s">
        <v>10031</v>
      </c>
      <c r="R960" s="1" t="s">
        <v>236</v>
      </c>
      <c r="S960" s="1" t="s">
        <v>74</v>
      </c>
      <c r="T960" s="1" t="s">
        <v>19074</v>
      </c>
      <c r="U960" s="1" t="s">
        <v>74</v>
      </c>
      <c r="V960" s="1" t="s">
        <v>19075</v>
      </c>
      <c r="W960" s="1" t="s">
        <v>19076</v>
      </c>
      <c r="X960" s="1" t="s">
        <v>74</v>
      </c>
      <c r="Y960" s="1" t="s">
        <v>19077</v>
      </c>
      <c r="Z960" s="1" t="s">
        <v>19078</v>
      </c>
      <c r="AA960" s="1" t="s">
        <v>19079</v>
      </c>
      <c r="AB960" s="1" t="s">
        <v>19080</v>
      </c>
      <c r="AC960" s="1" t="s">
        <v>74</v>
      </c>
      <c r="AD960" s="1" t="s">
        <v>74</v>
      </c>
      <c r="AE960" s="1" t="s">
        <v>74</v>
      </c>
      <c r="AF960" s="1" t="s">
        <v>74</v>
      </c>
      <c r="AG960" s="1">
        <v>17.0</v>
      </c>
      <c r="AH960" s="1">
        <v>1.0</v>
      </c>
      <c r="AI960" s="1">
        <v>1.0</v>
      </c>
      <c r="AJ960" s="1">
        <v>18.0</v>
      </c>
      <c r="AK960" s="1">
        <v>23.0</v>
      </c>
      <c r="AL960" s="1" t="s">
        <v>236</v>
      </c>
      <c r="AM960" s="1" t="s">
        <v>193</v>
      </c>
      <c r="AN960" s="1" t="s">
        <v>252</v>
      </c>
      <c r="AO960" s="1" t="s">
        <v>74</v>
      </c>
      <c r="AP960" s="1" t="s">
        <v>74</v>
      </c>
      <c r="AQ960" s="1" t="s">
        <v>10038</v>
      </c>
      <c r="AR960" s="1" t="s">
        <v>74</v>
      </c>
      <c r="AS960" s="1" t="s">
        <v>74</v>
      </c>
      <c r="AT960" s="1" t="s">
        <v>74</v>
      </c>
      <c r="AU960" s="1">
        <v>2024.0</v>
      </c>
      <c r="AV960" s="1" t="s">
        <v>74</v>
      </c>
      <c r="AW960" s="1" t="s">
        <v>74</v>
      </c>
      <c r="AX960" s="1" t="s">
        <v>74</v>
      </c>
      <c r="AY960" s="1" t="s">
        <v>74</v>
      </c>
      <c r="AZ960" s="1" t="s">
        <v>74</v>
      </c>
      <c r="BA960" s="1" t="s">
        <v>74</v>
      </c>
      <c r="BB960" s="1" t="s">
        <v>74</v>
      </c>
      <c r="BC960" s="1" t="s">
        <v>74</v>
      </c>
      <c r="BD960" s="1" t="s">
        <v>74</v>
      </c>
      <c r="BE960" s="1" t="s">
        <v>19081</v>
      </c>
      <c r="BF960" s="2" t="str">
        <f>HYPERLINK("http://dx.doi.org/10.1109/EDUNINE60625.2024.10500578","http://dx.doi.org/10.1109/EDUNINE60625.2024.10500578")</f>
        <v>http://dx.doi.org/10.1109/EDUNINE60625.2024.10500578</v>
      </c>
      <c r="BG960" s="1" t="s">
        <v>74</v>
      </c>
      <c r="BH960" s="1" t="s">
        <v>74</v>
      </c>
      <c r="BI960" s="1">
        <v>5.0</v>
      </c>
      <c r="BJ960" s="1" t="s">
        <v>10040</v>
      </c>
      <c r="BK960" s="1" t="s">
        <v>128</v>
      </c>
      <c r="BL960" s="1" t="s">
        <v>171</v>
      </c>
      <c r="BM960" s="1" t="s">
        <v>10041</v>
      </c>
      <c r="BN960" s="1" t="s">
        <v>74</v>
      </c>
      <c r="BO960" s="1" t="s">
        <v>74</v>
      </c>
      <c r="BP960" s="1" t="s">
        <v>74</v>
      </c>
      <c r="BQ960" s="1" t="s">
        <v>74</v>
      </c>
      <c r="BR960" s="1" t="s">
        <v>102</v>
      </c>
      <c r="BS960" s="1" t="s">
        <v>19082</v>
      </c>
      <c r="BT960" s="1" t="str">
        <f>HYPERLINK("https%3A%2F%2Fwww.webofscience.com%2Fwos%2Fwoscc%2Ffull-record%2FWOS:001215053500030","View Full Record in Web of Science")</f>
        <v>View Full Record in Web of Science</v>
      </c>
    </row>
    <row r="961" ht="12.75" customHeight="1">
      <c r="A961" s="1" t="s">
        <v>132</v>
      </c>
      <c r="B961" s="1" t="s">
        <v>19083</v>
      </c>
      <c r="C961" s="1" t="s">
        <v>74</v>
      </c>
      <c r="D961" s="1" t="s">
        <v>74</v>
      </c>
      <c r="E961" s="1" t="s">
        <v>74</v>
      </c>
      <c r="F961" s="1" t="s">
        <v>19084</v>
      </c>
      <c r="G961" s="1" t="s">
        <v>74</v>
      </c>
      <c r="H961" s="1" t="s">
        <v>74</v>
      </c>
      <c r="I961" s="1" t="s">
        <v>19085</v>
      </c>
      <c r="J961" s="1" t="s">
        <v>8023</v>
      </c>
      <c r="K961" s="1" t="s">
        <v>74</v>
      </c>
      <c r="L961" s="1" t="s">
        <v>74</v>
      </c>
      <c r="M961" s="1" t="s">
        <v>80</v>
      </c>
      <c r="N961" s="1" t="s">
        <v>1010</v>
      </c>
      <c r="O961" s="1" t="s">
        <v>74</v>
      </c>
      <c r="P961" s="1" t="s">
        <v>74</v>
      </c>
      <c r="Q961" s="1" t="s">
        <v>74</v>
      </c>
      <c r="R961" s="1" t="s">
        <v>74</v>
      </c>
      <c r="S961" s="1" t="s">
        <v>74</v>
      </c>
      <c r="T961" s="1" t="s">
        <v>19086</v>
      </c>
      <c r="U961" s="1" t="s">
        <v>19087</v>
      </c>
      <c r="V961" s="1" t="s">
        <v>19088</v>
      </c>
      <c r="W961" s="1" t="s">
        <v>19089</v>
      </c>
      <c r="X961" s="1" t="s">
        <v>1550</v>
      </c>
      <c r="Y961" s="1" t="s">
        <v>19090</v>
      </c>
      <c r="Z961" s="1" t="s">
        <v>19091</v>
      </c>
      <c r="AA961" s="1" t="s">
        <v>19092</v>
      </c>
      <c r="AB961" s="1" t="s">
        <v>19093</v>
      </c>
      <c r="AC961" s="1" t="s">
        <v>19094</v>
      </c>
      <c r="AD961" s="1" t="s">
        <v>19094</v>
      </c>
      <c r="AE961" s="1" t="s">
        <v>19095</v>
      </c>
      <c r="AF961" s="1" t="s">
        <v>74</v>
      </c>
      <c r="AG961" s="1">
        <v>81.0</v>
      </c>
      <c r="AH961" s="1">
        <v>21.0</v>
      </c>
      <c r="AI961" s="1">
        <v>21.0</v>
      </c>
      <c r="AJ961" s="1">
        <v>11.0</v>
      </c>
      <c r="AK961" s="1">
        <v>67.0</v>
      </c>
      <c r="AL961" s="1" t="s">
        <v>1970</v>
      </c>
      <c r="AM961" s="1" t="s">
        <v>1658</v>
      </c>
      <c r="AN961" s="1" t="s">
        <v>1971</v>
      </c>
      <c r="AO961" s="1" t="s">
        <v>74</v>
      </c>
      <c r="AP961" s="1" t="s">
        <v>8031</v>
      </c>
      <c r="AQ961" s="1" t="s">
        <v>74</v>
      </c>
      <c r="AR961" s="1" t="s">
        <v>8032</v>
      </c>
      <c r="AS961" s="1" t="s">
        <v>8033</v>
      </c>
      <c r="AT961" s="1" t="s">
        <v>199</v>
      </c>
      <c r="AU961" s="1">
        <v>2021.0</v>
      </c>
      <c r="AV961" s="1">
        <v>21.0</v>
      </c>
      <c r="AW961" s="1">
        <v>21.0</v>
      </c>
      <c r="AX961" s="1" t="s">
        <v>74</v>
      </c>
      <c r="AY961" s="1" t="s">
        <v>74</v>
      </c>
      <c r="AZ961" s="1" t="s">
        <v>74</v>
      </c>
      <c r="BA961" s="1" t="s">
        <v>74</v>
      </c>
      <c r="BB961" s="1" t="s">
        <v>74</v>
      </c>
      <c r="BC961" s="1" t="s">
        <v>74</v>
      </c>
      <c r="BD961" s="1">
        <v>7029.0</v>
      </c>
      <c r="BE961" s="1" t="s">
        <v>19096</v>
      </c>
      <c r="BF961" s="2" t="str">
        <f>HYPERLINK("http://dx.doi.org/10.3390/s21217029","http://dx.doi.org/10.3390/s21217029")</f>
        <v>http://dx.doi.org/10.3390/s21217029</v>
      </c>
      <c r="BG961" s="1" t="s">
        <v>74</v>
      </c>
      <c r="BH961" s="1" t="s">
        <v>74</v>
      </c>
      <c r="BI961" s="1">
        <v>19.0</v>
      </c>
      <c r="BJ961" s="1" t="s">
        <v>8035</v>
      </c>
      <c r="BK961" s="1" t="s">
        <v>783</v>
      </c>
      <c r="BL961" s="1" t="s">
        <v>8036</v>
      </c>
      <c r="BM961" s="1" t="s">
        <v>19097</v>
      </c>
      <c r="BN961" s="1">
        <v>3.4770336E7</v>
      </c>
      <c r="BO961" s="1" t="s">
        <v>8038</v>
      </c>
      <c r="BP961" s="1" t="s">
        <v>74</v>
      </c>
      <c r="BQ961" s="1" t="s">
        <v>74</v>
      </c>
      <c r="BR961" s="1" t="s">
        <v>102</v>
      </c>
      <c r="BS961" s="1" t="s">
        <v>19098</v>
      </c>
      <c r="BT961" s="1" t="str">
        <f>HYPERLINK("https%3A%2F%2Fwww.webofscience.com%2Fwos%2Fwoscc%2Ffull-record%2FWOS:000726934700001","View Full Record in Web of Science")</f>
        <v>View Full Record in Web of Science</v>
      </c>
    </row>
    <row r="962" ht="12.75" customHeight="1">
      <c r="A962" s="1" t="s">
        <v>132</v>
      </c>
      <c r="B962" s="1" t="s">
        <v>19099</v>
      </c>
      <c r="C962" s="1" t="s">
        <v>74</v>
      </c>
      <c r="D962" s="1" t="s">
        <v>74</v>
      </c>
      <c r="E962" s="1" t="s">
        <v>74</v>
      </c>
      <c r="F962" s="1" t="s">
        <v>19100</v>
      </c>
      <c r="G962" s="1" t="s">
        <v>74</v>
      </c>
      <c r="H962" s="1" t="s">
        <v>74</v>
      </c>
      <c r="I962" s="1" t="s">
        <v>19101</v>
      </c>
      <c r="J962" s="1" t="s">
        <v>4035</v>
      </c>
      <c r="K962" s="1" t="s">
        <v>74</v>
      </c>
      <c r="L962" s="1" t="s">
        <v>74</v>
      </c>
      <c r="M962" s="1" t="s">
        <v>80</v>
      </c>
      <c r="N962" s="1" t="s">
        <v>136</v>
      </c>
      <c r="O962" s="1" t="s">
        <v>74</v>
      </c>
      <c r="P962" s="1" t="s">
        <v>74</v>
      </c>
      <c r="Q962" s="1" t="s">
        <v>74</v>
      </c>
      <c r="R962" s="1" t="s">
        <v>74</v>
      </c>
      <c r="S962" s="1" t="s">
        <v>74</v>
      </c>
      <c r="T962" s="1" t="s">
        <v>19102</v>
      </c>
      <c r="U962" s="1" t="s">
        <v>19103</v>
      </c>
      <c r="V962" s="1" t="s">
        <v>19104</v>
      </c>
      <c r="W962" s="1" t="s">
        <v>19105</v>
      </c>
      <c r="X962" s="1" t="s">
        <v>19106</v>
      </c>
      <c r="Y962" s="1" t="s">
        <v>19107</v>
      </c>
      <c r="Z962" s="1" t="s">
        <v>19108</v>
      </c>
      <c r="AA962" s="1" t="s">
        <v>19109</v>
      </c>
      <c r="AB962" s="1" t="s">
        <v>19110</v>
      </c>
      <c r="AC962" s="1" t="s">
        <v>74</v>
      </c>
      <c r="AD962" s="1" t="s">
        <v>74</v>
      </c>
      <c r="AE962" s="1" t="s">
        <v>74</v>
      </c>
      <c r="AF962" s="1" t="s">
        <v>74</v>
      </c>
      <c r="AG962" s="1">
        <v>56.0</v>
      </c>
      <c r="AH962" s="1">
        <v>12.0</v>
      </c>
      <c r="AI962" s="1">
        <v>12.0</v>
      </c>
      <c r="AJ962" s="1">
        <v>11.0</v>
      </c>
      <c r="AK962" s="1">
        <v>93.0</v>
      </c>
      <c r="AL962" s="1" t="s">
        <v>275</v>
      </c>
      <c r="AM962" s="1" t="s">
        <v>276</v>
      </c>
      <c r="AN962" s="1" t="s">
        <v>277</v>
      </c>
      <c r="AO962" s="1" t="s">
        <v>4044</v>
      </c>
      <c r="AP962" s="1" t="s">
        <v>74</v>
      </c>
      <c r="AQ962" s="1" t="s">
        <v>74</v>
      </c>
      <c r="AR962" s="1" t="s">
        <v>4045</v>
      </c>
      <c r="AS962" s="1" t="s">
        <v>4046</v>
      </c>
      <c r="AT962" s="1" t="s">
        <v>7670</v>
      </c>
      <c r="AU962" s="1">
        <v>2022.0</v>
      </c>
      <c r="AV962" s="1">
        <v>13.0</v>
      </c>
      <c r="AW962" s="1" t="s">
        <v>74</v>
      </c>
      <c r="AX962" s="1" t="s">
        <v>74</v>
      </c>
      <c r="AY962" s="1" t="s">
        <v>74</v>
      </c>
      <c r="AZ962" s="1" t="s">
        <v>74</v>
      </c>
      <c r="BA962" s="1" t="s">
        <v>74</v>
      </c>
      <c r="BB962" s="1" t="s">
        <v>74</v>
      </c>
      <c r="BC962" s="1" t="s">
        <v>74</v>
      </c>
      <c r="BD962" s="1">
        <v>956798.0</v>
      </c>
      <c r="BE962" s="1" t="s">
        <v>19111</v>
      </c>
      <c r="BF962" s="2" t="str">
        <f>HYPERLINK("http://dx.doi.org/10.3389/fpsyg.2022.956798","http://dx.doi.org/10.3389/fpsyg.2022.956798")</f>
        <v>http://dx.doi.org/10.3389/fpsyg.2022.956798</v>
      </c>
      <c r="BG962" s="1" t="s">
        <v>74</v>
      </c>
      <c r="BH962" s="1" t="s">
        <v>74</v>
      </c>
      <c r="BI962" s="1">
        <v>7.0</v>
      </c>
      <c r="BJ962" s="1" t="s">
        <v>3260</v>
      </c>
      <c r="BK962" s="1" t="s">
        <v>203</v>
      </c>
      <c r="BL962" s="1" t="s">
        <v>3261</v>
      </c>
      <c r="BM962" s="1" t="s">
        <v>19112</v>
      </c>
      <c r="BN962" s="1">
        <v>3.6092115E7</v>
      </c>
      <c r="BO962" s="1" t="s">
        <v>1161</v>
      </c>
      <c r="BP962" s="1" t="s">
        <v>74</v>
      </c>
      <c r="BQ962" s="1" t="s">
        <v>74</v>
      </c>
      <c r="BR962" s="1" t="s">
        <v>102</v>
      </c>
      <c r="BS962" s="1" t="s">
        <v>19113</v>
      </c>
      <c r="BT962" s="1" t="str">
        <f>HYPERLINK("https%3A%2F%2Fwww.webofscience.com%2Fwos%2Fwoscc%2Ffull-record%2FWOS:000853794700001","View Full Record in Web of Science")</f>
        <v>View Full Record in Web of Science</v>
      </c>
    </row>
    <row r="963" ht="12.75" customHeight="1">
      <c r="A963" s="1" t="s">
        <v>132</v>
      </c>
      <c r="B963" s="1" t="s">
        <v>19114</v>
      </c>
      <c r="C963" s="1" t="s">
        <v>74</v>
      </c>
      <c r="D963" s="1" t="s">
        <v>74</v>
      </c>
      <c r="E963" s="1" t="s">
        <v>74</v>
      </c>
      <c r="F963" s="1" t="s">
        <v>19115</v>
      </c>
      <c r="G963" s="1" t="s">
        <v>74</v>
      </c>
      <c r="H963" s="1" t="s">
        <v>74</v>
      </c>
      <c r="I963" s="1" t="s">
        <v>19116</v>
      </c>
      <c r="J963" s="1" t="s">
        <v>3356</v>
      </c>
      <c r="K963" s="1" t="s">
        <v>74</v>
      </c>
      <c r="L963" s="1" t="s">
        <v>74</v>
      </c>
      <c r="M963" s="1" t="s">
        <v>80</v>
      </c>
      <c r="N963" s="1" t="s">
        <v>136</v>
      </c>
      <c r="O963" s="1" t="s">
        <v>74</v>
      </c>
      <c r="P963" s="1" t="s">
        <v>74</v>
      </c>
      <c r="Q963" s="1" t="s">
        <v>74</v>
      </c>
      <c r="R963" s="1" t="s">
        <v>74</v>
      </c>
      <c r="S963" s="1" t="s">
        <v>74</v>
      </c>
      <c r="T963" s="1" t="s">
        <v>19117</v>
      </c>
      <c r="U963" s="1" t="s">
        <v>19118</v>
      </c>
      <c r="V963" s="1" t="s">
        <v>19119</v>
      </c>
      <c r="W963" s="1" t="s">
        <v>19120</v>
      </c>
      <c r="X963" s="1" t="s">
        <v>19121</v>
      </c>
      <c r="Y963" s="1" t="s">
        <v>19122</v>
      </c>
      <c r="Z963" s="1" t="s">
        <v>19123</v>
      </c>
      <c r="AA963" s="1" t="s">
        <v>19124</v>
      </c>
      <c r="AB963" s="1" t="s">
        <v>19125</v>
      </c>
      <c r="AC963" s="1" t="s">
        <v>19126</v>
      </c>
      <c r="AD963" s="1" t="s">
        <v>19127</v>
      </c>
      <c r="AE963" s="1" t="s">
        <v>19128</v>
      </c>
      <c r="AF963" s="1" t="s">
        <v>74</v>
      </c>
      <c r="AG963" s="1">
        <v>56.0</v>
      </c>
      <c r="AH963" s="1">
        <v>6.0</v>
      </c>
      <c r="AI963" s="1">
        <v>6.0</v>
      </c>
      <c r="AJ963" s="1">
        <v>13.0</v>
      </c>
      <c r="AK963" s="1">
        <v>28.0</v>
      </c>
      <c r="AL963" s="1" t="s">
        <v>2745</v>
      </c>
      <c r="AM963" s="1" t="s">
        <v>2746</v>
      </c>
      <c r="AN963" s="1" t="s">
        <v>2747</v>
      </c>
      <c r="AO963" s="1" t="s">
        <v>3368</v>
      </c>
      <c r="AP963" s="1" t="s">
        <v>3369</v>
      </c>
      <c r="AQ963" s="1" t="s">
        <v>74</v>
      </c>
      <c r="AR963" s="1" t="s">
        <v>3370</v>
      </c>
      <c r="AS963" s="1" t="s">
        <v>3371</v>
      </c>
      <c r="AT963" s="1" t="s">
        <v>1364</v>
      </c>
      <c r="AU963" s="1">
        <v>2023.0</v>
      </c>
      <c r="AV963" s="1">
        <v>82.0</v>
      </c>
      <c r="AW963" s="1" t="s">
        <v>74</v>
      </c>
      <c r="AX963" s="1" t="s">
        <v>74</v>
      </c>
      <c r="AY963" s="1" t="s">
        <v>74</v>
      </c>
      <c r="AZ963" s="1" t="s">
        <v>74</v>
      </c>
      <c r="BA963" s="1" t="s">
        <v>74</v>
      </c>
      <c r="BB963" s="1" t="s">
        <v>74</v>
      </c>
      <c r="BC963" s="1" t="s">
        <v>74</v>
      </c>
      <c r="BD963" s="1">
        <v>103541.0</v>
      </c>
      <c r="BE963" s="1" t="s">
        <v>19129</v>
      </c>
      <c r="BF963" s="2" t="str">
        <f>HYPERLINK("http://dx.doi.org/10.1016/j.resourpol.2023.103541","http://dx.doi.org/10.1016/j.resourpol.2023.103541")</f>
        <v>http://dx.doi.org/10.1016/j.resourpol.2023.103541</v>
      </c>
      <c r="BG963" s="1" t="s">
        <v>74</v>
      </c>
      <c r="BH963" s="1" t="s">
        <v>3200</v>
      </c>
      <c r="BI963" s="1">
        <v>11.0</v>
      </c>
      <c r="BJ963" s="1" t="s">
        <v>1002</v>
      </c>
      <c r="BK963" s="1" t="s">
        <v>203</v>
      </c>
      <c r="BL963" s="1" t="s">
        <v>894</v>
      </c>
      <c r="BM963" s="1" t="s">
        <v>19130</v>
      </c>
      <c r="BN963" s="1" t="s">
        <v>74</v>
      </c>
      <c r="BO963" s="1" t="s">
        <v>74</v>
      </c>
      <c r="BP963" s="1" t="s">
        <v>74</v>
      </c>
      <c r="BQ963" s="1" t="s">
        <v>74</v>
      </c>
      <c r="BR963" s="1" t="s">
        <v>102</v>
      </c>
      <c r="BS963" s="1" t="s">
        <v>19131</v>
      </c>
      <c r="BT963" s="1" t="str">
        <f>HYPERLINK("https%3A%2F%2Fwww.webofscience.com%2Fwos%2Fwoscc%2Ffull-record%2FWOS:000986166600001","View Full Record in Web of Science")</f>
        <v>View Full Record in Web of Science</v>
      </c>
    </row>
    <row r="964" ht="12.75" customHeight="1">
      <c r="A964" s="1" t="s">
        <v>132</v>
      </c>
      <c r="B964" s="1" t="s">
        <v>19132</v>
      </c>
      <c r="C964" s="1" t="s">
        <v>74</v>
      </c>
      <c r="D964" s="1" t="s">
        <v>74</v>
      </c>
      <c r="E964" s="1" t="s">
        <v>74</v>
      </c>
      <c r="F964" s="1" t="s">
        <v>19133</v>
      </c>
      <c r="G964" s="1" t="s">
        <v>74</v>
      </c>
      <c r="H964" s="1" t="s">
        <v>74</v>
      </c>
      <c r="I964" s="1" t="s">
        <v>19134</v>
      </c>
      <c r="J964" s="1" t="s">
        <v>19135</v>
      </c>
      <c r="K964" s="1" t="s">
        <v>74</v>
      </c>
      <c r="L964" s="1" t="s">
        <v>74</v>
      </c>
      <c r="M964" s="1" t="s">
        <v>80</v>
      </c>
      <c r="N964" s="1" t="s">
        <v>136</v>
      </c>
      <c r="O964" s="1" t="s">
        <v>74</v>
      </c>
      <c r="P964" s="1" t="s">
        <v>74</v>
      </c>
      <c r="Q964" s="1" t="s">
        <v>74</v>
      </c>
      <c r="R964" s="1" t="s">
        <v>74</v>
      </c>
      <c r="S964" s="1" t="s">
        <v>74</v>
      </c>
      <c r="T964" s="1" t="s">
        <v>19136</v>
      </c>
      <c r="U964" s="1" t="s">
        <v>19137</v>
      </c>
      <c r="V964" s="1" t="s">
        <v>19138</v>
      </c>
      <c r="W964" s="1" t="s">
        <v>19139</v>
      </c>
      <c r="X964" s="1" t="s">
        <v>19140</v>
      </c>
      <c r="Y964" s="1" t="s">
        <v>19141</v>
      </c>
      <c r="Z964" s="1" t="s">
        <v>19142</v>
      </c>
      <c r="AA964" s="1" t="s">
        <v>19143</v>
      </c>
      <c r="AB964" s="1" t="s">
        <v>19144</v>
      </c>
      <c r="AC964" s="1" t="s">
        <v>74</v>
      </c>
      <c r="AD964" s="1" t="s">
        <v>74</v>
      </c>
      <c r="AE964" s="1" t="s">
        <v>74</v>
      </c>
      <c r="AF964" s="1" t="s">
        <v>74</v>
      </c>
      <c r="AG964" s="1">
        <v>174.0</v>
      </c>
      <c r="AH964" s="1">
        <v>17.0</v>
      </c>
      <c r="AI964" s="1">
        <v>17.0</v>
      </c>
      <c r="AJ964" s="1">
        <v>6.0</v>
      </c>
      <c r="AK964" s="1">
        <v>23.0</v>
      </c>
      <c r="AL964" s="1" t="s">
        <v>1612</v>
      </c>
      <c r="AM964" s="1" t="s">
        <v>1613</v>
      </c>
      <c r="AN964" s="1" t="s">
        <v>1614</v>
      </c>
      <c r="AO964" s="1" t="s">
        <v>19145</v>
      </c>
      <c r="AP964" s="1" t="s">
        <v>19146</v>
      </c>
      <c r="AQ964" s="1" t="s">
        <v>74</v>
      </c>
      <c r="AR964" s="1" t="s">
        <v>19147</v>
      </c>
      <c r="AS964" s="1" t="s">
        <v>19148</v>
      </c>
      <c r="AT964" s="1" t="s">
        <v>1051</v>
      </c>
      <c r="AU964" s="1">
        <v>2022.0</v>
      </c>
      <c r="AV964" s="1">
        <v>10.0</v>
      </c>
      <c r="AW964" s="1">
        <v>4.0</v>
      </c>
      <c r="AX964" s="1" t="s">
        <v>74</v>
      </c>
      <c r="AY964" s="1" t="s">
        <v>74</v>
      </c>
      <c r="AZ964" s="1" t="s">
        <v>74</v>
      </c>
      <c r="BA964" s="1" t="s">
        <v>74</v>
      </c>
      <c r="BB964" s="1">
        <v>90.0</v>
      </c>
      <c r="BC964" s="1">
        <v>124.0</v>
      </c>
      <c r="BD964" s="1" t="s">
        <v>74</v>
      </c>
      <c r="BE964" s="1" t="s">
        <v>19149</v>
      </c>
      <c r="BF964" s="2" t="str">
        <f>HYPERLINK("http://dx.doi.org/10.1109/MGRS.2022.3208357","http://dx.doi.org/10.1109/MGRS.2022.3208357")</f>
        <v>http://dx.doi.org/10.1109/MGRS.2022.3208357</v>
      </c>
      <c r="BG964" s="1" t="s">
        <v>74</v>
      </c>
      <c r="BH964" s="1" t="s">
        <v>3050</v>
      </c>
      <c r="BI964" s="1">
        <v>35.0</v>
      </c>
      <c r="BJ964" s="1" t="s">
        <v>19150</v>
      </c>
      <c r="BK964" s="1" t="s">
        <v>149</v>
      </c>
      <c r="BL964" s="1" t="s">
        <v>19150</v>
      </c>
      <c r="BM964" s="1" t="s">
        <v>19151</v>
      </c>
      <c r="BN964" s="1" t="s">
        <v>74</v>
      </c>
      <c r="BO964" s="1" t="s">
        <v>74</v>
      </c>
      <c r="BP964" s="1" t="s">
        <v>74</v>
      </c>
      <c r="BQ964" s="1" t="s">
        <v>74</v>
      </c>
      <c r="BR964" s="1" t="s">
        <v>102</v>
      </c>
      <c r="BS964" s="1" t="s">
        <v>19152</v>
      </c>
      <c r="BT964" s="1" t="str">
        <f>HYPERLINK("https%3A%2F%2Fwww.webofscience.com%2Fwos%2Fwoscc%2Ffull-record%2FWOS:000890802700001","View Full Record in Web of Science")</f>
        <v>View Full Record in Web of Science</v>
      </c>
    </row>
    <row r="965" ht="12.75" customHeight="1">
      <c r="A965" s="1" t="s">
        <v>132</v>
      </c>
      <c r="B965" s="1" t="s">
        <v>19153</v>
      </c>
      <c r="C965" s="1" t="s">
        <v>74</v>
      </c>
      <c r="D965" s="1" t="s">
        <v>74</v>
      </c>
      <c r="E965" s="1" t="s">
        <v>74</v>
      </c>
      <c r="F965" s="1" t="s">
        <v>19154</v>
      </c>
      <c r="G965" s="1" t="s">
        <v>74</v>
      </c>
      <c r="H965" s="1" t="s">
        <v>74</v>
      </c>
      <c r="I965" s="1" t="s">
        <v>19155</v>
      </c>
      <c r="J965" s="1" t="s">
        <v>7242</v>
      </c>
      <c r="K965" s="1" t="s">
        <v>74</v>
      </c>
      <c r="L965" s="1" t="s">
        <v>74</v>
      </c>
      <c r="M965" s="1" t="s">
        <v>80</v>
      </c>
      <c r="N965" s="1" t="s">
        <v>136</v>
      </c>
      <c r="O965" s="1" t="s">
        <v>74</v>
      </c>
      <c r="P965" s="1" t="s">
        <v>74</v>
      </c>
      <c r="Q965" s="1" t="s">
        <v>74</v>
      </c>
      <c r="R965" s="1" t="s">
        <v>74</v>
      </c>
      <c r="S965" s="1" t="s">
        <v>74</v>
      </c>
      <c r="T965" s="1" t="s">
        <v>19156</v>
      </c>
      <c r="U965" s="1" t="s">
        <v>217</v>
      </c>
      <c r="V965" s="1" t="s">
        <v>19157</v>
      </c>
      <c r="W965" s="1" t="s">
        <v>19158</v>
      </c>
      <c r="X965" s="1" t="s">
        <v>19159</v>
      </c>
      <c r="Y965" s="1" t="s">
        <v>19160</v>
      </c>
      <c r="Z965" s="1" t="s">
        <v>19161</v>
      </c>
      <c r="AA965" s="1" t="s">
        <v>74</v>
      </c>
      <c r="AB965" s="1" t="s">
        <v>74</v>
      </c>
      <c r="AC965" s="1" t="s">
        <v>19162</v>
      </c>
      <c r="AD965" s="1" t="s">
        <v>19163</v>
      </c>
      <c r="AE965" s="1" t="s">
        <v>19164</v>
      </c>
      <c r="AF965" s="1" t="s">
        <v>74</v>
      </c>
      <c r="AG965" s="1">
        <v>36.0</v>
      </c>
      <c r="AH965" s="1">
        <v>17.0</v>
      </c>
      <c r="AI965" s="1">
        <v>19.0</v>
      </c>
      <c r="AJ965" s="1">
        <v>66.0</v>
      </c>
      <c r="AK965" s="1">
        <v>206.0</v>
      </c>
      <c r="AL965" s="1" t="s">
        <v>192</v>
      </c>
      <c r="AM965" s="1" t="s">
        <v>193</v>
      </c>
      <c r="AN965" s="1" t="s">
        <v>194</v>
      </c>
      <c r="AO965" s="1" t="s">
        <v>7252</v>
      </c>
      <c r="AP965" s="1" t="s">
        <v>7253</v>
      </c>
      <c r="AQ965" s="1" t="s">
        <v>74</v>
      </c>
      <c r="AR965" s="1" t="s">
        <v>7254</v>
      </c>
      <c r="AS965" s="1" t="s">
        <v>7255</v>
      </c>
      <c r="AT965" s="1" t="s">
        <v>1253</v>
      </c>
      <c r="AU965" s="1">
        <v>2023.0</v>
      </c>
      <c r="AV965" s="1">
        <v>28.0</v>
      </c>
      <c r="AW965" s="1">
        <v>4.0</v>
      </c>
      <c r="AX965" s="1" t="s">
        <v>74</v>
      </c>
      <c r="AY965" s="1" t="s">
        <v>74</v>
      </c>
      <c r="AZ965" s="1" t="s">
        <v>74</v>
      </c>
      <c r="BA965" s="1" t="s">
        <v>74</v>
      </c>
      <c r="BB965" s="1">
        <v>3893.0</v>
      </c>
      <c r="BC965" s="1">
        <v>3910.0</v>
      </c>
      <c r="BD965" s="1" t="s">
        <v>74</v>
      </c>
      <c r="BE965" s="1" t="s">
        <v>19165</v>
      </c>
      <c r="BF965" s="2" t="str">
        <f>HYPERLINK("http://dx.doi.org/10.1007/s10639-022-11309-9","http://dx.doi.org/10.1007/s10639-022-11309-9")</f>
        <v>http://dx.doi.org/10.1007/s10639-022-11309-9</v>
      </c>
      <c r="BG965" s="1" t="s">
        <v>74</v>
      </c>
      <c r="BH965" s="1" t="s">
        <v>9035</v>
      </c>
      <c r="BI965" s="1">
        <v>18.0</v>
      </c>
      <c r="BJ965" s="1" t="s">
        <v>171</v>
      </c>
      <c r="BK965" s="1" t="s">
        <v>203</v>
      </c>
      <c r="BL965" s="1" t="s">
        <v>171</v>
      </c>
      <c r="BM965" s="1" t="s">
        <v>17604</v>
      </c>
      <c r="BN965" s="1" t="s">
        <v>74</v>
      </c>
      <c r="BO965" s="1" t="s">
        <v>74</v>
      </c>
      <c r="BP965" s="1" t="s">
        <v>74</v>
      </c>
      <c r="BQ965" s="1" t="s">
        <v>74</v>
      </c>
      <c r="BR965" s="1" t="s">
        <v>102</v>
      </c>
      <c r="BS965" s="1" t="s">
        <v>19166</v>
      </c>
      <c r="BT965" s="1" t="str">
        <f>HYPERLINK("https%3A%2F%2Fwww.webofscience.com%2Fwos%2Fwoscc%2Ffull-record%2FWOS:000864240100003","View Full Record in Web of Science")</f>
        <v>View Full Record in Web of Science</v>
      </c>
    </row>
    <row r="966" ht="12.75" customHeight="1">
      <c r="A966" s="1" t="s">
        <v>72</v>
      </c>
      <c r="B966" s="1" t="s">
        <v>19167</v>
      </c>
      <c r="C966" s="1" t="s">
        <v>74</v>
      </c>
      <c r="D966" s="1" t="s">
        <v>74</v>
      </c>
      <c r="E966" s="1" t="s">
        <v>236</v>
      </c>
      <c r="F966" s="1" t="s">
        <v>19168</v>
      </c>
      <c r="G966" s="1" t="s">
        <v>74</v>
      </c>
      <c r="H966" s="1" t="s">
        <v>74</v>
      </c>
      <c r="I966" s="1" t="s">
        <v>19169</v>
      </c>
      <c r="J966" s="1" t="s">
        <v>19170</v>
      </c>
      <c r="K966" s="1" t="s">
        <v>74</v>
      </c>
      <c r="L966" s="1" t="s">
        <v>74</v>
      </c>
      <c r="M966" s="1" t="s">
        <v>80</v>
      </c>
      <c r="N966" s="1" t="s">
        <v>81</v>
      </c>
      <c r="O966" s="1" t="s">
        <v>19171</v>
      </c>
      <c r="P966" s="1" t="s">
        <v>19172</v>
      </c>
      <c r="Q966" s="1" t="s">
        <v>19173</v>
      </c>
      <c r="R966" s="1" t="s">
        <v>19174</v>
      </c>
      <c r="S966" s="1" t="s">
        <v>74</v>
      </c>
      <c r="T966" s="1" t="s">
        <v>19175</v>
      </c>
      <c r="U966" s="1" t="s">
        <v>74</v>
      </c>
      <c r="V966" s="1" t="s">
        <v>19176</v>
      </c>
      <c r="W966" s="1" t="s">
        <v>19177</v>
      </c>
      <c r="X966" s="1" t="s">
        <v>19178</v>
      </c>
      <c r="Y966" s="1" t="s">
        <v>19179</v>
      </c>
      <c r="Z966" s="1" t="s">
        <v>19180</v>
      </c>
      <c r="AA966" s="1" t="s">
        <v>19181</v>
      </c>
      <c r="AB966" s="1" t="s">
        <v>74</v>
      </c>
      <c r="AC966" s="1" t="s">
        <v>74</v>
      </c>
      <c r="AD966" s="1" t="s">
        <v>74</v>
      </c>
      <c r="AE966" s="1" t="s">
        <v>74</v>
      </c>
      <c r="AF966" s="1" t="s">
        <v>74</v>
      </c>
      <c r="AG966" s="1">
        <v>5.0</v>
      </c>
      <c r="AH966" s="1">
        <v>0.0</v>
      </c>
      <c r="AI966" s="1">
        <v>0.0</v>
      </c>
      <c r="AJ966" s="1">
        <v>10.0</v>
      </c>
      <c r="AK966" s="1">
        <v>118.0</v>
      </c>
      <c r="AL966" s="1" t="s">
        <v>236</v>
      </c>
      <c r="AM966" s="1" t="s">
        <v>193</v>
      </c>
      <c r="AN966" s="1" t="s">
        <v>252</v>
      </c>
      <c r="AO966" s="1" t="s">
        <v>74</v>
      </c>
      <c r="AP966" s="1" t="s">
        <v>74</v>
      </c>
      <c r="AQ966" s="1" t="s">
        <v>19182</v>
      </c>
      <c r="AR966" s="1" t="s">
        <v>74</v>
      </c>
      <c r="AS966" s="1" t="s">
        <v>74</v>
      </c>
      <c r="AT966" s="1" t="s">
        <v>74</v>
      </c>
      <c r="AU966" s="1">
        <v>2020.0</v>
      </c>
      <c r="AV966" s="1" t="s">
        <v>74</v>
      </c>
      <c r="AW966" s="1" t="s">
        <v>74</v>
      </c>
      <c r="AX966" s="1" t="s">
        <v>74</v>
      </c>
      <c r="AY966" s="1" t="s">
        <v>74</v>
      </c>
      <c r="AZ966" s="1" t="s">
        <v>74</v>
      </c>
      <c r="BA966" s="1" t="s">
        <v>74</v>
      </c>
      <c r="BB966" s="1">
        <v>1365.0</v>
      </c>
      <c r="BC966" s="1">
        <v>1369.0</v>
      </c>
      <c r="BD966" s="1" t="s">
        <v>74</v>
      </c>
      <c r="BE966" s="1" t="s">
        <v>19183</v>
      </c>
      <c r="BF966" s="2" t="str">
        <f>HYPERLINK("http://dx.doi.org/10.1109/ICMCCE51767.2020.00300","http://dx.doi.org/10.1109/ICMCCE51767.2020.00300")</f>
        <v>http://dx.doi.org/10.1109/ICMCCE51767.2020.00300</v>
      </c>
      <c r="BG966" s="1" t="s">
        <v>74</v>
      </c>
      <c r="BH966" s="1" t="s">
        <v>74</v>
      </c>
      <c r="BI966" s="1">
        <v>5.0</v>
      </c>
      <c r="BJ966" s="1" t="s">
        <v>19184</v>
      </c>
      <c r="BK966" s="1" t="s">
        <v>128</v>
      </c>
      <c r="BL966" s="1" t="s">
        <v>19185</v>
      </c>
      <c r="BM966" s="1" t="s">
        <v>19186</v>
      </c>
      <c r="BN966" s="1" t="s">
        <v>74</v>
      </c>
      <c r="BO966" s="1" t="s">
        <v>74</v>
      </c>
      <c r="BP966" s="1" t="s">
        <v>74</v>
      </c>
      <c r="BQ966" s="1" t="s">
        <v>74</v>
      </c>
      <c r="BR966" s="1" t="s">
        <v>102</v>
      </c>
      <c r="BS966" s="1" t="s">
        <v>19187</v>
      </c>
      <c r="BT966" s="1" t="str">
        <f>HYPERLINK("https%3A%2F%2Fwww.webofscience.com%2Fwos%2Fwoscc%2Ffull-record%2FWOS:000675598100291","View Full Record in Web of Science")</f>
        <v>View Full Record in Web of Science</v>
      </c>
    </row>
    <row r="967" ht="12.75" customHeight="1">
      <c r="A967" s="1" t="s">
        <v>72</v>
      </c>
      <c r="B967" s="1" t="s">
        <v>19188</v>
      </c>
      <c r="C967" s="1" t="s">
        <v>74</v>
      </c>
      <c r="D967" s="1" t="s">
        <v>19189</v>
      </c>
      <c r="E967" s="1" t="s">
        <v>74</v>
      </c>
      <c r="F967" s="1" t="s">
        <v>19190</v>
      </c>
      <c r="G967" s="1" t="s">
        <v>74</v>
      </c>
      <c r="H967" s="1" t="s">
        <v>74</v>
      </c>
      <c r="I967" s="1" t="s">
        <v>19191</v>
      </c>
      <c r="J967" s="1" t="s">
        <v>19192</v>
      </c>
      <c r="K967" s="1" t="s">
        <v>74</v>
      </c>
      <c r="L967" s="1" t="s">
        <v>74</v>
      </c>
      <c r="M967" s="1" t="s">
        <v>80</v>
      </c>
      <c r="N967" s="1" t="s">
        <v>81</v>
      </c>
      <c r="O967" s="1" t="s">
        <v>19193</v>
      </c>
      <c r="P967" s="1" t="s">
        <v>19194</v>
      </c>
      <c r="Q967" s="1" t="s">
        <v>667</v>
      </c>
      <c r="R967" s="1" t="s">
        <v>19195</v>
      </c>
      <c r="S967" s="1" t="s">
        <v>74</v>
      </c>
      <c r="T967" s="1" t="s">
        <v>19196</v>
      </c>
      <c r="U967" s="1" t="s">
        <v>74</v>
      </c>
      <c r="V967" s="1" t="s">
        <v>19197</v>
      </c>
      <c r="W967" s="1" t="s">
        <v>19198</v>
      </c>
      <c r="X967" s="1" t="s">
        <v>19199</v>
      </c>
      <c r="Y967" s="1" t="s">
        <v>19200</v>
      </c>
      <c r="Z967" s="1" t="s">
        <v>19201</v>
      </c>
      <c r="AA967" s="1" t="s">
        <v>74</v>
      </c>
      <c r="AB967" s="1" t="s">
        <v>19202</v>
      </c>
      <c r="AC967" s="1" t="s">
        <v>19203</v>
      </c>
      <c r="AD967" s="1" t="s">
        <v>19204</v>
      </c>
      <c r="AE967" s="1" t="s">
        <v>19205</v>
      </c>
      <c r="AF967" s="1" t="s">
        <v>74</v>
      </c>
      <c r="AG967" s="1">
        <v>8.0</v>
      </c>
      <c r="AH967" s="1">
        <v>1.0</v>
      </c>
      <c r="AI967" s="1">
        <v>2.0</v>
      </c>
      <c r="AJ967" s="1">
        <v>6.0</v>
      </c>
      <c r="AK967" s="1">
        <v>18.0</v>
      </c>
      <c r="AL967" s="1" t="s">
        <v>236</v>
      </c>
      <c r="AM967" s="1" t="s">
        <v>193</v>
      </c>
      <c r="AN967" s="1" t="s">
        <v>252</v>
      </c>
      <c r="AO967" s="1" t="s">
        <v>74</v>
      </c>
      <c r="AP967" s="1" t="s">
        <v>74</v>
      </c>
      <c r="AQ967" s="1" t="s">
        <v>19206</v>
      </c>
      <c r="AR967" s="1" t="s">
        <v>74</v>
      </c>
      <c r="AS967" s="1" t="s">
        <v>74</v>
      </c>
      <c r="AT967" s="1" t="s">
        <v>74</v>
      </c>
      <c r="AU967" s="1">
        <v>2021.0</v>
      </c>
      <c r="AV967" s="1" t="s">
        <v>74</v>
      </c>
      <c r="AW967" s="1" t="s">
        <v>74</v>
      </c>
      <c r="AX967" s="1" t="s">
        <v>74</v>
      </c>
      <c r="AY967" s="1" t="s">
        <v>74</v>
      </c>
      <c r="AZ967" s="1" t="s">
        <v>74</v>
      </c>
      <c r="BA967" s="1" t="s">
        <v>74</v>
      </c>
      <c r="BB967" s="1">
        <v>276.0</v>
      </c>
      <c r="BC967" s="1">
        <v>277.0</v>
      </c>
      <c r="BD967" s="1" t="s">
        <v>74</v>
      </c>
      <c r="BE967" s="1" t="s">
        <v>19207</v>
      </c>
      <c r="BF967" s="2" t="str">
        <f>HYPERLINK("http://dx.doi.org/10.1109/RESPECT51740.2021.9620549","http://dx.doi.org/10.1109/RESPECT51740.2021.9620549")</f>
        <v>http://dx.doi.org/10.1109/RESPECT51740.2021.9620549</v>
      </c>
      <c r="BG967" s="1" t="s">
        <v>74</v>
      </c>
      <c r="BH967" s="1" t="s">
        <v>74</v>
      </c>
      <c r="BI967" s="1">
        <v>2.0</v>
      </c>
      <c r="BJ967" s="1" t="s">
        <v>19208</v>
      </c>
      <c r="BK967" s="1" t="s">
        <v>405</v>
      </c>
      <c r="BL967" s="1" t="s">
        <v>19209</v>
      </c>
      <c r="BM967" s="1" t="s">
        <v>19210</v>
      </c>
      <c r="BN967" s="1" t="s">
        <v>74</v>
      </c>
      <c r="BO967" s="1" t="s">
        <v>74</v>
      </c>
      <c r="BP967" s="1" t="s">
        <v>74</v>
      </c>
      <c r="BQ967" s="1" t="s">
        <v>74</v>
      </c>
      <c r="BR967" s="1" t="s">
        <v>102</v>
      </c>
      <c r="BS967" s="1" t="s">
        <v>19211</v>
      </c>
      <c r="BT967" s="1" t="str">
        <f>HYPERLINK("https%3A%2F%2Fwww.webofscience.com%2Fwos%2Fwoscc%2Ffull-record%2FWOS:000869715300057","View Full Record in Web of Science")</f>
        <v>View Full Record in Web of Science</v>
      </c>
    </row>
    <row r="968" ht="12.75" customHeight="1">
      <c r="A968" s="1" t="s">
        <v>132</v>
      </c>
      <c r="B968" s="1" t="s">
        <v>19212</v>
      </c>
      <c r="C968" s="1" t="s">
        <v>74</v>
      </c>
      <c r="D968" s="1" t="s">
        <v>74</v>
      </c>
      <c r="E968" s="1" t="s">
        <v>74</v>
      </c>
      <c r="F968" s="1" t="s">
        <v>19213</v>
      </c>
      <c r="G968" s="1" t="s">
        <v>74</v>
      </c>
      <c r="H968" s="1" t="s">
        <v>74</v>
      </c>
      <c r="I968" s="1" t="s">
        <v>19214</v>
      </c>
      <c r="J968" s="1" t="s">
        <v>19215</v>
      </c>
      <c r="K968" s="1" t="s">
        <v>74</v>
      </c>
      <c r="L968" s="1" t="s">
        <v>74</v>
      </c>
      <c r="M968" s="1" t="s">
        <v>80</v>
      </c>
      <c r="N968" s="1" t="s">
        <v>136</v>
      </c>
      <c r="O968" s="1" t="s">
        <v>74</v>
      </c>
      <c r="P968" s="1" t="s">
        <v>74</v>
      </c>
      <c r="Q968" s="1" t="s">
        <v>74</v>
      </c>
      <c r="R968" s="1" t="s">
        <v>74</v>
      </c>
      <c r="S968" s="1" t="s">
        <v>74</v>
      </c>
      <c r="T968" s="1" t="s">
        <v>19216</v>
      </c>
      <c r="U968" s="1" t="s">
        <v>19217</v>
      </c>
      <c r="V968" s="1" t="s">
        <v>19218</v>
      </c>
      <c r="W968" s="1" t="s">
        <v>19219</v>
      </c>
      <c r="X968" s="1" t="s">
        <v>19220</v>
      </c>
      <c r="Y968" s="1" t="s">
        <v>19221</v>
      </c>
      <c r="Z968" s="1" t="s">
        <v>19222</v>
      </c>
      <c r="AA968" s="1" t="s">
        <v>19223</v>
      </c>
      <c r="AB968" s="1" t="s">
        <v>19224</v>
      </c>
      <c r="AC968" s="1" t="s">
        <v>74</v>
      </c>
      <c r="AD968" s="1" t="s">
        <v>74</v>
      </c>
      <c r="AE968" s="1" t="s">
        <v>74</v>
      </c>
      <c r="AF968" s="1" t="s">
        <v>74</v>
      </c>
      <c r="AG968" s="1">
        <v>74.0</v>
      </c>
      <c r="AH968" s="1">
        <v>0.0</v>
      </c>
      <c r="AI968" s="1">
        <v>0.0</v>
      </c>
      <c r="AJ968" s="1">
        <v>3.0</v>
      </c>
      <c r="AK968" s="1">
        <v>3.0</v>
      </c>
      <c r="AL968" s="1" t="s">
        <v>19225</v>
      </c>
      <c r="AM968" s="1" t="s">
        <v>18296</v>
      </c>
      <c r="AN968" s="1" t="s">
        <v>19226</v>
      </c>
      <c r="AO968" s="1" t="s">
        <v>19227</v>
      </c>
      <c r="AP968" s="1" t="s">
        <v>19228</v>
      </c>
      <c r="AQ968" s="1" t="s">
        <v>74</v>
      </c>
      <c r="AR968" s="1" t="s">
        <v>19229</v>
      </c>
      <c r="AS968" s="1" t="s">
        <v>19230</v>
      </c>
      <c r="AT968" s="1" t="s">
        <v>1709</v>
      </c>
      <c r="AU968" s="1">
        <v>2024.0</v>
      </c>
      <c r="AV968" s="1">
        <v>28.0</v>
      </c>
      <c r="AW968" s="1">
        <v>3.0</v>
      </c>
      <c r="AX968" s="1" t="s">
        <v>74</v>
      </c>
      <c r="AY968" s="1" t="s">
        <v>74</v>
      </c>
      <c r="AZ968" s="1" t="s">
        <v>74</v>
      </c>
      <c r="BA968" s="1" t="s">
        <v>74</v>
      </c>
      <c r="BB968" s="1">
        <v>257.0</v>
      </c>
      <c r="BC968" s="1">
        <v>270.0</v>
      </c>
      <c r="BD968" s="1" t="s">
        <v>74</v>
      </c>
      <c r="BE968" s="1" t="s">
        <v>19231</v>
      </c>
      <c r="BF968" s="2" t="str">
        <f>HYPERLINK("http://dx.doi.org/10.61186/phypha.28.3.257","http://dx.doi.org/10.61186/phypha.28.3.257")</f>
        <v>http://dx.doi.org/10.61186/phypha.28.3.257</v>
      </c>
      <c r="BG968" s="1" t="s">
        <v>74</v>
      </c>
      <c r="BH968" s="1" t="s">
        <v>74</v>
      </c>
      <c r="BI968" s="1">
        <v>14.0</v>
      </c>
      <c r="BJ968" s="1" t="s">
        <v>6832</v>
      </c>
      <c r="BK968" s="1" t="s">
        <v>172</v>
      </c>
      <c r="BL968" s="1" t="s">
        <v>6832</v>
      </c>
      <c r="BM968" s="1" t="s">
        <v>19232</v>
      </c>
      <c r="BN968" s="1" t="s">
        <v>74</v>
      </c>
      <c r="BO968" s="1" t="s">
        <v>306</v>
      </c>
      <c r="BP968" s="1" t="s">
        <v>74</v>
      </c>
      <c r="BQ968" s="1" t="s">
        <v>74</v>
      </c>
      <c r="BR968" s="1" t="s">
        <v>102</v>
      </c>
      <c r="BS968" s="1" t="s">
        <v>19233</v>
      </c>
      <c r="BT968" s="1" t="str">
        <f>HYPERLINK("https%3A%2F%2Fwww.webofscience.com%2Fwos%2Fwoscc%2Ffull-record%2FWOS:001335222400003","View Full Record in Web of Science")</f>
        <v>View Full Record in Web of Science</v>
      </c>
    </row>
    <row r="969" ht="12.75" customHeight="1">
      <c r="A969" s="1" t="s">
        <v>132</v>
      </c>
      <c r="B969" s="1" t="s">
        <v>19234</v>
      </c>
      <c r="C969" s="1" t="s">
        <v>74</v>
      </c>
      <c r="D969" s="1" t="s">
        <v>74</v>
      </c>
      <c r="E969" s="1" t="s">
        <v>74</v>
      </c>
      <c r="F969" s="1" t="s">
        <v>19235</v>
      </c>
      <c r="G969" s="1" t="s">
        <v>74</v>
      </c>
      <c r="H969" s="1" t="s">
        <v>74</v>
      </c>
      <c r="I969" s="1" t="s">
        <v>19236</v>
      </c>
      <c r="J969" s="1" t="s">
        <v>9652</v>
      </c>
      <c r="K969" s="1" t="s">
        <v>74</v>
      </c>
      <c r="L969" s="1" t="s">
        <v>74</v>
      </c>
      <c r="M969" s="1" t="s">
        <v>80</v>
      </c>
      <c r="N969" s="1" t="s">
        <v>1010</v>
      </c>
      <c r="O969" s="1" t="s">
        <v>74</v>
      </c>
      <c r="P969" s="1" t="s">
        <v>74</v>
      </c>
      <c r="Q969" s="1" t="s">
        <v>74</v>
      </c>
      <c r="R969" s="1" t="s">
        <v>74</v>
      </c>
      <c r="S969" s="1" t="s">
        <v>74</v>
      </c>
      <c r="T969" s="1" t="s">
        <v>19237</v>
      </c>
      <c r="U969" s="1" t="s">
        <v>19238</v>
      </c>
      <c r="V969" s="1" t="s">
        <v>19239</v>
      </c>
      <c r="W969" s="1" t="s">
        <v>19240</v>
      </c>
      <c r="X969" s="1" t="s">
        <v>19241</v>
      </c>
      <c r="Y969" s="1" t="s">
        <v>19242</v>
      </c>
      <c r="Z969" s="1" t="s">
        <v>19243</v>
      </c>
      <c r="AA969" s="1" t="s">
        <v>19244</v>
      </c>
      <c r="AB969" s="1" t="s">
        <v>19245</v>
      </c>
      <c r="AC969" s="1" t="s">
        <v>74</v>
      </c>
      <c r="AD969" s="1" t="s">
        <v>74</v>
      </c>
      <c r="AE969" s="1" t="s">
        <v>74</v>
      </c>
      <c r="AF969" s="1" t="s">
        <v>74</v>
      </c>
      <c r="AG969" s="1">
        <v>73.0</v>
      </c>
      <c r="AH969" s="1">
        <v>47.0</v>
      </c>
      <c r="AI969" s="1">
        <v>47.0</v>
      </c>
      <c r="AJ969" s="1">
        <v>2.0</v>
      </c>
      <c r="AK969" s="1">
        <v>70.0</v>
      </c>
      <c r="AL969" s="1" t="s">
        <v>1970</v>
      </c>
      <c r="AM969" s="1" t="s">
        <v>1658</v>
      </c>
      <c r="AN969" s="1" t="s">
        <v>1971</v>
      </c>
      <c r="AO969" s="1" t="s">
        <v>74</v>
      </c>
      <c r="AP969" s="1" t="s">
        <v>9662</v>
      </c>
      <c r="AQ969" s="1" t="s">
        <v>74</v>
      </c>
      <c r="AR969" s="1" t="s">
        <v>9652</v>
      </c>
      <c r="AS969" s="1" t="s">
        <v>9663</v>
      </c>
      <c r="AT969" s="1" t="s">
        <v>1279</v>
      </c>
      <c r="AU969" s="1">
        <v>2022.0</v>
      </c>
      <c r="AV969" s="1">
        <v>14.0</v>
      </c>
      <c r="AW969" s="1">
        <v>14.0</v>
      </c>
      <c r="AX969" s="1" t="s">
        <v>74</v>
      </c>
      <c r="AY969" s="1" t="s">
        <v>74</v>
      </c>
      <c r="AZ969" s="1" t="s">
        <v>74</v>
      </c>
      <c r="BA969" s="1" t="s">
        <v>74</v>
      </c>
      <c r="BB969" s="1" t="s">
        <v>74</v>
      </c>
      <c r="BC969" s="1" t="s">
        <v>74</v>
      </c>
      <c r="BD969" s="1">
        <v>3357.0</v>
      </c>
      <c r="BE969" s="1" t="s">
        <v>19246</v>
      </c>
      <c r="BF969" s="2" t="str">
        <f>HYPERLINK("http://dx.doi.org/10.3390/cancers14143357","http://dx.doi.org/10.3390/cancers14143357")</f>
        <v>http://dx.doi.org/10.3390/cancers14143357</v>
      </c>
      <c r="BG969" s="1" t="s">
        <v>74</v>
      </c>
      <c r="BH969" s="1" t="s">
        <v>74</v>
      </c>
      <c r="BI969" s="1">
        <v>15.0</v>
      </c>
      <c r="BJ969" s="1" t="s">
        <v>1904</v>
      </c>
      <c r="BK969" s="1" t="s">
        <v>149</v>
      </c>
      <c r="BL969" s="1" t="s">
        <v>1904</v>
      </c>
      <c r="BM969" s="1" t="s">
        <v>19247</v>
      </c>
      <c r="BN969" s="1">
        <v>3.5884418E7</v>
      </c>
      <c r="BO969" s="1" t="s">
        <v>284</v>
      </c>
      <c r="BP969" s="1" t="s">
        <v>74</v>
      </c>
      <c r="BQ969" s="1" t="s">
        <v>74</v>
      </c>
      <c r="BR969" s="1" t="s">
        <v>102</v>
      </c>
      <c r="BS969" s="1" t="s">
        <v>19248</v>
      </c>
      <c r="BT969" s="1" t="str">
        <f>HYPERLINK("https%3A%2F%2Fwww.webofscience.com%2Fwos%2Fwoscc%2Ffull-record%2FWOS:000832162400001","View Full Record in Web of Science")</f>
        <v>View Full Record in Web of Science</v>
      </c>
    </row>
    <row r="970" ht="12.75" customHeight="1">
      <c r="A970" s="1" t="s">
        <v>132</v>
      </c>
      <c r="B970" s="1" t="s">
        <v>19249</v>
      </c>
      <c r="C970" s="1" t="s">
        <v>74</v>
      </c>
      <c r="D970" s="1" t="s">
        <v>74</v>
      </c>
      <c r="E970" s="1" t="s">
        <v>74</v>
      </c>
      <c r="F970" s="1" t="s">
        <v>19250</v>
      </c>
      <c r="G970" s="1" t="s">
        <v>74</v>
      </c>
      <c r="H970" s="1" t="s">
        <v>74</v>
      </c>
      <c r="I970" s="1" t="s">
        <v>19251</v>
      </c>
      <c r="J970" s="1" t="s">
        <v>1330</v>
      </c>
      <c r="K970" s="1" t="s">
        <v>74</v>
      </c>
      <c r="L970" s="1" t="s">
        <v>74</v>
      </c>
      <c r="M970" s="1" t="s">
        <v>80</v>
      </c>
      <c r="N970" s="1" t="s">
        <v>136</v>
      </c>
      <c r="O970" s="1" t="s">
        <v>74</v>
      </c>
      <c r="P970" s="1" t="s">
        <v>74</v>
      </c>
      <c r="Q970" s="1" t="s">
        <v>74</v>
      </c>
      <c r="R970" s="1" t="s">
        <v>74</v>
      </c>
      <c r="S970" s="1" t="s">
        <v>74</v>
      </c>
      <c r="T970" s="1" t="s">
        <v>19252</v>
      </c>
      <c r="U970" s="1" t="s">
        <v>19253</v>
      </c>
      <c r="V970" s="1" t="s">
        <v>19254</v>
      </c>
      <c r="W970" s="1" t="s">
        <v>19255</v>
      </c>
      <c r="X970" s="1" t="s">
        <v>19256</v>
      </c>
      <c r="Y970" s="1" t="s">
        <v>19257</v>
      </c>
      <c r="Z970" s="1" t="s">
        <v>19258</v>
      </c>
      <c r="AA970" s="1" t="s">
        <v>19259</v>
      </c>
      <c r="AB970" s="1" t="s">
        <v>19260</v>
      </c>
      <c r="AC970" s="1" t="s">
        <v>74</v>
      </c>
      <c r="AD970" s="1" t="s">
        <v>74</v>
      </c>
      <c r="AE970" s="1" t="s">
        <v>74</v>
      </c>
      <c r="AF970" s="1" t="s">
        <v>74</v>
      </c>
      <c r="AG970" s="1">
        <v>75.0</v>
      </c>
      <c r="AH970" s="1">
        <v>6.0</v>
      </c>
      <c r="AI970" s="1">
        <v>6.0</v>
      </c>
      <c r="AJ970" s="1">
        <v>7.0</v>
      </c>
      <c r="AK970" s="1">
        <v>30.0</v>
      </c>
      <c r="AL970" s="1" t="s">
        <v>571</v>
      </c>
      <c r="AM970" s="1" t="s">
        <v>572</v>
      </c>
      <c r="AN970" s="1" t="s">
        <v>19261</v>
      </c>
      <c r="AO970" s="1" t="s">
        <v>1339</v>
      </c>
      <c r="AP970" s="1" t="s">
        <v>19262</v>
      </c>
      <c r="AQ970" s="1" t="s">
        <v>74</v>
      </c>
      <c r="AR970" s="1" t="s">
        <v>1330</v>
      </c>
      <c r="AS970" s="1" t="s">
        <v>1340</v>
      </c>
      <c r="AT970" s="1" t="s">
        <v>19263</v>
      </c>
      <c r="AU970" s="1">
        <v>2023.0</v>
      </c>
      <c r="AV970" s="1">
        <v>52.0</v>
      </c>
      <c r="AW970" s="1">
        <v>9.0</v>
      </c>
      <c r="AX970" s="1" t="s">
        <v>74</v>
      </c>
      <c r="AY970" s="1" t="s">
        <v>74</v>
      </c>
      <c r="AZ970" s="1" t="s">
        <v>74</v>
      </c>
      <c r="BA970" s="1" t="s">
        <v>74</v>
      </c>
      <c r="BB970" s="1">
        <v>2924.0</v>
      </c>
      <c r="BC970" s="1">
        <v>2942.0</v>
      </c>
      <c r="BD970" s="1" t="s">
        <v>74</v>
      </c>
      <c r="BE970" s="1" t="s">
        <v>19264</v>
      </c>
      <c r="BF970" s="2" t="str">
        <f>HYPERLINK("http://dx.doi.org/10.1108/K-05-2022-0679","http://dx.doi.org/10.1108/K-05-2022-0679")</f>
        <v>http://dx.doi.org/10.1108/K-05-2022-0679</v>
      </c>
      <c r="BG970" s="1" t="s">
        <v>74</v>
      </c>
      <c r="BH970" s="1" t="s">
        <v>13007</v>
      </c>
      <c r="BI970" s="1">
        <v>19.0</v>
      </c>
      <c r="BJ970" s="1" t="s">
        <v>1342</v>
      </c>
      <c r="BK970" s="1" t="s">
        <v>149</v>
      </c>
      <c r="BL970" s="1" t="s">
        <v>232</v>
      </c>
      <c r="BM970" s="1" t="s">
        <v>19265</v>
      </c>
      <c r="BN970" s="1" t="s">
        <v>74</v>
      </c>
      <c r="BO970" s="1" t="s">
        <v>74</v>
      </c>
      <c r="BP970" s="1" t="s">
        <v>74</v>
      </c>
      <c r="BQ970" s="1" t="s">
        <v>74</v>
      </c>
      <c r="BR970" s="1" t="s">
        <v>102</v>
      </c>
      <c r="BS970" s="1" t="s">
        <v>19266</v>
      </c>
      <c r="BT970" s="1" t="str">
        <f>HYPERLINK("https%3A%2F%2Fwww.webofscience.com%2Fwos%2Fwoscc%2Ffull-record%2FWOS:000846916700001","View Full Record in Web of Science")</f>
        <v>View Full Record in Web of Science</v>
      </c>
    </row>
    <row r="971" ht="12.75" customHeight="1">
      <c r="A971" s="1" t="s">
        <v>132</v>
      </c>
      <c r="B971" s="1" t="s">
        <v>19267</v>
      </c>
      <c r="C971" s="1" t="s">
        <v>74</v>
      </c>
      <c r="D971" s="1" t="s">
        <v>74</v>
      </c>
      <c r="E971" s="1" t="s">
        <v>74</v>
      </c>
      <c r="F971" s="1" t="s">
        <v>19268</v>
      </c>
      <c r="G971" s="1" t="s">
        <v>74</v>
      </c>
      <c r="H971" s="1" t="s">
        <v>74</v>
      </c>
      <c r="I971" s="1" t="s">
        <v>19269</v>
      </c>
      <c r="J971" s="1" t="s">
        <v>19270</v>
      </c>
      <c r="K971" s="1" t="s">
        <v>74</v>
      </c>
      <c r="L971" s="1" t="s">
        <v>74</v>
      </c>
      <c r="M971" s="1" t="s">
        <v>80</v>
      </c>
      <c r="N971" s="1" t="s">
        <v>1563</v>
      </c>
      <c r="O971" s="1" t="s">
        <v>74</v>
      </c>
      <c r="P971" s="1" t="s">
        <v>74</v>
      </c>
      <c r="Q971" s="1" t="s">
        <v>74</v>
      </c>
      <c r="R971" s="1" t="s">
        <v>74</v>
      </c>
      <c r="S971" s="1" t="s">
        <v>74</v>
      </c>
      <c r="T971" s="1" t="s">
        <v>19271</v>
      </c>
      <c r="U971" s="1" t="s">
        <v>19272</v>
      </c>
      <c r="V971" s="1" t="s">
        <v>19273</v>
      </c>
      <c r="W971" s="1" t="s">
        <v>19274</v>
      </c>
      <c r="X971" s="1" t="s">
        <v>19275</v>
      </c>
      <c r="Y971" s="1" t="s">
        <v>19276</v>
      </c>
      <c r="Z971" s="1" t="s">
        <v>19277</v>
      </c>
      <c r="AA971" s="1" t="s">
        <v>19278</v>
      </c>
      <c r="AB971" s="1" t="s">
        <v>19279</v>
      </c>
      <c r="AC971" s="1" t="s">
        <v>74</v>
      </c>
      <c r="AD971" s="1" t="s">
        <v>74</v>
      </c>
      <c r="AE971" s="1" t="s">
        <v>74</v>
      </c>
      <c r="AF971" s="1" t="s">
        <v>74</v>
      </c>
      <c r="AG971" s="1">
        <v>44.0</v>
      </c>
      <c r="AH971" s="1">
        <v>0.0</v>
      </c>
      <c r="AI971" s="1">
        <v>0.0</v>
      </c>
      <c r="AJ971" s="1">
        <v>0.0</v>
      </c>
      <c r="AK971" s="1">
        <v>0.0</v>
      </c>
      <c r="AL971" s="1" t="s">
        <v>8311</v>
      </c>
      <c r="AM971" s="1" t="s">
        <v>8312</v>
      </c>
      <c r="AN971" s="1" t="s">
        <v>8313</v>
      </c>
      <c r="AO971" s="1" t="s">
        <v>19280</v>
      </c>
      <c r="AP971" s="1" t="s">
        <v>19281</v>
      </c>
      <c r="AQ971" s="1" t="s">
        <v>74</v>
      </c>
      <c r="AR971" s="1" t="s">
        <v>19282</v>
      </c>
      <c r="AS971" s="1" t="s">
        <v>19283</v>
      </c>
      <c r="AT971" s="1" t="s">
        <v>1051</v>
      </c>
      <c r="AU971" s="1">
        <v>2024.0</v>
      </c>
      <c r="AV971" s="1">
        <v>13.0</v>
      </c>
      <c r="AW971" s="1">
        <v>4.0</v>
      </c>
      <c r="AX971" s="1" t="s">
        <v>74</v>
      </c>
      <c r="AY971" s="1" t="s">
        <v>74</v>
      </c>
      <c r="AZ971" s="1" t="s">
        <v>74</v>
      </c>
      <c r="BA971" s="1" t="s">
        <v>74</v>
      </c>
      <c r="BB971" s="1">
        <v>500.0</v>
      </c>
      <c r="BC971" s="1">
        <v>504.0</v>
      </c>
      <c r="BD971" s="1" t="s">
        <v>74</v>
      </c>
      <c r="BE971" s="1" t="s">
        <v>19284</v>
      </c>
      <c r="BF971" s="2" t="str">
        <f>HYPERLINK("http://dx.doi.org/10.1037/mac0000206","http://dx.doi.org/10.1037/mac0000206")</f>
        <v>http://dx.doi.org/10.1037/mac0000206</v>
      </c>
      <c r="BG971" s="1" t="s">
        <v>74</v>
      </c>
      <c r="BH971" s="1" t="s">
        <v>74</v>
      </c>
      <c r="BI971" s="1">
        <v>5.0</v>
      </c>
      <c r="BJ971" s="1" t="s">
        <v>9458</v>
      </c>
      <c r="BK971" s="1" t="s">
        <v>203</v>
      </c>
      <c r="BL971" s="1" t="s">
        <v>3261</v>
      </c>
      <c r="BM971" s="1" t="s">
        <v>19285</v>
      </c>
      <c r="BN971" s="1" t="s">
        <v>74</v>
      </c>
      <c r="BO971" s="1" t="s">
        <v>74</v>
      </c>
      <c r="BP971" s="1" t="s">
        <v>74</v>
      </c>
      <c r="BQ971" s="1" t="s">
        <v>74</v>
      </c>
      <c r="BR971" s="1" t="s">
        <v>102</v>
      </c>
      <c r="BS971" s="1" t="s">
        <v>19286</v>
      </c>
      <c r="BT971" s="1" t="str">
        <f>HYPERLINK("https%3A%2F%2Fwww.webofscience.com%2Fwos%2Fwoscc%2Ffull-record%2FWOS:001391035800015","View Full Record in Web of Science")</f>
        <v>View Full Record in Web of Science</v>
      </c>
    </row>
    <row r="972" ht="12.75" customHeight="1">
      <c r="A972" s="1" t="s">
        <v>132</v>
      </c>
      <c r="B972" s="1" t="s">
        <v>19287</v>
      </c>
      <c r="C972" s="1" t="s">
        <v>74</v>
      </c>
      <c r="D972" s="1" t="s">
        <v>74</v>
      </c>
      <c r="E972" s="1" t="s">
        <v>74</v>
      </c>
      <c r="F972" s="1" t="s">
        <v>19288</v>
      </c>
      <c r="G972" s="1" t="s">
        <v>74</v>
      </c>
      <c r="H972" s="1" t="s">
        <v>74</v>
      </c>
      <c r="I972" s="1" t="s">
        <v>19289</v>
      </c>
      <c r="J972" s="1" t="s">
        <v>19290</v>
      </c>
      <c r="K972" s="1" t="s">
        <v>74</v>
      </c>
      <c r="L972" s="1" t="s">
        <v>74</v>
      </c>
      <c r="M972" s="1" t="s">
        <v>80</v>
      </c>
      <c r="N972" s="1" t="s">
        <v>136</v>
      </c>
      <c r="O972" s="1" t="s">
        <v>74</v>
      </c>
      <c r="P972" s="1" t="s">
        <v>74</v>
      </c>
      <c r="Q972" s="1" t="s">
        <v>74</v>
      </c>
      <c r="R972" s="1" t="s">
        <v>74</v>
      </c>
      <c r="S972" s="1" t="s">
        <v>74</v>
      </c>
      <c r="T972" s="1" t="s">
        <v>19291</v>
      </c>
      <c r="U972" s="1" t="s">
        <v>74</v>
      </c>
      <c r="V972" s="1" t="s">
        <v>19292</v>
      </c>
      <c r="W972" s="1" t="s">
        <v>19293</v>
      </c>
      <c r="X972" s="1" t="s">
        <v>19294</v>
      </c>
      <c r="Y972" s="1" t="s">
        <v>19295</v>
      </c>
      <c r="Z972" s="1" t="s">
        <v>19296</v>
      </c>
      <c r="AA972" s="1" t="s">
        <v>19297</v>
      </c>
      <c r="AB972" s="1" t="s">
        <v>19298</v>
      </c>
      <c r="AC972" s="1" t="s">
        <v>19299</v>
      </c>
      <c r="AD972" s="1" t="s">
        <v>19300</v>
      </c>
      <c r="AE972" s="1" t="s">
        <v>19301</v>
      </c>
      <c r="AF972" s="1" t="s">
        <v>74</v>
      </c>
      <c r="AG972" s="1">
        <v>61.0</v>
      </c>
      <c r="AH972" s="1">
        <v>18.0</v>
      </c>
      <c r="AI972" s="1">
        <v>18.0</v>
      </c>
      <c r="AJ972" s="1">
        <v>14.0</v>
      </c>
      <c r="AK972" s="1">
        <v>87.0</v>
      </c>
      <c r="AL972" s="1" t="s">
        <v>1571</v>
      </c>
      <c r="AM972" s="1" t="s">
        <v>1572</v>
      </c>
      <c r="AN972" s="1" t="s">
        <v>1573</v>
      </c>
      <c r="AO972" s="1" t="s">
        <v>19302</v>
      </c>
      <c r="AP972" s="1" t="s">
        <v>19303</v>
      </c>
      <c r="AQ972" s="1" t="s">
        <v>74</v>
      </c>
      <c r="AR972" s="1" t="s">
        <v>19304</v>
      </c>
      <c r="AS972" s="1" t="s">
        <v>19305</v>
      </c>
      <c r="AT972" s="1" t="s">
        <v>1279</v>
      </c>
      <c r="AU972" s="1">
        <v>2021.0</v>
      </c>
      <c r="AV972" s="1">
        <v>16.0</v>
      </c>
      <c r="AW972" s="1">
        <v>3.0</v>
      </c>
      <c r="AX972" s="1" t="s">
        <v>74</v>
      </c>
      <c r="AY972" s="1" t="s">
        <v>74</v>
      </c>
      <c r="AZ972" s="1" t="s">
        <v>74</v>
      </c>
      <c r="BA972" s="1" t="s">
        <v>74</v>
      </c>
      <c r="BB972" s="1">
        <v>325.0</v>
      </c>
      <c r="BC972" s="1">
        <v>337.0</v>
      </c>
      <c r="BD972" s="1">
        <v>1.5562646211002744E16</v>
      </c>
      <c r="BE972" s="1" t="s">
        <v>19306</v>
      </c>
      <c r="BF972" s="2" t="str">
        <f>HYPERLINK("http://dx.doi.org/10.1177/15562646211002744","http://dx.doi.org/10.1177/15562646211002744")</f>
        <v>http://dx.doi.org/10.1177/15562646211002744</v>
      </c>
      <c r="BG972" s="1" t="s">
        <v>74</v>
      </c>
      <c r="BH972" s="1" t="s">
        <v>6321</v>
      </c>
      <c r="BI972" s="1">
        <v>13.0</v>
      </c>
      <c r="BJ972" s="1" t="s">
        <v>5863</v>
      </c>
      <c r="BK972" s="1" t="s">
        <v>783</v>
      </c>
      <c r="BL972" s="1" t="s">
        <v>5864</v>
      </c>
      <c r="BM972" s="1" t="s">
        <v>19307</v>
      </c>
      <c r="BN972" s="1">
        <v>3.3733915E7</v>
      </c>
      <c r="BO972" s="1" t="s">
        <v>1997</v>
      </c>
      <c r="BP972" s="1" t="s">
        <v>74</v>
      </c>
      <c r="BQ972" s="1" t="s">
        <v>74</v>
      </c>
      <c r="BR972" s="1" t="s">
        <v>102</v>
      </c>
      <c r="BS972" s="1" t="s">
        <v>19308</v>
      </c>
      <c r="BT972" s="1" t="str">
        <f>HYPERLINK("https%3A%2F%2Fwww.webofscience.com%2Fwos%2Fwoscc%2Ffull-record%2FWOS:000630561100001","View Full Record in Web of Science")</f>
        <v>View Full Record in Web of Science</v>
      </c>
    </row>
    <row r="973" ht="12.75" customHeight="1">
      <c r="A973" s="1" t="s">
        <v>72</v>
      </c>
      <c r="B973" s="1" t="s">
        <v>19309</v>
      </c>
      <c r="C973" s="1" t="s">
        <v>74</v>
      </c>
      <c r="D973" s="1" t="s">
        <v>2382</v>
      </c>
      <c r="E973" s="1" t="s">
        <v>74</v>
      </c>
      <c r="F973" s="1" t="s">
        <v>19310</v>
      </c>
      <c r="G973" s="1" t="s">
        <v>74</v>
      </c>
      <c r="H973" s="1" t="s">
        <v>74</v>
      </c>
      <c r="I973" s="1" t="s">
        <v>19311</v>
      </c>
      <c r="J973" s="1" t="s">
        <v>2385</v>
      </c>
      <c r="K973" s="1" t="s">
        <v>2386</v>
      </c>
      <c r="L973" s="1" t="s">
        <v>74</v>
      </c>
      <c r="M973" s="1" t="s">
        <v>80</v>
      </c>
      <c r="N973" s="1" t="s">
        <v>81</v>
      </c>
      <c r="O973" s="1" t="s">
        <v>2387</v>
      </c>
      <c r="P973" s="1" t="s">
        <v>2388</v>
      </c>
      <c r="Q973" s="1" t="s">
        <v>2030</v>
      </c>
      <c r="R973" s="1" t="s">
        <v>2389</v>
      </c>
      <c r="S973" s="1" t="s">
        <v>74</v>
      </c>
      <c r="T973" s="1" t="s">
        <v>19312</v>
      </c>
      <c r="U973" s="1" t="s">
        <v>19313</v>
      </c>
      <c r="V973" s="1" t="s">
        <v>19314</v>
      </c>
      <c r="W973" s="1" t="s">
        <v>19315</v>
      </c>
      <c r="X973" s="1" t="s">
        <v>19316</v>
      </c>
      <c r="Y973" s="1" t="s">
        <v>19317</v>
      </c>
      <c r="Z973" s="1" t="s">
        <v>74</v>
      </c>
      <c r="AA973" s="1" t="s">
        <v>74</v>
      </c>
      <c r="AB973" s="1" t="s">
        <v>19318</v>
      </c>
      <c r="AC973" s="1" t="s">
        <v>74</v>
      </c>
      <c r="AD973" s="1" t="s">
        <v>74</v>
      </c>
      <c r="AE973" s="1" t="s">
        <v>74</v>
      </c>
      <c r="AF973" s="1" t="s">
        <v>74</v>
      </c>
      <c r="AG973" s="1">
        <v>28.0</v>
      </c>
      <c r="AH973" s="1">
        <v>3.0</v>
      </c>
      <c r="AI973" s="1">
        <v>3.0</v>
      </c>
      <c r="AJ973" s="1">
        <v>11.0</v>
      </c>
      <c r="AK973" s="1">
        <v>34.0</v>
      </c>
      <c r="AL973" s="1" t="s">
        <v>223</v>
      </c>
      <c r="AM973" s="1" t="s">
        <v>224</v>
      </c>
      <c r="AN973" s="1" t="s">
        <v>225</v>
      </c>
      <c r="AO973" s="1" t="s">
        <v>2398</v>
      </c>
      <c r="AP973" s="1" t="s">
        <v>2399</v>
      </c>
      <c r="AQ973" s="1" t="s">
        <v>2400</v>
      </c>
      <c r="AR973" s="1" t="s">
        <v>2401</v>
      </c>
      <c r="AS973" s="1" t="s">
        <v>74</v>
      </c>
      <c r="AT973" s="1" t="s">
        <v>74</v>
      </c>
      <c r="AU973" s="1">
        <v>2023.0</v>
      </c>
      <c r="AV973" s="1">
        <v>485.0</v>
      </c>
      <c r="AW973" s="1" t="s">
        <v>74</v>
      </c>
      <c r="AX973" s="1" t="s">
        <v>74</v>
      </c>
      <c r="AY973" s="1" t="s">
        <v>74</v>
      </c>
      <c r="AZ973" s="1" t="s">
        <v>74</v>
      </c>
      <c r="BA973" s="1" t="s">
        <v>74</v>
      </c>
      <c r="BB973" s="1">
        <v>3.0</v>
      </c>
      <c r="BC973" s="1">
        <v>16.0</v>
      </c>
      <c r="BD973" s="1" t="s">
        <v>74</v>
      </c>
      <c r="BE973" s="1" t="s">
        <v>19319</v>
      </c>
      <c r="BF973" s="2" t="str">
        <f>HYPERLINK("http://dx.doi.org/10.1007/978-3-031-08093-7_1","http://dx.doi.org/10.1007/978-3-031-08093-7_1")</f>
        <v>http://dx.doi.org/10.1007/978-3-031-08093-7_1</v>
      </c>
      <c r="BG973" s="1" t="s">
        <v>74</v>
      </c>
      <c r="BH973" s="1" t="s">
        <v>74</v>
      </c>
      <c r="BI973" s="1">
        <v>14.0</v>
      </c>
      <c r="BJ973" s="1" t="s">
        <v>2403</v>
      </c>
      <c r="BK973" s="1" t="s">
        <v>405</v>
      </c>
      <c r="BL973" s="1" t="s">
        <v>406</v>
      </c>
      <c r="BM973" s="1" t="s">
        <v>2404</v>
      </c>
      <c r="BN973" s="1" t="s">
        <v>74</v>
      </c>
      <c r="BO973" s="1" t="s">
        <v>74</v>
      </c>
      <c r="BP973" s="1" t="s">
        <v>74</v>
      </c>
      <c r="BQ973" s="1" t="s">
        <v>74</v>
      </c>
      <c r="BR973" s="1" t="s">
        <v>102</v>
      </c>
      <c r="BS973" s="1" t="s">
        <v>19320</v>
      </c>
      <c r="BT973" s="1" t="str">
        <f>HYPERLINK("https%3A%2F%2Fwww.webofscience.com%2Fwos%2Fwoscc%2Ffull-record%2FWOS:000894628000001","View Full Record in Web of Science")</f>
        <v>View Full Record in Web of Science</v>
      </c>
    </row>
    <row r="974" ht="12.75" customHeight="1">
      <c r="A974" s="1" t="s">
        <v>72</v>
      </c>
      <c r="B974" s="1" t="s">
        <v>19321</v>
      </c>
      <c r="C974" s="1" t="s">
        <v>74</v>
      </c>
      <c r="D974" s="1" t="s">
        <v>19322</v>
      </c>
      <c r="E974" s="1" t="s">
        <v>74</v>
      </c>
      <c r="F974" s="1" t="s">
        <v>19323</v>
      </c>
      <c r="G974" s="1" t="s">
        <v>74</v>
      </c>
      <c r="H974" s="1" t="s">
        <v>74</v>
      </c>
      <c r="I974" s="1" t="s">
        <v>19324</v>
      </c>
      <c r="J974" s="1" t="s">
        <v>19325</v>
      </c>
      <c r="K974" s="1" t="s">
        <v>924</v>
      </c>
      <c r="L974" s="1" t="s">
        <v>74</v>
      </c>
      <c r="M974" s="1" t="s">
        <v>80</v>
      </c>
      <c r="N974" s="1" t="s">
        <v>81</v>
      </c>
      <c r="O974" s="1" t="s">
        <v>19326</v>
      </c>
      <c r="P974" s="1" t="s">
        <v>19327</v>
      </c>
      <c r="Q974" s="1" t="s">
        <v>19328</v>
      </c>
      <c r="R974" s="1" t="s">
        <v>19329</v>
      </c>
      <c r="S974" s="1" t="s">
        <v>74</v>
      </c>
      <c r="T974" s="1" t="s">
        <v>19330</v>
      </c>
      <c r="U974" s="1" t="s">
        <v>74</v>
      </c>
      <c r="V974" s="1" t="s">
        <v>19331</v>
      </c>
      <c r="W974" s="1" t="s">
        <v>19332</v>
      </c>
      <c r="X974" s="1" t="s">
        <v>19333</v>
      </c>
      <c r="Y974" s="1" t="s">
        <v>19334</v>
      </c>
      <c r="Z974" s="1" t="s">
        <v>19335</v>
      </c>
      <c r="AA974" s="1" t="s">
        <v>74</v>
      </c>
      <c r="AB974" s="1" t="s">
        <v>74</v>
      </c>
      <c r="AC974" s="1" t="s">
        <v>74</v>
      </c>
      <c r="AD974" s="1" t="s">
        <v>74</v>
      </c>
      <c r="AE974" s="1" t="s">
        <v>74</v>
      </c>
      <c r="AF974" s="1" t="s">
        <v>74</v>
      </c>
      <c r="AG974" s="1">
        <v>3.0</v>
      </c>
      <c r="AH974" s="1">
        <v>0.0</v>
      </c>
      <c r="AI974" s="1">
        <v>0.0</v>
      </c>
      <c r="AJ974" s="1">
        <v>0.0</v>
      </c>
      <c r="AK974" s="1">
        <v>13.0</v>
      </c>
      <c r="AL974" s="1" t="s">
        <v>19336</v>
      </c>
      <c r="AM974" s="1" t="s">
        <v>224</v>
      </c>
      <c r="AN974" s="1" t="s">
        <v>225</v>
      </c>
      <c r="AO974" s="1" t="s">
        <v>3852</v>
      </c>
      <c r="AP974" s="1" t="s">
        <v>74</v>
      </c>
      <c r="AQ974" s="1" t="s">
        <v>19337</v>
      </c>
      <c r="AR974" s="1" t="s">
        <v>944</v>
      </c>
      <c r="AS974" s="1" t="s">
        <v>74</v>
      </c>
      <c r="AT974" s="1" t="s">
        <v>74</v>
      </c>
      <c r="AU974" s="1">
        <v>2016.0</v>
      </c>
      <c r="AV974" s="1">
        <v>9883.0</v>
      </c>
      <c r="AW974" s="1" t="s">
        <v>74</v>
      </c>
      <c r="AX974" s="1" t="s">
        <v>74</v>
      </c>
      <c r="AY974" s="1" t="s">
        <v>74</v>
      </c>
      <c r="AZ974" s="1" t="s">
        <v>74</v>
      </c>
      <c r="BA974" s="1" t="s">
        <v>74</v>
      </c>
      <c r="BB974" s="1">
        <v>343.0</v>
      </c>
      <c r="BC974" s="1">
        <v>346.0</v>
      </c>
      <c r="BD974" s="1" t="s">
        <v>74</v>
      </c>
      <c r="BE974" s="1" t="s">
        <v>74</v>
      </c>
      <c r="BF974" s="1" t="s">
        <v>74</v>
      </c>
      <c r="BG974" s="1" t="s">
        <v>74</v>
      </c>
      <c r="BH974" s="1" t="s">
        <v>74</v>
      </c>
      <c r="BI974" s="1">
        <v>4.0</v>
      </c>
      <c r="BJ974" s="1" t="s">
        <v>231</v>
      </c>
      <c r="BK974" s="1" t="s">
        <v>128</v>
      </c>
      <c r="BL974" s="1" t="s">
        <v>232</v>
      </c>
      <c r="BM974" s="1" t="s">
        <v>19338</v>
      </c>
      <c r="BN974" s="1" t="s">
        <v>74</v>
      </c>
      <c r="BO974" s="1" t="s">
        <v>74</v>
      </c>
      <c r="BP974" s="1" t="s">
        <v>74</v>
      </c>
      <c r="BQ974" s="1" t="s">
        <v>74</v>
      </c>
      <c r="BR974" s="1" t="s">
        <v>102</v>
      </c>
      <c r="BS974" s="1" t="s">
        <v>19339</v>
      </c>
      <c r="BT974" s="1" t="str">
        <f>HYPERLINK("https%3A%2F%2Fwww.webofscience.com%2Fwos%2Fwoscc%2Ffull-record%2FWOS:000389020000033","View Full Record in Web of Science")</f>
        <v>View Full Record in Web of Science</v>
      </c>
    </row>
    <row r="975" ht="12.75" customHeight="1">
      <c r="A975" s="1" t="s">
        <v>132</v>
      </c>
      <c r="B975" s="1" t="s">
        <v>19340</v>
      </c>
      <c r="C975" s="1" t="s">
        <v>74</v>
      </c>
      <c r="D975" s="1" t="s">
        <v>74</v>
      </c>
      <c r="E975" s="1" t="s">
        <v>74</v>
      </c>
      <c r="F975" s="1" t="s">
        <v>19341</v>
      </c>
      <c r="G975" s="1" t="s">
        <v>74</v>
      </c>
      <c r="H975" s="1" t="s">
        <v>74</v>
      </c>
      <c r="I975" s="1" t="s">
        <v>19342</v>
      </c>
      <c r="J975" s="1" t="s">
        <v>19343</v>
      </c>
      <c r="K975" s="1" t="s">
        <v>74</v>
      </c>
      <c r="L975" s="1" t="s">
        <v>74</v>
      </c>
      <c r="M975" s="1" t="s">
        <v>80</v>
      </c>
      <c r="N975" s="1" t="s">
        <v>1010</v>
      </c>
      <c r="O975" s="1" t="s">
        <v>74</v>
      </c>
      <c r="P975" s="1" t="s">
        <v>74</v>
      </c>
      <c r="Q975" s="1" t="s">
        <v>74</v>
      </c>
      <c r="R975" s="1" t="s">
        <v>74</v>
      </c>
      <c r="S975" s="1" t="s">
        <v>74</v>
      </c>
      <c r="T975" s="1" t="s">
        <v>74</v>
      </c>
      <c r="U975" s="1" t="s">
        <v>74</v>
      </c>
      <c r="V975" s="1" t="s">
        <v>19344</v>
      </c>
      <c r="W975" s="1" t="s">
        <v>19345</v>
      </c>
      <c r="X975" s="1" t="s">
        <v>19346</v>
      </c>
      <c r="Y975" s="1" t="s">
        <v>19347</v>
      </c>
      <c r="Z975" s="1" t="s">
        <v>19348</v>
      </c>
      <c r="AA975" s="1" t="s">
        <v>19349</v>
      </c>
      <c r="AB975" s="1" t="s">
        <v>19350</v>
      </c>
      <c r="AC975" s="1" t="s">
        <v>19351</v>
      </c>
      <c r="AD975" s="1" t="s">
        <v>19352</v>
      </c>
      <c r="AE975" s="1" t="s">
        <v>19353</v>
      </c>
      <c r="AF975" s="1" t="s">
        <v>74</v>
      </c>
      <c r="AG975" s="1">
        <v>26.0</v>
      </c>
      <c r="AH975" s="1">
        <v>51.0</v>
      </c>
      <c r="AI975" s="1">
        <v>54.0</v>
      </c>
      <c r="AJ975" s="1">
        <v>1.0</v>
      </c>
      <c r="AK975" s="1">
        <v>39.0</v>
      </c>
      <c r="AL975" s="1" t="s">
        <v>1357</v>
      </c>
      <c r="AM975" s="1" t="s">
        <v>1358</v>
      </c>
      <c r="AN975" s="1" t="s">
        <v>1359</v>
      </c>
      <c r="AO975" s="1" t="s">
        <v>19354</v>
      </c>
      <c r="AP975" s="1" t="s">
        <v>19355</v>
      </c>
      <c r="AQ975" s="1" t="s">
        <v>74</v>
      </c>
      <c r="AR975" s="1" t="s">
        <v>19356</v>
      </c>
      <c r="AS975" s="1" t="s">
        <v>19357</v>
      </c>
      <c r="AT975" s="1" t="s">
        <v>1253</v>
      </c>
      <c r="AU975" s="1">
        <v>2020.0</v>
      </c>
      <c r="AV975" s="1">
        <v>107.0</v>
      </c>
      <c r="AW975" s="1">
        <v>4.0</v>
      </c>
      <c r="AX975" s="1" t="s">
        <v>74</v>
      </c>
      <c r="AY975" s="1" t="s">
        <v>74</v>
      </c>
      <c r="AZ975" s="1" t="s">
        <v>74</v>
      </c>
      <c r="BA975" s="1" t="s">
        <v>74</v>
      </c>
      <c r="BB975" s="1">
        <v>780.0</v>
      </c>
      <c r="BC975" s="1">
        <v>785.0</v>
      </c>
      <c r="BD975" s="1" t="s">
        <v>74</v>
      </c>
      <c r="BE975" s="1" t="s">
        <v>19358</v>
      </c>
      <c r="BF975" s="2" t="str">
        <f>HYPERLINK("http://dx.doi.org/10.1002/cpt.1795","http://dx.doi.org/10.1002/cpt.1795")</f>
        <v>http://dx.doi.org/10.1002/cpt.1795</v>
      </c>
      <c r="BG975" s="1" t="s">
        <v>74</v>
      </c>
      <c r="BH975" s="1" t="s">
        <v>9185</v>
      </c>
      <c r="BI975" s="1">
        <v>6.0</v>
      </c>
      <c r="BJ975" s="1" t="s">
        <v>7236</v>
      </c>
      <c r="BK975" s="1" t="s">
        <v>149</v>
      </c>
      <c r="BL975" s="1" t="s">
        <v>7236</v>
      </c>
      <c r="BM975" s="1" t="s">
        <v>19359</v>
      </c>
      <c r="BN975" s="1">
        <v>3.1957003E7</v>
      </c>
      <c r="BO975" s="1" t="s">
        <v>1997</v>
      </c>
      <c r="BP975" s="1" t="s">
        <v>74</v>
      </c>
      <c r="BQ975" s="1" t="s">
        <v>74</v>
      </c>
      <c r="BR975" s="1" t="s">
        <v>102</v>
      </c>
      <c r="BS975" s="1" t="s">
        <v>19360</v>
      </c>
      <c r="BT975" s="1" t="str">
        <f>HYPERLINK("https%3A%2F%2Fwww.webofscience.com%2Fwos%2Fwoscc%2Ffull-record%2FWOS:000517775000001","View Full Record in Web of Science")</f>
        <v>View Full Record in Web of Science</v>
      </c>
    </row>
    <row r="976" ht="12.75" customHeight="1">
      <c r="A976" s="1" t="s">
        <v>132</v>
      </c>
      <c r="B976" s="1" t="s">
        <v>19361</v>
      </c>
      <c r="C976" s="1" t="s">
        <v>74</v>
      </c>
      <c r="D976" s="1" t="s">
        <v>74</v>
      </c>
      <c r="E976" s="1" t="s">
        <v>74</v>
      </c>
      <c r="F976" s="1" t="s">
        <v>19362</v>
      </c>
      <c r="G976" s="1" t="s">
        <v>74</v>
      </c>
      <c r="H976" s="1" t="s">
        <v>74</v>
      </c>
      <c r="I976" s="1" t="s">
        <v>19363</v>
      </c>
      <c r="J976" s="1" t="s">
        <v>19364</v>
      </c>
      <c r="K976" s="1" t="s">
        <v>74</v>
      </c>
      <c r="L976" s="1" t="s">
        <v>74</v>
      </c>
      <c r="M976" s="1" t="s">
        <v>80</v>
      </c>
      <c r="N976" s="1" t="s">
        <v>136</v>
      </c>
      <c r="O976" s="1" t="s">
        <v>74</v>
      </c>
      <c r="P976" s="1" t="s">
        <v>74</v>
      </c>
      <c r="Q976" s="1" t="s">
        <v>74</v>
      </c>
      <c r="R976" s="1" t="s">
        <v>74</v>
      </c>
      <c r="S976" s="1" t="s">
        <v>74</v>
      </c>
      <c r="T976" s="1" t="s">
        <v>19365</v>
      </c>
      <c r="U976" s="1" t="s">
        <v>19366</v>
      </c>
      <c r="V976" s="1" t="s">
        <v>19367</v>
      </c>
      <c r="W976" s="1" t="s">
        <v>19368</v>
      </c>
      <c r="X976" s="1" t="s">
        <v>19369</v>
      </c>
      <c r="Y976" s="1" t="s">
        <v>19370</v>
      </c>
      <c r="Z976" s="1" t="s">
        <v>19371</v>
      </c>
      <c r="AA976" s="1" t="s">
        <v>19372</v>
      </c>
      <c r="AB976" s="1" t="s">
        <v>19373</v>
      </c>
      <c r="AC976" s="1" t="s">
        <v>19374</v>
      </c>
      <c r="AD976" s="1" t="s">
        <v>19375</v>
      </c>
      <c r="AE976" s="1" t="s">
        <v>19376</v>
      </c>
      <c r="AF976" s="1" t="s">
        <v>74</v>
      </c>
      <c r="AG976" s="1">
        <v>64.0</v>
      </c>
      <c r="AH976" s="1">
        <v>0.0</v>
      </c>
      <c r="AI976" s="1">
        <v>0.0</v>
      </c>
      <c r="AJ976" s="1">
        <v>5.0</v>
      </c>
      <c r="AK976" s="1">
        <v>5.0</v>
      </c>
      <c r="AL976" s="1" t="s">
        <v>3446</v>
      </c>
      <c r="AM976" s="1" t="s">
        <v>3447</v>
      </c>
      <c r="AN976" s="1" t="s">
        <v>3448</v>
      </c>
      <c r="AO976" s="1" t="s">
        <v>19377</v>
      </c>
      <c r="AP976" s="1" t="s">
        <v>74</v>
      </c>
      <c r="AQ976" s="1" t="s">
        <v>74</v>
      </c>
      <c r="AR976" s="1" t="s">
        <v>19378</v>
      </c>
      <c r="AS976" s="1" t="s">
        <v>19379</v>
      </c>
      <c r="AT976" s="1" t="s">
        <v>9795</v>
      </c>
      <c r="AU976" s="1">
        <v>2025.0</v>
      </c>
      <c r="AV976" s="1">
        <v>20.0</v>
      </c>
      <c r="AW976" s="1">
        <v>1.0</v>
      </c>
      <c r="AX976" s="1" t="s">
        <v>74</v>
      </c>
      <c r="AY976" s="1" t="s">
        <v>74</v>
      </c>
      <c r="AZ976" s="1" t="s">
        <v>74</v>
      </c>
      <c r="BA976" s="1" t="s">
        <v>74</v>
      </c>
      <c r="BB976" s="1" t="s">
        <v>74</v>
      </c>
      <c r="BC976" s="1" t="s">
        <v>74</v>
      </c>
      <c r="BD976" s="1">
        <v>14009.0</v>
      </c>
      <c r="BE976" s="1" t="s">
        <v>19380</v>
      </c>
      <c r="BF976" s="2" t="str">
        <f>HYPERLINK("http://dx.doi.org/10.1088/1748-9326/ad95a2","http://dx.doi.org/10.1088/1748-9326/ad95a2")</f>
        <v>http://dx.doi.org/10.1088/1748-9326/ad95a2</v>
      </c>
      <c r="BG976" s="1" t="s">
        <v>74</v>
      </c>
      <c r="BH976" s="1" t="s">
        <v>74</v>
      </c>
      <c r="BI976" s="1">
        <v>12.0</v>
      </c>
      <c r="BJ976" s="1" t="s">
        <v>500</v>
      </c>
      <c r="BK976" s="1" t="s">
        <v>149</v>
      </c>
      <c r="BL976" s="1" t="s">
        <v>501</v>
      </c>
      <c r="BM976" s="1" t="s">
        <v>19381</v>
      </c>
      <c r="BN976" s="1" t="s">
        <v>74</v>
      </c>
      <c r="BO976" s="1" t="s">
        <v>174</v>
      </c>
      <c r="BP976" s="1" t="s">
        <v>74</v>
      </c>
      <c r="BQ976" s="1" t="s">
        <v>74</v>
      </c>
      <c r="BR976" s="1" t="s">
        <v>102</v>
      </c>
      <c r="BS976" s="1" t="s">
        <v>19382</v>
      </c>
      <c r="BT976" s="1" t="str">
        <f>HYPERLINK("https%3A%2F%2Fwww.webofscience.com%2Fwos%2Fwoscc%2Ffull-record%2FWOS:001371261400001","View Full Record in Web of Science")</f>
        <v>View Full Record in Web of Science</v>
      </c>
    </row>
    <row r="977" ht="12.75" customHeight="1">
      <c r="A977" s="1" t="s">
        <v>132</v>
      </c>
      <c r="B977" s="1" t="s">
        <v>19383</v>
      </c>
      <c r="C977" s="1" t="s">
        <v>74</v>
      </c>
      <c r="D977" s="1" t="s">
        <v>74</v>
      </c>
      <c r="E977" s="1" t="s">
        <v>74</v>
      </c>
      <c r="F977" s="1" t="s">
        <v>19384</v>
      </c>
      <c r="G977" s="1" t="s">
        <v>74</v>
      </c>
      <c r="H977" s="1" t="s">
        <v>74</v>
      </c>
      <c r="I977" s="1" t="s">
        <v>19385</v>
      </c>
      <c r="J977" s="1" t="s">
        <v>6521</v>
      </c>
      <c r="K977" s="1" t="s">
        <v>74</v>
      </c>
      <c r="L977" s="1" t="s">
        <v>74</v>
      </c>
      <c r="M977" s="1" t="s">
        <v>80</v>
      </c>
      <c r="N977" s="1" t="s">
        <v>136</v>
      </c>
      <c r="O977" s="1" t="s">
        <v>74</v>
      </c>
      <c r="P977" s="1" t="s">
        <v>74</v>
      </c>
      <c r="Q977" s="1" t="s">
        <v>74</v>
      </c>
      <c r="R977" s="1" t="s">
        <v>74</v>
      </c>
      <c r="S977" s="1" t="s">
        <v>74</v>
      </c>
      <c r="T977" s="1" t="s">
        <v>19386</v>
      </c>
      <c r="U977" s="1" t="s">
        <v>19387</v>
      </c>
      <c r="V977" s="1" t="s">
        <v>19388</v>
      </c>
      <c r="W977" s="1" t="s">
        <v>19389</v>
      </c>
      <c r="X977" s="1" t="s">
        <v>19390</v>
      </c>
      <c r="Y977" s="1" t="s">
        <v>19391</v>
      </c>
      <c r="Z977" s="1" t="s">
        <v>19392</v>
      </c>
      <c r="AA977" s="1" t="s">
        <v>74</v>
      </c>
      <c r="AB977" s="1" t="s">
        <v>19393</v>
      </c>
      <c r="AC977" s="1" t="s">
        <v>19394</v>
      </c>
      <c r="AD977" s="1" t="s">
        <v>19395</v>
      </c>
      <c r="AE977" s="1" t="s">
        <v>19396</v>
      </c>
      <c r="AF977" s="1" t="s">
        <v>74</v>
      </c>
      <c r="AG977" s="1">
        <v>109.0</v>
      </c>
      <c r="AH977" s="1">
        <v>1.0</v>
      </c>
      <c r="AI977" s="1">
        <v>1.0</v>
      </c>
      <c r="AJ977" s="1">
        <v>22.0</v>
      </c>
      <c r="AK977" s="1">
        <v>22.0</v>
      </c>
      <c r="AL977" s="1" t="s">
        <v>1571</v>
      </c>
      <c r="AM977" s="1" t="s">
        <v>1572</v>
      </c>
      <c r="AN977" s="1" t="s">
        <v>1573</v>
      </c>
      <c r="AO977" s="1" t="s">
        <v>6534</v>
      </c>
      <c r="AP977" s="1" t="s">
        <v>74</v>
      </c>
      <c r="AQ977" s="1" t="s">
        <v>74</v>
      </c>
      <c r="AR977" s="1" t="s">
        <v>6535</v>
      </c>
      <c r="AS977" s="1" t="s">
        <v>6536</v>
      </c>
      <c r="AT977" s="1" t="s">
        <v>1051</v>
      </c>
      <c r="AU977" s="1">
        <v>2024.0</v>
      </c>
      <c r="AV977" s="1">
        <v>11.0</v>
      </c>
      <c r="AW977" s="1">
        <v>4.0</v>
      </c>
      <c r="AX977" s="1" t="s">
        <v>74</v>
      </c>
      <c r="AY977" s="1" t="s">
        <v>74</v>
      </c>
      <c r="AZ977" s="1" t="s">
        <v>74</v>
      </c>
      <c r="BA977" s="1" t="s">
        <v>74</v>
      </c>
      <c r="BB977" s="1" t="s">
        <v>74</v>
      </c>
      <c r="BC977" s="1" t="s">
        <v>74</v>
      </c>
      <c r="BD977" s="1">
        <v>2.053951724129022E16</v>
      </c>
      <c r="BE977" s="1" t="s">
        <v>19397</v>
      </c>
      <c r="BF977" s="2" t="str">
        <f>HYPERLINK("http://dx.doi.org/10.1177/20539517241290220","http://dx.doi.org/10.1177/20539517241290220")</f>
        <v>http://dx.doi.org/10.1177/20539517241290220</v>
      </c>
      <c r="BG977" s="1" t="s">
        <v>74</v>
      </c>
      <c r="BH977" s="1" t="s">
        <v>74</v>
      </c>
      <c r="BI977" s="1">
        <v>14.0</v>
      </c>
      <c r="BJ977" s="1" t="s">
        <v>98</v>
      </c>
      <c r="BK977" s="1" t="s">
        <v>203</v>
      </c>
      <c r="BL977" s="1" t="s">
        <v>100</v>
      </c>
      <c r="BM977" s="1" t="s">
        <v>19398</v>
      </c>
      <c r="BN977" s="1" t="s">
        <v>74</v>
      </c>
      <c r="BO977" s="1" t="s">
        <v>3076</v>
      </c>
      <c r="BP977" s="1" t="s">
        <v>74</v>
      </c>
      <c r="BQ977" s="1" t="s">
        <v>74</v>
      </c>
      <c r="BR977" s="1" t="s">
        <v>102</v>
      </c>
      <c r="BS977" s="1" t="s">
        <v>19399</v>
      </c>
      <c r="BT977" s="1" t="str">
        <f>HYPERLINK("https%3A%2F%2Fwww.webofscience.com%2Fwos%2Fwoscc%2Ffull-record%2FWOS:001332143200001","View Full Record in Web of Science")</f>
        <v>View Full Record in Web of Science</v>
      </c>
    </row>
    <row r="978" ht="12.75" customHeight="1">
      <c r="A978" s="1" t="s">
        <v>132</v>
      </c>
      <c r="B978" s="1" t="s">
        <v>19400</v>
      </c>
      <c r="C978" s="1" t="s">
        <v>74</v>
      </c>
      <c r="D978" s="1" t="s">
        <v>74</v>
      </c>
      <c r="E978" s="1" t="s">
        <v>74</v>
      </c>
      <c r="F978" s="1" t="s">
        <v>19401</v>
      </c>
      <c r="G978" s="1" t="s">
        <v>74</v>
      </c>
      <c r="H978" s="1" t="s">
        <v>74</v>
      </c>
      <c r="I978" s="1" t="s">
        <v>19402</v>
      </c>
      <c r="J978" s="1" t="s">
        <v>19403</v>
      </c>
      <c r="K978" s="1" t="s">
        <v>74</v>
      </c>
      <c r="L978" s="1" t="s">
        <v>74</v>
      </c>
      <c r="M978" s="1" t="s">
        <v>80</v>
      </c>
      <c r="N978" s="1" t="s">
        <v>1010</v>
      </c>
      <c r="O978" s="1" t="s">
        <v>74</v>
      </c>
      <c r="P978" s="1" t="s">
        <v>74</v>
      </c>
      <c r="Q978" s="1" t="s">
        <v>74</v>
      </c>
      <c r="R978" s="1" t="s">
        <v>74</v>
      </c>
      <c r="S978" s="1" t="s">
        <v>74</v>
      </c>
      <c r="T978" s="1" t="s">
        <v>19404</v>
      </c>
      <c r="U978" s="1" t="s">
        <v>74</v>
      </c>
      <c r="V978" s="1" t="s">
        <v>19405</v>
      </c>
      <c r="W978" s="1" t="s">
        <v>19406</v>
      </c>
      <c r="X978" s="1" t="s">
        <v>19407</v>
      </c>
      <c r="Y978" s="1" t="s">
        <v>19408</v>
      </c>
      <c r="Z978" s="1" t="s">
        <v>19409</v>
      </c>
      <c r="AA978" s="1" t="s">
        <v>19410</v>
      </c>
      <c r="AB978" s="1" t="s">
        <v>19411</v>
      </c>
      <c r="AC978" s="1" t="s">
        <v>74</v>
      </c>
      <c r="AD978" s="1" t="s">
        <v>74</v>
      </c>
      <c r="AE978" s="1" t="s">
        <v>74</v>
      </c>
      <c r="AF978" s="1" t="s">
        <v>74</v>
      </c>
      <c r="AG978" s="1">
        <v>38.0</v>
      </c>
      <c r="AH978" s="1">
        <v>1.0</v>
      </c>
      <c r="AI978" s="1">
        <v>1.0</v>
      </c>
      <c r="AJ978" s="1">
        <v>19.0</v>
      </c>
      <c r="AK978" s="1">
        <v>29.0</v>
      </c>
      <c r="AL978" s="1" t="s">
        <v>19412</v>
      </c>
      <c r="AM978" s="1" t="s">
        <v>19413</v>
      </c>
      <c r="AN978" s="1" t="s">
        <v>19414</v>
      </c>
      <c r="AO978" s="1" t="s">
        <v>19415</v>
      </c>
      <c r="AP978" s="1" t="s">
        <v>19416</v>
      </c>
      <c r="AQ978" s="1" t="s">
        <v>74</v>
      </c>
      <c r="AR978" s="1" t="s">
        <v>19417</v>
      </c>
      <c r="AS978" s="1" t="s">
        <v>19418</v>
      </c>
      <c r="AT978" s="1" t="s">
        <v>328</v>
      </c>
      <c r="AU978" s="1">
        <v>2024.0</v>
      </c>
      <c r="AV978" s="1">
        <v>15.0</v>
      </c>
      <c r="AW978" s="1">
        <v>2.0</v>
      </c>
      <c r="AX978" s="1" t="s">
        <v>74</v>
      </c>
      <c r="AY978" s="1" t="s">
        <v>74</v>
      </c>
      <c r="AZ978" s="1" t="s">
        <v>74</v>
      </c>
      <c r="BA978" s="1" t="s">
        <v>74</v>
      </c>
      <c r="BB978" s="1">
        <v>169.0</v>
      </c>
      <c r="BC978" s="1">
        <v>179.0</v>
      </c>
      <c r="BD978" s="1" t="s">
        <v>74</v>
      </c>
      <c r="BE978" s="1" t="s">
        <v>19419</v>
      </c>
      <c r="BF978" s="2" t="str">
        <f>HYPERLINK("http://dx.doi.org/10.24867/IJIEM-2024-2-355","http://dx.doi.org/10.24867/IJIEM-2024-2-355")</f>
        <v>http://dx.doi.org/10.24867/IJIEM-2024-2-355</v>
      </c>
      <c r="BG978" s="1" t="s">
        <v>74</v>
      </c>
      <c r="BH978" s="1" t="s">
        <v>74</v>
      </c>
      <c r="BI978" s="1">
        <v>11.0</v>
      </c>
      <c r="BJ978" s="1" t="s">
        <v>19420</v>
      </c>
      <c r="BK978" s="1" t="s">
        <v>172</v>
      </c>
      <c r="BL978" s="1" t="s">
        <v>3052</v>
      </c>
      <c r="BM978" s="1" t="s">
        <v>19421</v>
      </c>
      <c r="BN978" s="1" t="s">
        <v>74</v>
      </c>
      <c r="BO978" s="1" t="s">
        <v>174</v>
      </c>
      <c r="BP978" s="1" t="s">
        <v>74</v>
      </c>
      <c r="BQ978" s="1" t="s">
        <v>74</v>
      </c>
      <c r="BR978" s="1" t="s">
        <v>102</v>
      </c>
      <c r="BS978" s="1" t="s">
        <v>19422</v>
      </c>
      <c r="BT978" s="1" t="str">
        <f>HYPERLINK("https%3A%2F%2Fwww.webofscience.com%2Fwos%2Fwoscc%2Ffull-record%2FWOS:001247684000006","View Full Record in Web of Science")</f>
        <v>View Full Record in Web of Science</v>
      </c>
    </row>
    <row r="979" ht="12.75" customHeight="1">
      <c r="A979" s="1" t="s">
        <v>132</v>
      </c>
      <c r="B979" s="1" t="s">
        <v>19423</v>
      </c>
      <c r="C979" s="1" t="s">
        <v>74</v>
      </c>
      <c r="D979" s="1" t="s">
        <v>74</v>
      </c>
      <c r="E979" s="1" t="s">
        <v>74</v>
      </c>
      <c r="F979" s="1" t="s">
        <v>19424</v>
      </c>
      <c r="G979" s="1" t="s">
        <v>74</v>
      </c>
      <c r="H979" s="1" t="s">
        <v>74</v>
      </c>
      <c r="I979" s="1" t="s">
        <v>19425</v>
      </c>
      <c r="J979" s="1" t="s">
        <v>19426</v>
      </c>
      <c r="K979" s="1" t="s">
        <v>74</v>
      </c>
      <c r="L979" s="1" t="s">
        <v>74</v>
      </c>
      <c r="M979" s="1" t="s">
        <v>80</v>
      </c>
      <c r="N979" s="1" t="s">
        <v>1010</v>
      </c>
      <c r="O979" s="1" t="s">
        <v>74</v>
      </c>
      <c r="P979" s="1" t="s">
        <v>74</v>
      </c>
      <c r="Q979" s="1" t="s">
        <v>74</v>
      </c>
      <c r="R979" s="1" t="s">
        <v>74</v>
      </c>
      <c r="S979" s="1" t="s">
        <v>74</v>
      </c>
      <c r="T979" s="1" t="s">
        <v>19427</v>
      </c>
      <c r="U979" s="1" t="s">
        <v>19428</v>
      </c>
      <c r="V979" s="1" t="s">
        <v>19429</v>
      </c>
      <c r="W979" s="1" t="s">
        <v>19430</v>
      </c>
      <c r="X979" s="1" t="s">
        <v>74</v>
      </c>
      <c r="Y979" s="1" t="s">
        <v>19431</v>
      </c>
      <c r="Z979" s="1" t="s">
        <v>19432</v>
      </c>
      <c r="AA979" s="1" t="s">
        <v>19433</v>
      </c>
      <c r="AB979" s="1" t="s">
        <v>19434</v>
      </c>
      <c r="AC979" s="1" t="s">
        <v>74</v>
      </c>
      <c r="AD979" s="1" t="s">
        <v>74</v>
      </c>
      <c r="AE979" s="1" t="s">
        <v>74</v>
      </c>
      <c r="AF979" s="1" t="s">
        <v>74</v>
      </c>
      <c r="AG979" s="1">
        <v>99.0</v>
      </c>
      <c r="AH979" s="1">
        <v>0.0</v>
      </c>
      <c r="AI979" s="1">
        <v>0.0</v>
      </c>
      <c r="AJ979" s="1">
        <v>0.0</v>
      </c>
      <c r="AK979" s="1">
        <v>0.0</v>
      </c>
      <c r="AL979" s="1" t="s">
        <v>19435</v>
      </c>
      <c r="AM979" s="1" t="s">
        <v>3276</v>
      </c>
      <c r="AN979" s="1" t="s">
        <v>19436</v>
      </c>
      <c r="AO979" s="1" t="s">
        <v>74</v>
      </c>
      <c r="AP979" s="1" t="s">
        <v>19437</v>
      </c>
      <c r="AQ979" s="1" t="s">
        <v>74</v>
      </c>
      <c r="AR979" s="1" t="s">
        <v>19438</v>
      </c>
      <c r="AS979" s="1" t="s">
        <v>19439</v>
      </c>
      <c r="AT979" s="1" t="s">
        <v>74</v>
      </c>
      <c r="AU979" s="1">
        <v>2024.0</v>
      </c>
      <c r="AV979" s="1">
        <v>8.0</v>
      </c>
      <c r="AW979" s="1">
        <v>3.0</v>
      </c>
      <c r="AX979" s="1" t="s">
        <v>74</v>
      </c>
      <c r="AY979" s="1" t="s">
        <v>74</v>
      </c>
      <c r="AZ979" s="1" t="s">
        <v>74</v>
      </c>
      <c r="BA979" s="1" t="s">
        <v>74</v>
      </c>
      <c r="BB979" s="1">
        <v>281.0</v>
      </c>
      <c r="BC979" s="1">
        <v>294.0</v>
      </c>
      <c r="BD979" s="1" t="s">
        <v>74</v>
      </c>
      <c r="BE979" s="1" t="s">
        <v>19440</v>
      </c>
      <c r="BF979" s="2" t="str">
        <f>HYPERLINK("http://dx.doi.org/10.14744/ejmo.2024.24486","http://dx.doi.org/10.14744/ejmo.2024.24486")</f>
        <v>http://dx.doi.org/10.14744/ejmo.2024.24486</v>
      </c>
      <c r="BG979" s="1" t="s">
        <v>74</v>
      </c>
      <c r="BH979" s="1" t="s">
        <v>74</v>
      </c>
      <c r="BI979" s="1">
        <v>14.0</v>
      </c>
      <c r="BJ979" s="1" t="s">
        <v>19441</v>
      </c>
      <c r="BK979" s="1" t="s">
        <v>172</v>
      </c>
      <c r="BL979" s="1" t="s">
        <v>19442</v>
      </c>
      <c r="BM979" s="1" t="s">
        <v>19443</v>
      </c>
      <c r="BN979" s="1" t="s">
        <v>74</v>
      </c>
      <c r="BO979" s="1" t="s">
        <v>174</v>
      </c>
      <c r="BP979" s="1" t="s">
        <v>74</v>
      </c>
      <c r="BQ979" s="1" t="s">
        <v>74</v>
      </c>
      <c r="BR979" s="1" t="s">
        <v>102</v>
      </c>
      <c r="BS979" s="1" t="s">
        <v>19444</v>
      </c>
      <c r="BT979" s="1" t="str">
        <f>HYPERLINK("https%3A%2F%2Fwww.webofscience.com%2Fwos%2Fwoscc%2Ffull-record%2FWOS:001355586500005","View Full Record in Web of Science")</f>
        <v>View Full Record in Web of Science</v>
      </c>
    </row>
    <row r="980" ht="12.75" customHeight="1">
      <c r="A980" s="1" t="s">
        <v>72</v>
      </c>
      <c r="B980" s="1" t="s">
        <v>19445</v>
      </c>
      <c r="C980" s="1" t="s">
        <v>74</v>
      </c>
      <c r="D980" s="1" t="s">
        <v>19446</v>
      </c>
      <c r="E980" s="1" t="s">
        <v>74</v>
      </c>
      <c r="F980" s="1" t="s">
        <v>19447</v>
      </c>
      <c r="G980" s="1" t="s">
        <v>74</v>
      </c>
      <c r="H980" s="1" t="s">
        <v>74</v>
      </c>
      <c r="I980" s="1" t="s">
        <v>19448</v>
      </c>
      <c r="J980" s="1" t="s">
        <v>19449</v>
      </c>
      <c r="K980" s="1" t="s">
        <v>924</v>
      </c>
      <c r="L980" s="1" t="s">
        <v>74</v>
      </c>
      <c r="M980" s="1" t="s">
        <v>80</v>
      </c>
      <c r="N980" s="1" t="s">
        <v>81</v>
      </c>
      <c r="O980" s="1" t="s">
        <v>19450</v>
      </c>
      <c r="P980" s="1" t="s">
        <v>19451</v>
      </c>
      <c r="Q980" s="1" t="s">
        <v>19452</v>
      </c>
      <c r="R980" s="1" t="s">
        <v>19453</v>
      </c>
      <c r="S980" s="1" t="s">
        <v>74</v>
      </c>
      <c r="T980" s="1" t="s">
        <v>19454</v>
      </c>
      <c r="U980" s="1" t="s">
        <v>19455</v>
      </c>
      <c r="V980" s="1" t="s">
        <v>19456</v>
      </c>
      <c r="W980" s="1" t="s">
        <v>19457</v>
      </c>
      <c r="X980" s="1" t="s">
        <v>19458</v>
      </c>
      <c r="Y980" s="1" t="s">
        <v>19459</v>
      </c>
      <c r="Z980" s="1" t="s">
        <v>19460</v>
      </c>
      <c r="AA980" s="1" t="s">
        <v>19461</v>
      </c>
      <c r="AB980" s="1" t="s">
        <v>19462</v>
      </c>
      <c r="AC980" s="1" t="s">
        <v>19463</v>
      </c>
      <c r="AD980" s="1" t="s">
        <v>19464</v>
      </c>
      <c r="AE980" s="1" t="s">
        <v>19465</v>
      </c>
      <c r="AF980" s="1" t="s">
        <v>74</v>
      </c>
      <c r="AG980" s="1">
        <v>31.0</v>
      </c>
      <c r="AH980" s="1">
        <v>7.0</v>
      </c>
      <c r="AI980" s="1">
        <v>9.0</v>
      </c>
      <c r="AJ980" s="1">
        <v>1.0</v>
      </c>
      <c r="AK980" s="1">
        <v>24.0</v>
      </c>
      <c r="AL980" s="1" t="s">
        <v>223</v>
      </c>
      <c r="AM980" s="1" t="s">
        <v>224</v>
      </c>
      <c r="AN980" s="1" t="s">
        <v>225</v>
      </c>
      <c r="AO980" s="1" t="s">
        <v>941</v>
      </c>
      <c r="AP980" s="1" t="s">
        <v>942</v>
      </c>
      <c r="AQ980" s="1" t="s">
        <v>19466</v>
      </c>
      <c r="AR980" s="1" t="s">
        <v>944</v>
      </c>
      <c r="AS980" s="1" t="s">
        <v>74</v>
      </c>
      <c r="AT980" s="1" t="s">
        <v>74</v>
      </c>
      <c r="AU980" s="1">
        <v>2018.0</v>
      </c>
      <c r="AV980" s="1">
        <v>10870.0</v>
      </c>
      <c r="AW980" s="1" t="s">
        <v>74</v>
      </c>
      <c r="AX980" s="1" t="s">
        <v>74</v>
      </c>
      <c r="AY980" s="1" t="s">
        <v>74</v>
      </c>
      <c r="AZ980" s="1" t="s">
        <v>74</v>
      </c>
      <c r="BA980" s="1" t="s">
        <v>74</v>
      </c>
      <c r="BB980" s="1">
        <v>586.0</v>
      </c>
      <c r="BC980" s="1">
        <v>596.0</v>
      </c>
      <c r="BD980" s="1" t="s">
        <v>74</v>
      </c>
      <c r="BE980" s="1" t="s">
        <v>19467</v>
      </c>
      <c r="BF980" s="2" t="str">
        <f>HYPERLINK("http://dx.doi.org/10.1007/978-3-319-92639-1_49","http://dx.doi.org/10.1007/978-3-319-92639-1_49")</f>
        <v>http://dx.doi.org/10.1007/978-3-319-92639-1_49</v>
      </c>
      <c r="BG980" s="1" t="s">
        <v>74</v>
      </c>
      <c r="BH980" s="1" t="s">
        <v>74</v>
      </c>
      <c r="BI980" s="1">
        <v>11.0</v>
      </c>
      <c r="BJ980" s="1" t="s">
        <v>231</v>
      </c>
      <c r="BK980" s="1" t="s">
        <v>128</v>
      </c>
      <c r="BL980" s="1" t="s">
        <v>232</v>
      </c>
      <c r="BM980" s="1" t="s">
        <v>19468</v>
      </c>
      <c r="BN980" s="1" t="s">
        <v>74</v>
      </c>
      <c r="BO980" s="1" t="s">
        <v>74</v>
      </c>
      <c r="BP980" s="1" t="s">
        <v>74</v>
      </c>
      <c r="BQ980" s="1" t="s">
        <v>74</v>
      </c>
      <c r="BR980" s="1" t="s">
        <v>102</v>
      </c>
      <c r="BS980" s="1" t="s">
        <v>19469</v>
      </c>
      <c r="BT980" s="1" t="str">
        <f>HYPERLINK("https%3A%2F%2Fwww.webofscience.com%2Fwos%2Fwoscc%2Ffull-record%2FWOS:000443487900049","View Full Record in Web of Science")</f>
        <v>View Full Record in Web of Science</v>
      </c>
    </row>
    <row r="981" ht="12.75" customHeight="1">
      <c r="A981" s="1" t="s">
        <v>132</v>
      </c>
      <c r="B981" s="1" t="s">
        <v>19470</v>
      </c>
      <c r="C981" s="1" t="s">
        <v>74</v>
      </c>
      <c r="D981" s="1" t="s">
        <v>74</v>
      </c>
      <c r="E981" s="1" t="s">
        <v>74</v>
      </c>
      <c r="F981" s="1" t="s">
        <v>19471</v>
      </c>
      <c r="G981" s="1" t="s">
        <v>74</v>
      </c>
      <c r="H981" s="1" t="s">
        <v>74</v>
      </c>
      <c r="I981" s="1" t="s">
        <v>19472</v>
      </c>
      <c r="J981" s="1" t="s">
        <v>8412</v>
      </c>
      <c r="K981" s="1" t="s">
        <v>74</v>
      </c>
      <c r="L981" s="1" t="s">
        <v>74</v>
      </c>
      <c r="M981" s="1" t="s">
        <v>80</v>
      </c>
      <c r="N981" s="1" t="s">
        <v>136</v>
      </c>
      <c r="O981" s="1" t="s">
        <v>74</v>
      </c>
      <c r="P981" s="1" t="s">
        <v>74</v>
      </c>
      <c r="Q981" s="1" t="s">
        <v>74</v>
      </c>
      <c r="R981" s="1" t="s">
        <v>74</v>
      </c>
      <c r="S981" s="1" t="s">
        <v>74</v>
      </c>
      <c r="T981" s="1" t="s">
        <v>19473</v>
      </c>
      <c r="U981" s="1" t="s">
        <v>19474</v>
      </c>
      <c r="V981" s="1" t="s">
        <v>19475</v>
      </c>
      <c r="W981" s="1" t="s">
        <v>19476</v>
      </c>
      <c r="X981" s="1" t="s">
        <v>19477</v>
      </c>
      <c r="Y981" s="1" t="s">
        <v>19478</v>
      </c>
      <c r="Z981" s="1" t="s">
        <v>19479</v>
      </c>
      <c r="AA981" s="1" t="s">
        <v>19480</v>
      </c>
      <c r="AB981" s="1" t="s">
        <v>19481</v>
      </c>
      <c r="AC981" s="1" t="s">
        <v>74</v>
      </c>
      <c r="AD981" s="1" t="s">
        <v>74</v>
      </c>
      <c r="AE981" s="1" t="s">
        <v>74</v>
      </c>
      <c r="AF981" s="1" t="s">
        <v>74</v>
      </c>
      <c r="AG981" s="1">
        <v>74.0</v>
      </c>
      <c r="AH981" s="1">
        <v>0.0</v>
      </c>
      <c r="AI981" s="1">
        <v>0.0</v>
      </c>
      <c r="AJ981" s="1">
        <v>7.0</v>
      </c>
      <c r="AK981" s="1">
        <v>16.0</v>
      </c>
      <c r="AL981" s="1" t="s">
        <v>8421</v>
      </c>
      <c r="AM981" s="1" t="s">
        <v>8422</v>
      </c>
      <c r="AN981" s="1" t="s">
        <v>8423</v>
      </c>
      <c r="AO981" s="1" t="s">
        <v>8424</v>
      </c>
      <c r="AP981" s="1" t="s">
        <v>74</v>
      </c>
      <c r="AQ981" s="1" t="s">
        <v>74</v>
      </c>
      <c r="AR981" s="1" t="s">
        <v>8425</v>
      </c>
      <c r="AS981" s="1" t="s">
        <v>8426</v>
      </c>
      <c r="AT981" s="1" t="s">
        <v>74</v>
      </c>
      <c r="AU981" s="1">
        <v>2024.0</v>
      </c>
      <c r="AV981" s="1">
        <v>37.0</v>
      </c>
      <c r="AW981" s="1">
        <v>2.0</v>
      </c>
      <c r="AX981" s="1" t="s">
        <v>74</v>
      </c>
      <c r="AY981" s="1" t="s">
        <v>74</v>
      </c>
      <c r="AZ981" s="1" t="s">
        <v>74</v>
      </c>
      <c r="BA981" s="1" t="s">
        <v>74</v>
      </c>
      <c r="BB981" s="1">
        <v>227.0</v>
      </c>
      <c r="BC981" s="1">
        <v>242.0</v>
      </c>
      <c r="BD981" s="1" t="s">
        <v>74</v>
      </c>
      <c r="BE981" s="1" t="s">
        <v>19482</v>
      </c>
      <c r="BF981" s="2" t="str">
        <f>HYPERLINK("http://dx.doi.org/10.15581/003.37.2.227-246","http://dx.doi.org/10.15581/003.37.2.227-246")</f>
        <v>http://dx.doi.org/10.15581/003.37.2.227-246</v>
      </c>
      <c r="BG981" s="1" t="s">
        <v>74</v>
      </c>
      <c r="BH981" s="1" t="s">
        <v>74</v>
      </c>
      <c r="BI981" s="1">
        <v>16.0</v>
      </c>
      <c r="BJ981" s="1" t="s">
        <v>2183</v>
      </c>
      <c r="BK981" s="1" t="s">
        <v>172</v>
      </c>
      <c r="BL981" s="1" t="s">
        <v>2183</v>
      </c>
      <c r="BM981" s="1" t="s">
        <v>8428</v>
      </c>
      <c r="BN981" s="1" t="s">
        <v>74</v>
      </c>
      <c r="BO981" s="1" t="s">
        <v>174</v>
      </c>
      <c r="BP981" s="1" t="s">
        <v>74</v>
      </c>
      <c r="BQ981" s="1" t="s">
        <v>74</v>
      </c>
      <c r="BR981" s="1" t="s">
        <v>102</v>
      </c>
      <c r="BS981" s="1" t="s">
        <v>19483</v>
      </c>
      <c r="BT981" s="1" t="str">
        <f>HYPERLINK("https%3A%2F%2Fwww.webofscience.com%2Fwos%2Fwoscc%2Ffull-record%2FWOS:001223517200009","View Full Record in Web of Science")</f>
        <v>View Full Record in Web of Science</v>
      </c>
    </row>
    <row r="982" ht="12.75" customHeight="1">
      <c r="A982" s="1" t="s">
        <v>132</v>
      </c>
      <c r="B982" s="1" t="s">
        <v>19484</v>
      </c>
      <c r="C982" s="1" t="s">
        <v>74</v>
      </c>
      <c r="D982" s="1" t="s">
        <v>74</v>
      </c>
      <c r="E982" s="1" t="s">
        <v>74</v>
      </c>
      <c r="F982" s="1" t="s">
        <v>19485</v>
      </c>
      <c r="G982" s="1" t="s">
        <v>74</v>
      </c>
      <c r="H982" s="1" t="s">
        <v>74</v>
      </c>
      <c r="I982" s="1" t="s">
        <v>19486</v>
      </c>
      <c r="J982" s="1" t="s">
        <v>19487</v>
      </c>
      <c r="K982" s="1" t="s">
        <v>74</v>
      </c>
      <c r="L982" s="1" t="s">
        <v>74</v>
      </c>
      <c r="M982" s="1" t="s">
        <v>80</v>
      </c>
      <c r="N982" s="1" t="s">
        <v>1010</v>
      </c>
      <c r="O982" s="1" t="s">
        <v>74</v>
      </c>
      <c r="P982" s="1" t="s">
        <v>74</v>
      </c>
      <c r="Q982" s="1" t="s">
        <v>74</v>
      </c>
      <c r="R982" s="1" t="s">
        <v>74</v>
      </c>
      <c r="S982" s="1" t="s">
        <v>74</v>
      </c>
      <c r="T982" s="1" t="s">
        <v>19488</v>
      </c>
      <c r="U982" s="1" t="s">
        <v>74</v>
      </c>
      <c r="V982" s="1" t="s">
        <v>19489</v>
      </c>
      <c r="W982" s="1" t="s">
        <v>19490</v>
      </c>
      <c r="X982" s="1" t="s">
        <v>19491</v>
      </c>
      <c r="Y982" s="1" t="s">
        <v>19492</v>
      </c>
      <c r="Z982" s="1" t="s">
        <v>19493</v>
      </c>
      <c r="AA982" s="1" t="s">
        <v>19494</v>
      </c>
      <c r="AB982" s="1" t="s">
        <v>19495</v>
      </c>
      <c r="AC982" s="1" t="s">
        <v>74</v>
      </c>
      <c r="AD982" s="1" t="s">
        <v>74</v>
      </c>
      <c r="AE982" s="1" t="s">
        <v>19496</v>
      </c>
      <c r="AF982" s="1" t="s">
        <v>74</v>
      </c>
      <c r="AG982" s="1">
        <v>70.0</v>
      </c>
      <c r="AH982" s="1">
        <v>0.0</v>
      </c>
      <c r="AI982" s="1">
        <v>0.0</v>
      </c>
      <c r="AJ982" s="1">
        <v>8.0</v>
      </c>
      <c r="AK982" s="1">
        <v>8.0</v>
      </c>
      <c r="AL982" s="1" t="s">
        <v>1970</v>
      </c>
      <c r="AM982" s="1" t="s">
        <v>1658</v>
      </c>
      <c r="AN982" s="1" t="s">
        <v>1971</v>
      </c>
      <c r="AO982" s="1" t="s">
        <v>74</v>
      </c>
      <c r="AP982" s="1" t="s">
        <v>19497</v>
      </c>
      <c r="AQ982" s="1" t="s">
        <v>74</v>
      </c>
      <c r="AR982" s="1" t="s">
        <v>19487</v>
      </c>
      <c r="AS982" s="1" t="s">
        <v>19498</v>
      </c>
      <c r="AT982" s="1" t="s">
        <v>1709</v>
      </c>
      <c r="AU982" s="1">
        <v>2024.0</v>
      </c>
      <c r="AV982" s="1">
        <v>11.0</v>
      </c>
      <c r="AW982" s="1">
        <v>9.0</v>
      </c>
      <c r="AX982" s="1" t="s">
        <v>74</v>
      </c>
      <c r="AY982" s="1" t="s">
        <v>74</v>
      </c>
      <c r="AZ982" s="1" t="s">
        <v>74</v>
      </c>
      <c r="BA982" s="1" t="s">
        <v>74</v>
      </c>
      <c r="BB982" s="1" t="s">
        <v>74</v>
      </c>
      <c r="BC982" s="1" t="s">
        <v>74</v>
      </c>
      <c r="BD982" s="1">
        <v>936.0</v>
      </c>
      <c r="BE982" s="1" t="s">
        <v>19499</v>
      </c>
      <c r="BF982" s="2" t="str">
        <f>HYPERLINK("http://dx.doi.org/10.3390/bioengineering11090936","http://dx.doi.org/10.3390/bioengineering11090936")</f>
        <v>http://dx.doi.org/10.3390/bioengineering11090936</v>
      </c>
      <c r="BG982" s="1" t="s">
        <v>74</v>
      </c>
      <c r="BH982" s="1" t="s">
        <v>74</v>
      </c>
      <c r="BI982" s="1">
        <v>20.0</v>
      </c>
      <c r="BJ982" s="1" t="s">
        <v>19500</v>
      </c>
      <c r="BK982" s="1" t="s">
        <v>149</v>
      </c>
      <c r="BL982" s="1" t="s">
        <v>19501</v>
      </c>
      <c r="BM982" s="1" t="s">
        <v>19502</v>
      </c>
      <c r="BN982" s="1">
        <v>3.9329679E7</v>
      </c>
      <c r="BO982" s="1" t="s">
        <v>174</v>
      </c>
      <c r="BP982" s="1" t="s">
        <v>74</v>
      </c>
      <c r="BQ982" s="1" t="s">
        <v>74</v>
      </c>
      <c r="BR982" s="1" t="s">
        <v>102</v>
      </c>
      <c r="BS982" s="1" t="s">
        <v>19503</v>
      </c>
      <c r="BT982" s="1" t="str">
        <f>HYPERLINK("https%3A%2F%2Fwww.webofscience.com%2Fwos%2Fwoscc%2Ffull-record%2FWOS:001323733600001","View Full Record in Web of Science")</f>
        <v>View Full Record in Web of Science</v>
      </c>
    </row>
    <row r="983" ht="12.75" customHeight="1">
      <c r="A983" s="1" t="s">
        <v>72</v>
      </c>
      <c r="B983" s="1" t="s">
        <v>19504</v>
      </c>
      <c r="C983" s="1" t="s">
        <v>74</v>
      </c>
      <c r="D983" s="1" t="s">
        <v>74</v>
      </c>
      <c r="E983" s="1" t="s">
        <v>236</v>
      </c>
      <c r="F983" s="1" t="s">
        <v>19505</v>
      </c>
      <c r="G983" s="1" t="s">
        <v>74</v>
      </c>
      <c r="H983" s="1" t="s">
        <v>74</v>
      </c>
      <c r="I983" s="1" t="s">
        <v>19506</v>
      </c>
      <c r="J983" s="1" t="s">
        <v>19507</v>
      </c>
      <c r="K983" s="1" t="s">
        <v>74</v>
      </c>
      <c r="L983" s="1" t="s">
        <v>74</v>
      </c>
      <c r="M983" s="1" t="s">
        <v>80</v>
      </c>
      <c r="N983" s="1" t="s">
        <v>81</v>
      </c>
      <c r="O983" s="1" t="s">
        <v>19508</v>
      </c>
      <c r="P983" s="1" t="s">
        <v>19509</v>
      </c>
      <c r="Q983" s="1" t="s">
        <v>9258</v>
      </c>
      <c r="R983" s="1" t="s">
        <v>19510</v>
      </c>
      <c r="S983" s="1" t="s">
        <v>74</v>
      </c>
      <c r="T983" s="1" t="s">
        <v>19511</v>
      </c>
      <c r="U983" s="1" t="s">
        <v>74</v>
      </c>
      <c r="V983" s="1" t="s">
        <v>19512</v>
      </c>
      <c r="W983" s="1" t="s">
        <v>19513</v>
      </c>
      <c r="X983" s="1" t="s">
        <v>19514</v>
      </c>
      <c r="Y983" s="1" t="s">
        <v>19515</v>
      </c>
      <c r="Z983" s="1" t="s">
        <v>19516</v>
      </c>
      <c r="AA983" s="1" t="s">
        <v>19517</v>
      </c>
      <c r="AB983" s="1" t="s">
        <v>19518</v>
      </c>
      <c r="AC983" s="1" t="s">
        <v>74</v>
      </c>
      <c r="AD983" s="1" t="s">
        <v>74</v>
      </c>
      <c r="AE983" s="1" t="s">
        <v>74</v>
      </c>
      <c r="AF983" s="1" t="s">
        <v>74</v>
      </c>
      <c r="AG983" s="1">
        <v>19.0</v>
      </c>
      <c r="AH983" s="1">
        <v>0.0</v>
      </c>
      <c r="AI983" s="1">
        <v>0.0</v>
      </c>
      <c r="AJ983" s="1">
        <v>0.0</v>
      </c>
      <c r="AK983" s="1">
        <v>2.0</v>
      </c>
      <c r="AL983" s="1" t="s">
        <v>236</v>
      </c>
      <c r="AM983" s="1" t="s">
        <v>193</v>
      </c>
      <c r="AN983" s="1" t="s">
        <v>252</v>
      </c>
      <c r="AO983" s="1" t="s">
        <v>74</v>
      </c>
      <c r="AP983" s="1" t="s">
        <v>74</v>
      </c>
      <c r="AQ983" s="1" t="s">
        <v>19519</v>
      </c>
      <c r="AR983" s="1" t="s">
        <v>74</v>
      </c>
      <c r="AS983" s="1" t="s">
        <v>74</v>
      </c>
      <c r="AT983" s="1" t="s">
        <v>74</v>
      </c>
      <c r="AU983" s="1">
        <v>2018.0</v>
      </c>
      <c r="AV983" s="1" t="s">
        <v>74</v>
      </c>
      <c r="AW983" s="1" t="s">
        <v>74</v>
      </c>
      <c r="AX983" s="1" t="s">
        <v>74</v>
      </c>
      <c r="AY983" s="1" t="s">
        <v>74</v>
      </c>
      <c r="AZ983" s="1" t="s">
        <v>74</v>
      </c>
      <c r="BA983" s="1" t="s">
        <v>74</v>
      </c>
      <c r="BB983" s="1">
        <v>673.0</v>
      </c>
      <c r="BC983" s="1">
        <v>677.0</v>
      </c>
      <c r="BD983" s="1" t="s">
        <v>74</v>
      </c>
      <c r="BE983" s="1" t="s">
        <v>74</v>
      </c>
      <c r="BF983" s="1" t="s">
        <v>74</v>
      </c>
      <c r="BG983" s="1" t="s">
        <v>74</v>
      </c>
      <c r="BH983" s="1" t="s">
        <v>74</v>
      </c>
      <c r="BI983" s="1">
        <v>5.0</v>
      </c>
      <c r="BJ983" s="1" t="s">
        <v>3478</v>
      </c>
      <c r="BK983" s="1" t="s">
        <v>128</v>
      </c>
      <c r="BL983" s="1" t="s">
        <v>1619</v>
      </c>
      <c r="BM983" s="1" t="s">
        <v>19520</v>
      </c>
      <c r="BN983" s="1" t="s">
        <v>74</v>
      </c>
      <c r="BO983" s="1" t="s">
        <v>74</v>
      </c>
      <c r="BP983" s="1" t="s">
        <v>74</v>
      </c>
      <c r="BQ983" s="1" t="s">
        <v>74</v>
      </c>
      <c r="BR983" s="1" t="s">
        <v>102</v>
      </c>
      <c r="BS983" s="1" t="s">
        <v>19521</v>
      </c>
      <c r="BT983" s="1" t="str">
        <f>HYPERLINK("https%3A%2F%2Fwww.webofscience.com%2Fwos%2Fwoscc%2Ffull-record%2FWOS:000475971500120","View Full Record in Web of Science")</f>
        <v>View Full Record in Web of Science</v>
      </c>
    </row>
    <row r="984" ht="12.75" customHeight="1">
      <c r="A984" s="1" t="s">
        <v>132</v>
      </c>
      <c r="B984" s="1" t="s">
        <v>19522</v>
      </c>
      <c r="C984" s="1" t="s">
        <v>74</v>
      </c>
      <c r="D984" s="1" t="s">
        <v>74</v>
      </c>
      <c r="E984" s="1" t="s">
        <v>74</v>
      </c>
      <c r="F984" s="1" t="s">
        <v>19523</v>
      </c>
      <c r="G984" s="1" t="s">
        <v>74</v>
      </c>
      <c r="H984" s="1" t="s">
        <v>74</v>
      </c>
      <c r="I984" s="1" t="s">
        <v>19524</v>
      </c>
      <c r="J984" s="1" t="s">
        <v>1288</v>
      </c>
      <c r="K984" s="1" t="s">
        <v>74</v>
      </c>
      <c r="L984" s="1" t="s">
        <v>74</v>
      </c>
      <c r="M984" s="1" t="s">
        <v>80</v>
      </c>
      <c r="N984" s="1" t="s">
        <v>136</v>
      </c>
      <c r="O984" s="1" t="s">
        <v>74</v>
      </c>
      <c r="P984" s="1" t="s">
        <v>74</v>
      </c>
      <c r="Q984" s="1" t="s">
        <v>74</v>
      </c>
      <c r="R984" s="1" t="s">
        <v>74</v>
      </c>
      <c r="S984" s="1" t="s">
        <v>74</v>
      </c>
      <c r="T984" s="1" t="s">
        <v>19525</v>
      </c>
      <c r="U984" s="1" t="s">
        <v>74</v>
      </c>
      <c r="V984" s="1" t="s">
        <v>19526</v>
      </c>
      <c r="W984" s="1" t="s">
        <v>19527</v>
      </c>
      <c r="X984" s="1" t="s">
        <v>19528</v>
      </c>
      <c r="Y984" s="1" t="s">
        <v>19529</v>
      </c>
      <c r="Z984" s="1" t="s">
        <v>19530</v>
      </c>
      <c r="AA984" s="1" t="s">
        <v>19531</v>
      </c>
      <c r="AB984" s="1" t="s">
        <v>74</v>
      </c>
      <c r="AC984" s="1" t="s">
        <v>74</v>
      </c>
      <c r="AD984" s="1" t="s">
        <v>74</v>
      </c>
      <c r="AE984" s="1" t="s">
        <v>74</v>
      </c>
      <c r="AF984" s="1" t="s">
        <v>74</v>
      </c>
      <c r="AG984" s="1">
        <v>44.0</v>
      </c>
      <c r="AH984" s="1">
        <v>0.0</v>
      </c>
      <c r="AI984" s="1">
        <v>0.0</v>
      </c>
      <c r="AJ984" s="1">
        <v>110.0</v>
      </c>
      <c r="AK984" s="1">
        <v>125.0</v>
      </c>
      <c r="AL984" s="1" t="s">
        <v>1294</v>
      </c>
      <c r="AM984" s="1" t="s">
        <v>1295</v>
      </c>
      <c r="AN984" s="1" t="s">
        <v>1296</v>
      </c>
      <c r="AO984" s="1" t="s">
        <v>1297</v>
      </c>
      <c r="AP984" s="1" t="s">
        <v>1298</v>
      </c>
      <c r="AQ984" s="1" t="s">
        <v>74</v>
      </c>
      <c r="AR984" s="1" t="s">
        <v>1299</v>
      </c>
      <c r="AS984" s="1" t="s">
        <v>1300</v>
      </c>
      <c r="AT984" s="1" t="s">
        <v>1364</v>
      </c>
      <c r="AU984" s="1">
        <v>2024.0</v>
      </c>
      <c r="AV984" s="1">
        <v>26.0</v>
      </c>
      <c r="AW984" s="1">
        <v>66.0</v>
      </c>
      <c r="AX984" s="1" t="s">
        <v>74</v>
      </c>
      <c r="AY984" s="1" t="s">
        <v>74</v>
      </c>
      <c r="AZ984" s="1" t="s">
        <v>74</v>
      </c>
      <c r="BA984" s="1" t="s">
        <v>74</v>
      </c>
      <c r="BB984" s="1" t="s">
        <v>74</v>
      </c>
      <c r="BC984" s="1" t="s">
        <v>74</v>
      </c>
      <c r="BD984" s="1" t="s">
        <v>74</v>
      </c>
      <c r="BE984" s="1" t="s">
        <v>19532</v>
      </c>
      <c r="BF984" s="2" t="str">
        <f>HYPERLINK("http://dx.doi.org/10.24818/EA/2024/66/511","http://dx.doi.org/10.24818/EA/2024/66/511")</f>
        <v>http://dx.doi.org/10.24818/EA/2024/66/511</v>
      </c>
      <c r="BG984" s="1" t="s">
        <v>74</v>
      </c>
      <c r="BH984" s="1" t="s">
        <v>74</v>
      </c>
      <c r="BI984" s="1">
        <v>283.0</v>
      </c>
      <c r="BJ984" s="1" t="s">
        <v>1303</v>
      </c>
      <c r="BK984" s="1" t="s">
        <v>203</v>
      </c>
      <c r="BL984" s="1" t="s">
        <v>204</v>
      </c>
      <c r="BM984" s="1" t="s">
        <v>3407</v>
      </c>
      <c r="BN984" s="1" t="s">
        <v>74</v>
      </c>
      <c r="BO984" s="1" t="s">
        <v>174</v>
      </c>
      <c r="BP984" s="1" t="s">
        <v>74</v>
      </c>
      <c r="BQ984" s="1" t="s">
        <v>74</v>
      </c>
      <c r="BR984" s="1" t="s">
        <v>102</v>
      </c>
      <c r="BS984" s="1" t="s">
        <v>19533</v>
      </c>
      <c r="BT984" s="1" t="str">
        <f>HYPERLINK("https%3A%2F%2Fwww.webofscience.com%2Fwos%2Fwoscc%2Ffull-record%2FWOS:001248217500007","View Full Record in Web of Science")</f>
        <v>View Full Record in Web of Science</v>
      </c>
    </row>
    <row r="985" ht="12.75" customHeight="1">
      <c r="A985" s="1" t="s">
        <v>132</v>
      </c>
      <c r="B985" s="1" t="s">
        <v>19534</v>
      </c>
      <c r="C985" s="1" t="s">
        <v>74</v>
      </c>
      <c r="D985" s="1" t="s">
        <v>74</v>
      </c>
      <c r="E985" s="1" t="s">
        <v>74</v>
      </c>
      <c r="F985" s="1" t="s">
        <v>19535</v>
      </c>
      <c r="G985" s="1" t="s">
        <v>74</v>
      </c>
      <c r="H985" s="1" t="s">
        <v>74</v>
      </c>
      <c r="I985" s="1" t="s">
        <v>19536</v>
      </c>
      <c r="J985" s="1" t="s">
        <v>19537</v>
      </c>
      <c r="K985" s="1" t="s">
        <v>74</v>
      </c>
      <c r="L985" s="1" t="s">
        <v>74</v>
      </c>
      <c r="M985" s="1" t="s">
        <v>80</v>
      </c>
      <c r="N985" s="1" t="s">
        <v>136</v>
      </c>
      <c r="O985" s="1" t="s">
        <v>74</v>
      </c>
      <c r="P985" s="1" t="s">
        <v>74</v>
      </c>
      <c r="Q985" s="1" t="s">
        <v>74</v>
      </c>
      <c r="R985" s="1" t="s">
        <v>74</v>
      </c>
      <c r="S985" s="1" t="s">
        <v>74</v>
      </c>
      <c r="T985" s="1" t="s">
        <v>19538</v>
      </c>
      <c r="U985" s="1" t="s">
        <v>19539</v>
      </c>
      <c r="V985" s="1" t="s">
        <v>19540</v>
      </c>
      <c r="W985" s="1" t="s">
        <v>19541</v>
      </c>
      <c r="X985" s="1" t="s">
        <v>19542</v>
      </c>
      <c r="Y985" s="1" t="s">
        <v>19543</v>
      </c>
      <c r="Z985" s="1" t="s">
        <v>19544</v>
      </c>
      <c r="AA985" s="1" t="s">
        <v>19545</v>
      </c>
      <c r="AB985" s="1" t="s">
        <v>19546</v>
      </c>
      <c r="AC985" s="1" t="s">
        <v>74</v>
      </c>
      <c r="AD985" s="1" t="s">
        <v>74</v>
      </c>
      <c r="AE985" s="1" t="s">
        <v>74</v>
      </c>
      <c r="AF985" s="1" t="s">
        <v>74</v>
      </c>
      <c r="AG985" s="1">
        <v>59.0</v>
      </c>
      <c r="AH985" s="1">
        <v>0.0</v>
      </c>
      <c r="AI985" s="1">
        <v>0.0</v>
      </c>
      <c r="AJ985" s="1">
        <v>14.0</v>
      </c>
      <c r="AK985" s="1">
        <v>18.0</v>
      </c>
      <c r="AL985" s="1" t="s">
        <v>571</v>
      </c>
      <c r="AM985" s="1" t="s">
        <v>572</v>
      </c>
      <c r="AN985" s="1" t="s">
        <v>573</v>
      </c>
      <c r="AO985" s="1" t="s">
        <v>19547</v>
      </c>
      <c r="AP985" s="1" t="s">
        <v>74</v>
      </c>
      <c r="AQ985" s="1" t="s">
        <v>74</v>
      </c>
      <c r="AR985" s="1" t="s">
        <v>19548</v>
      </c>
      <c r="AS985" s="1" t="s">
        <v>19549</v>
      </c>
      <c r="AT985" s="1" t="s">
        <v>19550</v>
      </c>
      <c r="AU985" s="1">
        <v>2024.0</v>
      </c>
      <c r="AV985" s="1">
        <v>41.0</v>
      </c>
      <c r="AW985" s="1">
        <v>3.0</v>
      </c>
      <c r="AX985" s="1" t="s">
        <v>74</v>
      </c>
      <c r="AY985" s="1" t="s">
        <v>74</v>
      </c>
      <c r="AZ985" s="1" t="s">
        <v>74</v>
      </c>
      <c r="BA985" s="1" t="s">
        <v>74</v>
      </c>
      <c r="BB985" s="1">
        <v>230.0</v>
      </c>
      <c r="BC985" s="1">
        <v>243.0</v>
      </c>
      <c r="BD985" s="1" t="s">
        <v>74</v>
      </c>
      <c r="BE985" s="1" t="s">
        <v>19551</v>
      </c>
      <c r="BF985" s="2" t="str">
        <f>HYPERLINK("http://dx.doi.org/10.1108/IJILT-09-2023-0176","http://dx.doi.org/10.1108/IJILT-09-2023-0176")</f>
        <v>http://dx.doi.org/10.1108/IJILT-09-2023-0176</v>
      </c>
      <c r="BG985" s="1" t="s">
        <v>74</v>
      </c>
      <c r="BH985" s="1" t="s">
        <v>3129</v>
      </c>
      <c r="BI985" s="1">
        <v>14.0</v>
      </c>
      <c r="BJ985" s="1" t="s">
        <v>8719</v>
      </c>
      <c r="BK985" s="1" t="s">
        <v>172</v>
      </c>
      <c r="BL985" s="1" t="s">
        <v>232</v>
      </c>
      <c r="BM985" s="1" t="s">
        <v>19552</v>
      </c>
      <c r="BN985" s="1" t="s">
        <v>74</v>
      </c>
      <c r="BO985" s="1" t="s">
        <v>74</v>
      </c>
      <c r="BP985" s="1" t="s">
        <v>74</v>
      </c>
      <c r="BQ985" s="1" t="s">
        <v>74</v>
      </c>
      <c r="BR985" s="1" t="s">
        <v>102</v>
      </c>
      <c r="BS985" s="1" t="s">
        <v>19553</v>
      </c>
      <c r="BT985" s="1" t="str">
        <f>HYPERLINK("https%3A%2F%2Fwww.webofscience.com%2Fwos%2Fwoscc%2Ffull-record%2FWOS:001223096300001","View Full Record in Web of Science")</f>
        <v>View Full Record in Web of Science</v>
      </c>
    </row>
    <row r="986" ht="12.75" customHeight="1">
      <c r="A986" s="1" t="s">
        <v>132</v>
      </c>
      <c r="B986" s="1" t="s">
        <v>19554</v>
      </c>
      <c r="C986" s="1" t="s">
        <v>74</v>
      </c>
      <c r="D986" s="1" t="s">
        <v>74</v>
      </c>
      <c r="E986" s="1" t="s">
        <v>74</v>
      </c>
      <c r="F986" s="1" t="s">
        <v>19555</v>
      </c>
      <c r="G986" s="1" t="s">
        <v>74</v>
      </c>
      <c r="H986" s="1" t="s">
        <v>74</v>
      </c>
      <c r="I986" s="1" t="s">
        <v>19556</v>
      </c>
      <c r="J986" s="1" t="s">
        <v>16404</v>
      </c>
      <c r="K986" s="1" t="s">
        <v>74</v>
      </c>
      <c r="L986" s="1" t="s">
        <v>74</v>
      </c>
      <c r="M986" s="1" t="s">
        <v>80</v>
      </c>
      <c r="N986" s="1" t="s">
        <v>1010</v>
      </c>
      <c r="O986" s="1" t="s">
        <v>74</v>
      </c>
      <c r="P986" s="1" t="s">
        <v>74</v>
      </c>
      <c r="Q986" s="1" t="s">
        <v>74</v>
      </c>
      <c r="R986" s="1" t="s">
        <v>74</v>
      </c>
      <c r="S986" s="1" t="s">
        <v>74</v>
      </c>
      <c r="T986" s="1" t="s">
        <v>19557</v>
      </c>
      <c r="U986" s="1" t="s">
        <v>19558</v>
      </c>
      <c r="V986" s="1" t="s">
        <v>19559</v>
      </c>
      <c r="W986" s="1" t="s">
        <v>19560</v>
      </c>
      <c r="X986" s="1" t="s">
        <v>19561</v>
      </c>
      <c r="Y986" s="1" t="s">
        <v>19562</v>
      </c>
      <c r="Z986" s="1" t="s">
        <v>19563</v>
      </c>
      <c r="AA986" s="1" t="s">
        <v>19564</v>
      </c>
      <c r="AB986" s="1" t="s">
        <v>19565</v>
      </c>
      <c r="AC986" s="1" t="s">
        <v>19566</v>
      </c>
      <c r="AD986" s="1" t="s">
        <v>19567</v>
      </c>
      <c r="AE986" s="1" t="s">
        <v>19568</v>
      </c>
      <c r="AF986" s="1" t="s">
        <v>74</v>
      </c>
      <c r="AG986" s="1">
        <v>112.0</v>
      </c>
      <c r="AH986" s="1">
        <v>2.0</v>
      </c>
      <c r="AI986" s="1">
        <v>2.0</v>
      </c>
      <c r="AJ986" s="1">
        <v>3.0</v>
      </c>
      <c r="AK986" s="1">
        <v>3.0</v>
      </c>
      <c r="AL986" s="1" t="s">
        <v>1970</v>
      </c>
      <c r="AM986" s="1" t="s">
        <v>1658</v>
      </c>
      <c r="AN986" s="1" t="s">
        <v>1971</v>
      </c>
      <c r="AO986" s="1" t="s">
        <v>74</v>
      </c>
      <c r="AP986" s="1" t="s">
        <v>16414</v>
      </c>
      <c r="AQ986" s="1" t="s">
        <v>74</v>
      </c>
      <c r="AR986" s="1" t="s">
        <v>16404</v>
      </c>
      <c r="AS986" s="1" t="s">
        <v>16415</v>
      </c>
      <c r="AT986" s="1" t="s">
        <v>2469</v>
      </c>
      <c r="AU986" s="1">
        <v>2024.0</v>
      </c>
      <c r="AV986" s="1">
        <v>12.0</v>
      </c>
      <c r="AW986" s="1">
        <v>10.0</v>
      </c>
      <c r="AX986" s="1" t="s">
        <v>74</v>
      </c>
      <c r="AY986" s="1" t="s">
        <v>74</v>
      </c>
      <c r="AZ986" s="1" t="s">
        <v>74</v>
      </c>
      <c r="BA986" s="1" t="s">
        <v>74</v>
      </c>
      <c r="BB986" s="1" t="s">
        <v>74</v>
      </c>
      <c r="BC986" s="1" t="s">
        <v>74</v>
      </c>
      <c r="BD986" s="1">
        <v>2415.0</v>
      </c>
      <c r="BE986" s="1" t="s">
        <v>19569</v>
      </c>
      <c r="BF986" s="2" t="str">
        <f>HYPERLINK("http://dx.doi.org/10.3390/biomedicines12102415","http://dx.doi.org/10.3390/biomedicines12102415")</f>
        <v>http://dx.doi.org/10.3390/biomedicines12102415</v>
      </c>
      <c r="BG986" s="1" t="s">
        <v>74</v>
      </c>
      <c r="BH986" s="1" t="s">
        <v>74</v>
      </c>
      <c r="BI986" s="1">
        <v>17.0</v>
      </c>
      <c r="BJ986" s="1" t="s">
        <v>16417</v>
      </c>
      <c r="BK986" s="1" t="s">
        <v>149</v>
      </c>
      <c r="BL986" s="1" t="s">
        <v>16418</v>
      </c>
      <c r="BM986" s="1" t="s">
        <v>19570</v>
      </c>
      <c r="BN986" s="1">
        <v>3.9457727E7</v>
      </c>
      <c r="BO986" s="1" t="s">
        <v>174</v>
      </c>
      <c r="BP986" s="1" t="s">
        <v>74</v>
      </c>
      <c r="BQ986" s="1" t="s">
        <v>74</v>
      </c>
      <c r="BR986" s="1" t="s">
        <v>102</v>
      </c>
      <c r="BS986" s="1" t="s">
        <v>19571</v>
      </c>
      <c r="BT986" s="1" t="str">
        <f>HYPERLINK("https%3A%2F%2Fwww.webofscience.com%2Fwos%2Fwoscc%2Ffull-record%2FWOS:001341830300001","View Full Record in Web of Science")</f>
        <v>View Full Record in Web of Science</v>
      </c>
    </row>
    <row r="987" ht="12.75" customHeight="1">
      <c r="A987" s="1" t="s">
        <v>132</v>
      </c>
      <c r="B987" s="1" t="s">
        <v>19572</v>
      </c>
      <c r="C987" s="1" t="s">
        <v>74</v>
      </c>
      <c r="D987" s="1" t="s">
        <v>74</v>
      </c>
      <c r="E987" s="1" t="s">
        <v>74</v>
      </c>
      <c r="F987" s="1" t="s">
        <v>19573</v>
      </c>
      <c r="G987" s="1" t="s">
        <v>74</v>
      </c>
      <c r="H987" s="1" t="s">
        <v>74</v>
      </c>
      <c r="I987" s="1" t="s">
        <v>19574</v>
      </c>
      <c r="J987" s="1" t="s">
        <v>19575</v>
      </c>
      <c r="K987" s="1" t="s">
        <v>74</v>
      </c>
      <c r="L987" s="1" t="s">
        <v>74</v>
      </c>
      <c r="M987" s="1" t="s">
        <v>80</v>
      </c>
      <c r="N987" s="1" t="s">
        <v>136</v>
      </c>
      <c r="O987" s="1" t="s">
        <v>74</v>
      </c>
      <c r="P987" s="1" t="s">
        <v>74</v>
      </c>
      <c r="Q987" s="1" t="s">
        <v>74</v>
      </c>
      <c r="R987" s="1" t="s">
        <v>74</v>
      </c>
      <c r="S987" s="1" t="s">
        <v>74</v>
      </c>
      <c r="T987" s="1" t="s">
        <v>19576</v>
      </c>
      <c r="U987" s="1" t="s">
        <v>74</v>
      </c>
      <c r="V987" s="1" t="s">
        <v>19577</v>
      </c>
      <c r="W987" s="1" t="s">
        <v>19578</v>
      </c>
      <c r="X987" s="1" t="s">
        <v>19579</v>
      </c>
      <c r="Y987" s="1" t="s">
        <v>19580</v>
      </c>
      <c r="Z987" s="1" t="s">
        <v>19581</v>
      </c>
      <c r="AA987" s="1" t="s">
        <v>19582</v>
      </c>
      <c r="AB987" s="1" t="s">
        <v>19583</v>
      </c>
      <c r="AC987" s="1" t="s">
        <v>74</v>
      </c>
      <c r="AD987" s="1" t="s">
        <v>74</v>
      </c>
      <c r="AE987" s="1" t="s">
        <v>74</v>
      </c>
      <c r="AF987" s="1" t="s">
        <v>74</v>
      </c>
      <c r="AG987" s="1">
        <v>9.0</v>
      </c>
      <c r="AH987" s="1">
        <v>0.0</v>
      </c>
      <c r="AI987" s="1">
        <v>0.0</v>
      </c>
      <c r="AJ987" s="1">
        <v>11.0</v>
      </c>
      <c r="AK987" s="1">
        <v>12.0</v>
      </c>
      <c r="AL987" s="1" t="s">
        <v>19584</v>
      </c>
      <c r="AM987" s="1" t="s">
        <v>19585</v>
      </c>
      <c r="AN987" s="1" t="s">
        <v>19586</v>
      </c>
      <c r="AO987" s="1" t="s">
        <v>19587</v>
      </c>
      <c r="AP987" s="1" t="s">
        <v>19588</v>
      </c>
      <c r="AQ987" s="1" t="s">
        <v>74</v>
      </c>
      <c r="AR987" s="1" t="s">
        <v>19589</v>
      </c>
      <c r="AS987" s="1" t="s">
        <v>19590</v>
      </c>
      <c r="AT987" s="1" t="s">
        <v>74</v>
      </c>
      <c r="AU987" s="1">
        <v>2023.0</v>
      </c>
      <c r="AV987" s="1" t="s">
        <v>74</v>
      </c>
      <c r="AW987" s="1">
        <v>24.0</v>
      </c>
      <c r="AX987" s="1" t="s">
        <v>74</v>
      </c>
      <c r="AY987" s="1" t="s">
        <v>74</v>
      </c>
      <c r="AZ987" s="1" t="s">
        <v>74</v>
      </c>
      <c r="BA987" s="1" t="s">
        <v>74</v>
      </c>
      <c r="BB987" s="1">
        <v>68.0</v>
      </c>
      <c r="BC987" s="1">
        <v>74.0</v>
      </c>
      <c r="BD987" s="1" t="s">
        <v>74</v>
      </c>
      <c r="BE987" s="1" t="s">
        <v>19591</v>
      </c>
      <c r="BF987" s="2" t="str">
        <f>HYPERLINK("http://dx.doi.org/10.15802/ampr.v0i24.295317","http://dx.doi.org/10.15802/ampr.v0i24.295317")</f>
        <v>http://dx.doi.org/10.15802/ampr.v0i24.295317</v>
      </c>
      <c r="BG987" s="1" t="s">
        <v>74</v>
      </c>
      <c r="BH987" s="1" t="s">
        <v>74</v>
      </c>
      <c r="BI987" s="1">
        <v>7.0</v>
      </c>
      <c r="BJ987" s="1" t="s">
        <v>3709</v>
      </c>
      <c r="BK987" s="1" t="s">
        <v>172</v>
      </c>
      <c r="BL987" s="1" t="s">
        <v>3709</v>
      </c>
      <c r="BM987" s="1" t="s">
        <v>19592</v>
      </c>
      <c r="BN987" s="1" t="s">
        <v>74</v>
      </c>
      <c r="BO987" s="1" t="s">
        <v>1161</v>
      </c>
      <c r="BP987" s="1" t="s">
        <v>74</v>
      </c>
      <c r="BQ987" s="1" t="s">
        <v>74</v>
      </c>
      <c r="BR987" s="1" t="s">
        <v>102</v>
      </c>
      <c r="BS987" s="1" t="s">
        <v>19593</v>
      </c>
      <c r="BT987" s="1" t="str">
        <f>HYPERLINK("https%3A%2F%2Fwww.webofscience.com%2Fwos%2Fwoscc%2Ffull-record%2FWOS:001136717700002","View Full Record in Web of Science")</f>
        <v>View Full Record in Web of Science</v>
      </c>
    </row>
    <row r="988" ht="12.75" customHeight="1">
      <c r="A988" s="1" t="s">
        <v>132</v>
      </c>
      <c r="B988" s="1" t="s">
        <v>19594</v>
      </c>
      <c r="C988" s="1" t="s">
        <v>74</v>
      </c>
      <c r="D988" s="1" t="s">
        <v>74</v>
      </c>
      <c r="E988" s="1" t="s">
        <v>74</v>
      </c>
      <c r="F988" s="1" t="s">
        <v>19595</v>
      </c>
      <c r="G988" s="1" t="s">
        <v>74</v>
      </c>
      <c r="H988" s="1" t="s">
        <v>74</v>
      </c>
      <c r="I988" s="1" t="s">
        <v>19596</v>
      </c>
      <c r="J988" s="1" t="s">
        <v>3329</v>
      </c>
      <c r="K988" s="1" t="s">
        <v>74</v>
      </c>
      <c r="L988" s="1" t="s">
        <v>74</v>
      </c>
      <c r="M988" s="1" t="s">
        <v>80</v>
      </c>
      <c r="N988" s="1" t="s">
        <v>136</v>
      </c>
      <c r="O988" s="1" t="s">
        <v>74</v>
      </c>
      <c r="P988" s="1" t="s">
        <v>74</v>
      </c>
      <c r="Q988" s="1" t="s">
        <v>74</v>
      </c>
      <c r="R988" s="1" t="s">
        <v>74</v>
      </c>
      <c r="S988" s="1" t="s">
        <v>74</v>
      </c>
      <c r="T988" s="1" t="s">
        <v>19597</v>
      </c>
      <c r="U988" s="1" t="s">
        <v>19598</v>
      </c>
      <c r="V988" s="1" t="s">
        <v>19599</v>
      </c>
      <c r="W988" s="1" t="s">
        <v>19600</v>
      </c>
      <c r="X988" s="1" t="s">
        <v>19601</v>
      </c>
      <c r="Y988" s="1" t="s">
        <v>19602</v>
      </c>
      <c r="Z988" s="1" t="s">
        <v>19603</v>
      </c>
      <c r="AA988" s="1" t="s">
        <v>74</v>
      </c>
      <c r="AB988" s="1" t="s">
        <v>74</v>
      </c>
      <c r="AC988" s="1" t="s">
        <v>74</v>
      </c>
      <c r="AD988" s="1" t="s">
        <v>74</v>
      </c>
      <c r="AE988" s="1" t="s">
        <v>74</v>
      </c>
      <c r="AF988" s="1" t="s">
        <v>74</v>
      </c>
      <c r="AG988" s="1">
        <v>60.0</v>
      </c>
      <c r="AH988" s="1">
        <v>0.0</v>
      </c>
      <c r="AI988" s="1">
        <v>0.0</v>
      </c>
      <c r="AJ988" s="1">
        <v>35.0</v>
      </c>
      <c r="AK988" s="1">
        <v>35.0</v>
      </c>
      <c r="AL988" s="1" t="s">
        <v>3341</v>
      </c>
      <c r="AM988" s="1" t="s">
        <v>2426</v>
      </c>
      <c r="AN988" s="1" t="s">
        <v>3342</v>
      </c>
      <c r="AO988" s="1" t="s">
        <v>3343</v>
      </c>
      <c r="AP988" s="1" t="s">
        <v>3344</v>
      </c>
      <c r="AQ988" s="1" t="s">
        <v>74</v>
      </c>
      <c r="AR988" s="1" t="s">
        <v>3345</v>
      </c>
      <c r="AS988" s="1" t="s">
        <v>3346</v>
      </c>
      <c r="AT988" s="1" t="s">
        <v>199</v>
      </c>
      <c r="AU988" s="1">
        <v>2024.0</v>
      </c>
      <c r="AV988" s="1">
        <v>69.0</v>
      </c>
      <c r="AW988" s="1" t="s">
        <v>74</v>
      </c>
      <c r="AX988" s="1" t="s">
        <v>3347</v>
      </c>
      <c r="AY988" s="1" t="s">
        <v>74</v>
      </c>
      <c r="AZ988" s="1" t="s">
        <v>74</v>
      </c>
      <c r="BA988" s="1" t="s">
        <v>74</v>
      </c>
      <c r="BB988" s="1" t="s">
        <v>74</v>
      </c>
      <c r="BC988" s="1" t="s">
        <v>74</v>
      </c>
      <c r="BD988" s="1">
        <v>106262.0</v>
      </c>
      <c r="BE988" s="1" t="s">
        <v>19604</v>
      </c>
      <c r="BF988" s="2" t="str">
        <f>HYPERLINK("http://dx.doi.org/10.1016/j.frl.2024.106262","http://dx.doi.org/10.1016/j.frl.2024.106262")</f>
        <v>http://dx.doi.org/10.1016/j.frl.2024.106262</v>
      </c>
      <c r="BG988" s="1" t="s">
        <v>74</v>
      </c>
      <c r="BH988" s="1" t="s">
        <v>2753</v>
      </c>
      <c r="BI988" s="1">
        <v>10.0</v>
      </c>
      <c r="BJ988" s="1" t="s">
        <v>3350</v>
      </c>
      <c r="BK988" s="1" t="s">
        <v>203</v>
      </c>
      <c r="BL988" s="1" t="s">
        <v>204</v>
      </c>
      <c r="BM988" s="1" t="s">
        <v>19605</v>
      </c>
      <c r="BN988" s="1" t="s">
        <v>74</v>
      </c>
      <c r="BO988" s="1" t="s">
        <v>74</v>
      </c>
      <c r="BP988" s="1" t="s">
        <v>74</v>
      </c>
      <c r="BQ988" s="1" t="s">
        <v>74</v>
      </c>
      <c r="BR988" s="1" t="s">
        <v>102</v>
      </c>
      <c r="BS988" s="1" t="s">
        <v>19606</v>
      </c>
      <c r="BT988" s="1" t="str">
        <f>HYPERLINK("https%3A%2F%2Fwww.webofscience.com%2Fwos%2Fwoscc%2Ffull-record%2FWOS:001338899000001","View Full Record in Web of Science")</f>
        <v>View Full Record in Web of Science</v>
      </c>
    </row>
    <row r="989" ht="12.75" customHeight="1">
      <c r="A989" s="1" t="s">
        <v>132</v>
      </c>
      <c r="B989" s="1" t="s">
        <v>19607</v>
      </c>
      <c r="C989" s="1" t="s">
        <v>74</v>
      </c>
      <c r="D989" s="1" t="s">
        <v>74</v>
      </c>
      <c r="E989" s="1" t="s">
        <v>74</v>
      </c>
      <c r="F989" s="1" t="s">
        <v>19608</v>
      </c>
      <c r="G989" s="1" t="s">
        <v>74</v>
      </c>
      <c r="H989" s="1" t="s">
        <v>74</v>
      </c>
      <c r="I989" s="1" t="s">
        <v>19609</v>
      </c>
      <c r="J989" s="1" t="s">
        <v>4532</v>
      </c>
      <c r="K989" s="1" t="s">
        <v>74</v>
      </c>
      <c r="L989" s="1" t="s">
        <v>74</v>
      </c>
      <c r="M989" s="1" t="s">
        <v>80</v>
      </c>
      <c r="N989" s="1" t="s">
        <v>136</v>
      </c>
      <c r="O989" s="1" t="s">
        <v>74</v>
      </c>
      <c r="P989" s="1" t="s">
        <v>74</v>
      </c>
      <c r="Q989" s="1" t="s">
        <v>74</v>
      </c>
      <c r="R989" s="1" t="s">
        <v>74</v>
      </c>
      <c r="S989" s="1" t="s">
        <v>74</v>
      </c>
      <c r="T989" s="1" t="s">
        <v>19610</v>
      </c>
      <c r="U989" s="1" t="s">
        <v>74</v>
      </c>
      <c r="V989" s="1" t="s">
        <v>19611</v>
      </c>
      <c r="W989" s="1" t="s">
        <v>19612</v>
      </c>
      <c r="X989" s="1" t="s">
        <v>8603</v>
      </c>
      <c r="Y989" s="1" t="s">
        <v>19613</v>
      </c>
      <c r="Z989" s="1" t="s">
        <v>8605</v>
      </c>
      <c r="AA989" s="1" t="s">
        <v>15129</v>
      </c>
      <c r="AB989" s="1" t="s">
        <v>15130</v>
      </c>
      <c r="AC989" s="1" t="s">
        <v>19614</v>
      </c>
      <c r="AD989" s="1" t="s">
        <v>19615</v>
      </c>
      <c r="AE989" s="1" t="s">
        <v>19616</v>
      </c>
      <c r="AF989" s="1" t="s">
        <v>74</v>
      </c>
      <c r="AG989" s="1">
        <v>82.0</v>
      </c>
      <c r="AH989" s="1">
        <v>58.0</v>
      </c>
      <c r="AI989" s="1">
        <v>60.0</v>
      </c>
      <c r="AJ989" s="1">
        <v>16.0</v>
      </c>
      <c r="AK989" s="1">
        <v>159.0</v>
      </c>
      <c r="AL989" s="1" t="s">
        <v>192</v>
      </c>
      <c r="AM989" s="1" t="s">
        <v>193</v>
      </c>
      <c r="AN989" s="1" t="s">
        <v>194</v>
      </c>
      <c r="AO989" s="1" t="s">
        <v>4544</v>
      </c>
      <c r="AP989" s="1" t="s">
        <v>74</v>
      </c>
      <c r="AQ989" s="1" t="s">
        <v>74</v>
      </c>
      <c r="AR989" s="1" t="s">
        <v>4545</v>
      </c>
      <c r="AS989" s="1" t="s">
        <v>4546</v>
      </c>
      <c r="AT989" s="1" t="s">
        <v>19617</v>
      </c>
      <c r="AU989" s="1">
        <v>2021.0</v>
      </c>
      <c r="AV989" s="1">
        <v>18.0</v>
      </c>
      <c r="AW989" s="1">
        <v>1.0</v>
      </c>
      <c r="AX989" s="1" t="s">
        <v>74</v>
      </c>
      <c r="AY989" s="1" t="s">
        <v>74</v>
      </c>
      <c r="AZ989" s="1" t="s">
        <v>74</v>
      </c>
      <c r="BA989" s="1" t="s">
        <v>74</v>
      </c>
      <c r="BB989" s="1" t="s">
        <v>74</v>
      </c>
      <c r="BC989" s="1" t="s">
        <v>74</v>
      </c>
      <c r="BD989" s="1">
        <v>3.0</v>
      </c>
      <c r="BE989" s="1" t="s">
        <v>19618</v>
      </c>
      <c r="BF989" s="2" t="str">
        <f>HYPERLINK("http://dx.doi.org/10.1186/s41239-020-00237-8","http://dx.doi.org/10.1186/s41239-020-00237-8")</f>
        <v>http://dx.doi.org/10.1186/s41239-020-00237-8</v>
      </c>
      <c r="BG989" s="1" t="s">
        <v>74</v>
      </c>
      <c r="BH989" s="1" t="s">
        <v>74</v>
      </c>
      <c r="BI989" s="1">
        <v>19.0</v>
      </c>
      <c r="BJ989" s="1" t="s">
        <v>171</v>
      </c>
      <c r="BK989" s="1" t="s">
        <v>203</v>
      </c>
      <c r="BL989" s="1" t="s">
        <v>171</v>
      </c>
      <c r="BM989" s="1" t="s">
        <v>19619</v>
      </c>
      <c r="BN989" s="1" t="s">
        <v>74</v>
      </c>
      <c r="BO989" s="1" t="s">
        <v>2204</v>
      </c>
      <c r="BP989" s="1" t="s">
        <v>74</v>
      </c>
      <c r="BQ989" s="1" t="s">
        <v>74</v>
      </c>
      <c r="BR989" s="1" t="s">
        <v>102</v>
      </c>
      <c r="BS989" s="1" t="s">
        <v>19620</v>
      </c>
      <c r="BT989" s="1" t="str">
        <f>HYPERLINK("https%3A%2F%2Fwww.webofscience.com%2Fwos%2Fwoscc%2Ffull-record%2FWOS:000608397400001","View Full Record in Web of Science")</f>
        <v>View Full Record in Web of Science</v>
      </c>
    </row>
    <row r="990" ht="12.75" customHeight="1">
      <c r="A990" s="1" t="s">
        <v>132</v>
      </c>
      <c r="B990" s="1" t="s">
        <v>19621</v>
      </c>
      <c r="C990" s="1" t="s">
        <v>74</v>
      </c>
      <c r="D990" s="1" t="s">
        <v>74</v>
      </c>
      <c r="E990" s="1" t="s">
        <v>74</v>
      </c>
      <c r="F990" s="1" t="s">
        <v>19622</v>
      </c>
      <c r="G990" s="1" t="s">
        <v>74</v>
      </c>
      <c r="H990" s="1" t="s">
        <v>74</v>
      </c>
      <c r="I990" s="1" t="s">
        <v>19623</v>
      </c>
      <c r="J990" s="1" t="s">
        <v>19624</v>
      </c>
      <c r="K990" s="1" t="s">
        <v>74</v>
      </c>
      <c r="L990" s="1" t="s">
        <v>74</v>
      </c>
      <c r="M990" s="1" t="s">
        <v>80</v>
      </c>
      <c r="N990" s="1" t="s">
        <v>1010</v>
      </c>
      <c r="O990" s="1" t="s">
        <v>74</v>
      </c>
      <c r="P990" s="1" t="s">
        <v>74</v>
      </c>
      <c r="Q990" s="1" t="s">
        <v>74</v>
      </c>
      <c r="R990" s="1" t="s">
        <v>74</v>
      </c>
      <c r="S990" s="1" t="s">
        <v>74</v>
      </c>
      <c r="T990" s="1" t="s">
        <v>19625</v>
      </c>
      <c r="U990" s="1" t="s">
        <v>19626</v>
      </c>
      <c r="V990" s="1" t="s">
        <v>19627</v>
      </c>
      <c r="W990" s="1" t="s">
        <v>19628</v>
      </c>
      <c r="X990" s="1" t="s">
        <v>19629</v>
      </c>
      <c r="Y990" s="1" t="s">
        <v>19630</v>
      </c>
      <c r="Z990" s="1" t="s">
        <v>19631</v>
      </c>
      <c r="AA990" s="1" t="s">
        <v>74</v>
      </c>
      <c r="AB990" s="1" t="s">
        <v>74</v>
      </c>
      <c r="AC990" s="1" t="s">
        <v>19632</v>
      </c>
      <c r="AD990" s="1" t="s">
        <v>19633</v>
      </c>
      <c r="AE990" s="1" t="s">
        <v>19634</v>
      </c>
      <c r="AF990" s="1" t="s">
        <v>74</v>
      </c>
      <c r="AG990" s="1">
        <v>64.0</v>
      </c>
      <c r="AH990" s="1">
        <v>19.0</v>
      </c>
      <c r="AI990" s="1">
        <v>19.0</v>
      </c>
      <c r="AJ990" s="1">
        <v>23.0</v>
      </c>
      <c r="AK990" s="1">
        <v>114.0</v>
      </c>
      <c r="AL990" s="1" t="s">
        <v>275</v>
      </c>
      <c r="AM990" s="1" t="s">
        <v>276</v>
      </c>
      <c r="AN990" s="1" t="s">
        <v>277</v>
      </c>
      <c r="AO990" s="1" t="s">
        <v>19635</v>
      </c>
      <c r="AP990" s="1" t="s">
        <v>74</v>
      </c>
      <c r="AQ990" s="1" t="s">
        <v>74</v>
      </c>
      <c r="AR990" s="1" t="s">
        <v>19636</v>
      </c>
      <c r="AS990" s="1" t="s">
        <v>19637</v>
      </c>
      <c r="AT990" s="1" t="s">
        <v>19638</v>
      </c>
      <c r="AU990" s="1">
        <v>2022.0</v>
      </c>
      <c r="AV990" s="1">
        <v>13.0</v>
      </c>
      <c r="AW990" s="1" t="s">
        <v>74</v>
      </c>
      <c r="AX990" s="1" t="s">
        <v>74</v>
      </c>
      <c r="AY990" s="1" t="s">
        <v>74</v>
      </c>
      <c r="AZ990" s="1" t="s">
        <v>74</v>
      </c>
      <c r="BA990" s="1" t="s">
        <v>74</v>
      </c>
      <c r="BB990" s="1" t="s">
        <v>74</v>
      </c>
      <c r="BC990" s="1" t="s">
        <v>74</v>
      </c>
      <c r="BD990" s="1">
        <v>811665.0</v>
      </c>
      <c r="BE990" s="1" t="s">
        <v>19639</v>
      </c>
      <c r="BF990" s="2" t="str">
        <f>HYPERLINK("http://dx.doi.org/10.3389/fpsyt.2022.811665","http://dx.doi.org/10.3389/fpsyt.2022.811665")</f>
        <v>http://dx.doi.org/10.3389/fpsyt.2022.811665</v>
      </c>
      <c r="BG990" s="1" t="s">
        <v>74</v>
      </c>
      <c r="BH990" s="1" t="s">
        <v>74</v>
      </c>
      <c r="BI990" s="1">
        <v>7.0</v>
      </c>
      <c r="BJ990" s="1" t="s">
        <v>15309</v>
      </c>
      <c r="BK990" s="1" t="s">
        <v>783</v>
      </c>
      <c r="BL990" s="1" t="s">
        <v>15309</v>
      </c>
      <c r="BM990" s="1" t="s">
        <v>19640</v>
      </c>
      <c r="BN990" s="1">
        <v>3.5370846E7</v>
      </c>
      <c r="BO990" s="1" t="s">
        <v>284</v>
      </c>
      <c r="BP990" s="1" t="s">
        <v>74</v>
      </c>
      <c r="BQ990" s="1" t="s">
        <v>74</v>
      </c>
      <c r="BR990" s="1" t="s">
        <v>102</v>
      </c>
      <c r="BS990" s="1" t="s">
        <v>19641</v>
      </c>
      <c r="BT990" s="1" t="str">
        <f>HYPERLINK("https%3A%2F%2Fwww.webofscience.com%2Fwos%2Fwoscc%2Ffull-record%2FWOS:000777776800001","View Full Record in Web of Science")</f>
        <v>View Full Record in Web of Science</v>
      </c>
    </row>
    <row r="991" ht="12.75" customHeight="1">
      <c r="A991" s="1" t="s">
        <v>132</v>
      </c>
      <c r="B991" s="1" t="s">
        <v>6457</v>
      </c>
      <c r="C991" s="1" t="s">
        <v>74</v>
      </c>
      <c r="D991" s="1" t="s">
        <v>74</v>
      </c>
      <c r="E991" s="1" t="s">
        <v>74</v>
      </c>
      <c r="F991" s="1" t="s">
        <v>6458</v>
      </c>
      <c r="G991" s="1" t="s">
        <v>74</v>
      </c>
      <c r="H991" s="1" t="s">
        <v>74</v>
      </c>
      <c r="I991" s="1" t="s">
        <v>19642</v>
      </c>
      <c r="J991" s="1" t="s">
        <v>19643</v>
      </c>
      <c r="K991" s="1" t="s">
        <v>74</v>
      </c>
      <c r="L991" s="1" t="s">
        <v>74</v>
      </c>
      <c r="M991" s="1" t="s">
        <v>80</v>
      </c>
      <c r="N991" s="1" t="s">
        <v>136</v>
      </c>
      <c r="O991" s="1" t="s">
        <v>74</v>
      </c>
      <c r="P991" s="1" t="s">
        <v>74</v>
      </c>
      <c r="Q991" s="1" t="s">
        <v>74</v>
      </c>
      <c r="R991" s="1" t="s">
        <v>74</v>
      </c>
      <c r="S991" s="1" t="s">
        <v>74</v>
      </c>
      <c r="T991" s="1" t="s">
        <v>19644</v>
      </c>
      <c r="U991" s="1" t="s">
        <v>74</v>
      </c>
      <c r="V991" s="1" t="s">
        <v>19645</v>
      </c>
      <c r="W991" s="1" t="s">
        <v>19646</v>
      </c>
      <c r="X991" s="1" t="s">
        <v>19647</v>
      </c>
      <c r="Y991" s="1" t="s">
        <v>19648</v>
      </c>
      <c r="Z991" s="1" t="s">
        <v>6467</v>
      </c>
      <c r="AA991" s="1" t="s">
        <v>6468</v>
      </c>
      <c r="AB991" s="1" t="s">
        <v>6469</v>
      </c>
      <c r="AC991" s="1" t="s">
        <v>19649</v>
      </c>
      <c r="AD991" s="1" t="s">
        <v>19650</v>
      </c>
      <c r="AE991" s="1" t="s">
        <v>19651</v>
      </c>
      <c r="AF991" s="1" t="s">
        <v>74</v>
      </c>
      <c r="AG991" s="1">
        <v>45.0</v>
      </c>
      <c r="AH991" s="1">
        <v>34.0</v>
      </c>
      <c r="AI991" s="1">
        <v>35.0</v>
      </c>
      <c r="AJ991" s="1">
        <v>5.0</v>
      </c>
      <c r="AK991" s="1">
        <v>15.0</v>
      </c>
      <c r="AL991" s="1" t="s">
        <v>275</v>
      </c>
      <c r="AM991" s="1" t="s">
        <v>276</v>
      </c>
      <c r="AN991" s="1" t="s">
        <v>277</v>
      </c>
      <c r="AO991" s="1" t="s">
        <v>74</v>
      </c>
      <c r="AP991" s="1" t="s">
        <v>19652</v>
      </c>
      <c r="AQ991" s="1" t="s">
        <v>74</v>
      </c>
      <c r="AR991" s="1" t="s">
        <v>19653</v>
      </c>
      <c r="AS991" s="1" t="s">
        <v>19654</v>
      </c>
      <c r="AT991" s="1" t="s">
        <v>19655</v>
      </c>
      <c r="AU991" s="1">
        <v>2021.0</v>
      </c>
      <c r="AV991" s="1">
        <v>3.0</v>
      </c>
      <c r="AW991" s="1" t="s">
        <v>74</v>
      </c>
      <c r="AX991" s="1" t="s">
        <v>74</v>
      </c>
      <c r="AY991" s="1" t="s">
        <v>74</v>
      </c>
      <c r="AZ991" s="1" t="s">
        <v>74</v>
      </c>
      <c r="BA991" s="1" t="s">
        <v>74</v>
      </c>
      <c r="BB991" s="1" t="s">
        <v>74</v>
      </c>
      <c r="BC991" s="1" t="s">
        <v>74</v>
      </c>
      <c r="BD991" s="1">
        <v>594971.0</v>
      </c>
      <c r="BE991" s="1" t="s">
        <v>19656</v>
      </c>
      <c r="BF991" s="2" t="str">
        <f>HYPERLINK("http://dx.doi.org/10.3389/fdgth.2021.594971","http://dx.doi.org/10.3389/fdgth.2021.594971")</f>
        <v>http://dx.doi.org/10.3389/fdgth.2021.594971</v>
      </c>
      <c r="BG991" s="1" t="s">
        <v>74</v>
      </c>
      <c r="BH991" s="1" t="s">
        <v>74</v>
      </c>
      <c r="BI991" s="1">
        <v>11.0</v>
      </c>
      <c r="BJ991" s="1" t="s">
        <v>3025</v>
      </c>
      <c r="BK991" s="1" t="s">
        <v>172</v>
      </c>
      <c r="BL991" s="1" t="s">
        <v>3025</v>
      </c>
      <c r="BM991" s="1" t="s">
        <v>19657</v>
      </c>
      <c r="BN991" s="1">
        <v>3.4713083E7</v>
      </c>
      <c r="BO991" s="1" t="s">
        <v>1161</v>
      </c>
      <c r="BP991" s="1" t="s">
        <v>74</v>
      </c>
      <c r="BQ991" s="1" t="s">
        <v>74</v>
      </c>
      <c r="BR991" s="1" t="s">
        <v>102</v>
      </c>
      <c r="BS991" s="1" t="s">
        <v>19658</v>
      </c>
      <c r="BT991" s="1" t="str">
        <f>HYPERLINK("https%3A%2F%2Fwww.webofscience.com%2Fwos%2Fwoscc%2Ffull-record%2FWOS:001034367600001","View Full Record in Web of Science")</f>
        <v>View Full Record in Web of Science</v>
      </c>
    </row>
    <row r="992" ht="12.75" customHeight="1">
      <c r="A992" s="1" t="s">
        <v>132</v>
      </c>
      <c r="B992" s="1" t="s">
        <v>19659</v>
      </c>
      <c r="C992" s="1" t="s">
        <v>74</v>
      </c>
      <c r="D992" s="1" t="s">
        <v>74</v>
      </c>
      <c r="E992" s="1" t="s">
        <v>74</v>
      </c>
      <c r="F992" s="1" t="s">
        <v>19660</v>
      </c>
      <c r="G992" s="1" t="s">
        <v>74</v>
      </c>
      <c r="H992" s="1" t="s">
        <v>74</v>
      </c>
      <c r="I992" s="1" t="s">
        <v>19661</v>
      </c>
      <c r="J992" s="1" t="s">
        <v>19662</v>
      </c>
      <c r="K992" s="1" t="s">
        <v>74</v>
      </c>
      <c r="L992" s="1" t="s">
        <v>74</v>
      </c>
      <c r="M992" s="1" t="s">
        <v>80</v>
      </c>
      <c r="N992" s="1" t="s">
        <v>136</v>
      </c>
      <c r="O992" s="1" t="s">
        <v>74</v>
      </c>
      <c r="P992" s="1" t="s">
        <v>74</v>
      </c>
      <c r="Q992" s="1" t="s">
        <v>74</v>
      </c>
      <c r="R992" s="1" t="s">
        <v>74</v>
      </c>
      <c r="S992" s="1" t="s">
        <v>74</v>
      </c>
      <c r="T992" s="1" t="s">
        <v>19663</v>
      </c>
      <c r="U992" s="1" t="s">
        <v>8025</v>
      </c>
      <c r="V992" s="1" t="s">
        <v>19664</v>
      </c>
      <c r="W992" s="1" t="s">
        <v>19665</v>
      </c>
      <c r="X992" s="1" t="s">
        <v>19666</v>
      </c>
      <c r="Y992" s="1" t="s">
        <v>19667</v>
      </c>
      <c r="Z992" s="1" t="s">
        <v>19668</v>
      </c>
      <c r="AA992" s="1" t="s">
        <v>19669</v>
      </c>
      <c r="AB992" s="1" t="s">
        <v>74</v>
      </c>
      <c r="AC992" s="1" t="s">
        <v>74</v>
      </c>
      <c r="AD992" s="1" t="s">
        <v>74</v>
      </c>
      <c r="AE992" s="1" t="s">
        <v>74</v>
      </c>
      <c r="AF992" s="1" t="s">
        <v>74</v>
      </c>
      <c r="AG992" s="1">
        <v>43.0</v>
      </c>
      <c r="AH992" s="1">
        <v>0.0</v>
      </c>
      <c r="AI992" s="1">
        <v>0.0</v>
      </c>
      <c r="AJ992" s="1">
        <v>2.0</v>
      </c>
      <c r="AK992" s="1">
        <v>2.0</v>
      </c>
      <c r="AL992" s="1" t="s">
        <v>19670</v>
      </c>
      <c r="AM992" s="1" t="s">
        <v>19671</v>
      </c>
      <c r="AN992" s="1" t="s">
        <v>19672</v>
      </c>
      <c r="AO992" s="1" t="s">
        <v>74</v>
      </c>
      <c r="AP992" s="1" t="s">
        <v>19673</v>
      </c>
      <c r="AQ992" s="1" t="s">
        <v>74</v>
      </c>
      <c r="AR992" s="1" t="s">
        <v>19674</v>
      </c>
      <c r="AS992" s="1" t="s">
        <v>19675</v>
      </c>
      <c r="AT992" s="1" t="s">
        <v>1051</v>
      </c>
      <c r="AU992" s="1">
        <v>2023.0</v>
      </c>
      <c r="AV992" s="1">
        <v>3.0</v>
      </c>
      <c r="AW992" s="1">
        <v>4.0</v>
      </c>
      <c r="AX992" s="1" t="s">
        <v>74</v>
      </c>
      <c r="AY992" s="1" t="s">
        <v>74</v>
      </c>
      <c r="AZ992" s="1" t="s">
        <v>74</v>
      </c>
      <c r="BA992" s="1" t="s">
        <v>74</v>
      </c>
      <c r="BB992" s="1">
        <v>1720.0</v>
      </c>
      <c r="BC992" s="1">
        <v>1727.0</v>
      </c>
      <c r="BD992" s="1" t="s">
        <v>74</v>
      </c>
      <c r="BE992" s="1" t="s">
        <v>74</v>
      </c>
      <c r="BF992" s="1" t="s">
        <v>74</v>
      </c>
      <c r="BG992" s="1" t="s">
        <v>74</v>
      </c>
      <c r="BH992" s="1" t="s">
        <v>74</v>
      </c>
      <c r="BI992" s="1">
        <v>8.0</v>
      </c>
      <c r="BJ992" s="1" t="s">
        <v>1214</v>
      </c>
      <c r="BK992" s="1" t="s">
        <v>172</v>
      </c>
      <c r="BL992" s="1" t="s">
        <v>232</v>
      </c>
      <c r="BM992" s="1" t="s">
        <v>19676</v>
      </c>
      <c r="BN992" s="1" t="s">
        <v>74</v>
      </c>
      <c r="BO992" s="1" t="s">
        <v>74</v>
      </c>
      <c r="BP992" s="1" t="s">
        <v>74</v>
      </c>
      <c r="BQ992" s="1" t="s">
        <v>74</v>
      </c>
      <c r="BR992" s="1" t="s">
        <v>102</v>
      </c>
      <c r="BS992" s="1" t="s">
        <v>19677</v>
      </c>
      <c r="BT992" s="1" t="str">
        <f>HYPERLINK("https%3A%2F%2Fwww.webofscience.com%2Fwos%2Fwoscc%2Ffull-record%2FWOS:001327698000004","View Full Record in Web of Science")</f>
        <v>View Full Record in Web of Science</v>
      </c>
    </row>
    <row r="993" ht="12.75" customHeight="1">
      <c r="A993" s="1" t="s">
        <v>72</v>
      </c>
      <c r="B993" s="1" t="s">
        <v>19678</v>
      </c>
      <c r="C993" s="1" t="s">
        <v>74</v>
      </c>
      <c r="D993" s="1" t="s">
        <v>19679</v>
      </c>
      <c r="E993" s="1" t="s">
        <v>74</v>
      </c>
      <c r="F993" s="1" t="s">
        <v>19680</v>
      </c>
      <c r="G993" s="1" t="s">
        <v>74</v>
      </c>
      <c r="H993" s="1" t="s">
        <v>74</v>
      </c>
      <c r="I993" s="1" t="s">
        <v>19681</v>
      </c>
      <c r="J993" s="1" t="s">
        <v>19682</v>
      </c>
      <c r="K993" s="1" t="s">
        <v>212</v>
      </c>
      <c r="L993" s="1" t="s">
        <v>74</v>
      </c>
      <c r="M993" s="1" t="s">
        <v>80</v>
      </c>
      <c r="N993" s="1" t="s">
        <v>81</v>
      </c>
      <c r="O993" s="1" t="s">
        <v>19683</v>
      </c>
      <c r="P993" s="1" t="s">
        <v>19684</v>
      </c>
      <c r="Q993" s="1" t="s">
        <v>19685</v>
      </c>
      <c r="R993" s="1" t="s">
        <v>19686</v>
      </c>
      <c r="S993" s="1" t="s">
        <v>19687</v>
      </c>
      <c r="T993" s="1" t="s">
        <v>19688</v>
      </c>
      <c r="U993" s="1" t="s">
        <v>19689</v>
      </c>
      <c r="V993" s="1" t="s">
        <v>19690</v>
      </c>
      <c r="W993" s="1" t="s">
        <v>19691</v>
      </c>
      <c r="X993" s="1" t="s">
        <v>74</v>
      </c>
      <c r="Y993" s="1" t="s">
        <v>19692</v>
      </c>
      <c r="Z993" s="1" t="s">
        <v>19693</v>
      </c>
      <c r="AA993" s="1" t="s">
        <v>19694</v>
      </c>
      <c r="AB993" s="1" t="s">
        <v>19695</v>
      </c>
      <c r="AC993" s="1" t="s">
        <v>74</v>
      </c>
      <c r="AD993" s="1" t="s">
        <v>74</v>
      </c>
      <c r="AE993" s="1" t="s">
        <v>74</v>
      </c>
      <c r="AF993" s="1" t="s">
        <v>74</v>
      </c>
      <c r="AG993" s="1">
        <v>145.0</v>
      </c>
      <c r="AH993" s="1">
        <v>19.0</v>
      </c>
      <c r="AI993" s="1">
        <v>23.0</v>
      </c>
      <c r="AJ993" s="1">
        <v>15.0</v>
      </c>
      <c r="AK993" s="1">
        <v>52.0</v>
      </c>
      <c r="AL993" s="1" t="s">
        <v>223</v>
      </c>
      <c r="AM993" s="1" t="s">
        <v>224</v>
      </c>
      <c r="AN993" s="1" t="s">
        <v>225</v>
      </c>
      <c r="AO993" s="1" t="s">
        <v>226</v>
      </c>
      <c r="AP993" s="1" t="s">
        <v>227</v>
      </c>
      <c r="AQ993" s="1" t="s">
        <v>19696</v>
      </c>
      <c r="AR993" s="1" t="s">
        <v>4988</v>
      </c>
      <c r="AS993" s="1" t="s">
        <v>74</v>
      </c>
      <c r="AT993" s="1" t="s">
        <v>74</v>
      </c>
      <c r="AU993" s="1">
        <v>2020.0</v>
      </c>
      <c r="AV993" s="1">
        <v>1068.0</v>
      </c>
      <c r="AW993" s="1" t="s">
        <v>74</v>
      </c>
      <c r="AX993" s="1" t="s">
        <v>74</v>
      </c>
      <c r="AY993" s="1" t="s">
        <v>74</v>
      </c>
      <c r="AZ993" s="1" t="s">
        <v>74</v>
      </c>
      <c r="BA993" s="1" t="s">
        <v>74</v>
      </c>
      <c r="BB993" s="1">
        <v>1.0</v>
      </c>
      <c r="BC993" s="1">
        <v>21.0</v>
      </c>
      <c r="BD993" s="1" t="s">
        <v>74</v>
      </c>
      <c r="BE993" s="1" t="s">
        <v>19697</v>
      </c>
      <c r="BF993" s="2" t="str">
        <f>HYPERLINK("http://dx.doi.org/10.1007/978-3-030-31787-4_1","http://dx.doi.org/10.1007/978-3-030-31787-4_1")</f>
        <v>http://dx.doi.org/10.1007/978-3-030-31787-4_1</v>
      </c>
      <c r="BG993" s="1" t="s">
        <v>74</v>
      </c>
      <c r="BH993" s="1" t="s">
        <v>74</v>
      </c>
      <c r="BI993" s="1">
        <v>21.0</v>
      </c>
      <c r="BJ993" s="1" t="s">
        <v>6199</v>
      </c>
      <c r="BK993" s="1" t="s">
        <v>128</v>
      </c>
      <c r="BL993" s="1" t="s">
        <v>232</v>
      </c>
      <c r="BM993" s="1" t="s">
        <v>19698</v>
      </c>
      <c r="BN993" s="1" t="s">
        <v>74</v>
      </c>
      <c r="BO993" s="1" t="s">
        <v>74</v>
      </c>
      <c r="BP993" s="1" t="s">
        <v>74</v>
      </c>
      <c r="BQ993" s="1" t="s">
        <v>74</v>
      </c>
      <c r="BR993" s="1" t="s">
        <v>102</v>
      </c>
      <c r="BS993" s="1" t="s">
        <v>19699</v>
      </c>
      <c r="BT993" s="1" t="str">
        <f>HYPERLINK("https%3A%2F%2Fwww.webofscience.com%2Fwos%2Fwoscc%2Ffull-record%2FWOS:000648625900001","View Full Record in Web of Science")</f>
        <v>View Full Record in Web of Science</v>
      </c>
    </row>
    <row r="994" ht="12.75" customHeight="1">
      <c r="A994" s="1" t="s">
        <v>132</v>
      </c>
      <c r="B994" s="1" t="s">
        <v>19700</v>
      </c>
      <c r="C994" s="1" t="s">
        <v>74</v>
      </c>
      <c r="D994" s="1" t="s">
        <v>74</v>
      </c>
      <c r="E994" s="1" t="s">
        <v>74</v>
      </c>
      <c r="F994" s="1" t="s">
        <v>19701</v>
      </c>
      <c r="G994" s="1" t="s">
        <v>74</v>
      </c>
      <c r="H994" s="1" t="s">
        <v>74</v>
      </c>
      <c r="I994" s="1" t="s">
        <v>19702</v>
      </c>
      <c r="J994" s="1" t="s">
        <v>19703</v>
      </c>
      <c r="K994" s="1" t="s">
        <v>74</v>
      </c>
      <c r="L994" s="1" t="s">
        <v>74</v>
      </c>
      <c r="M994" s="1" t="s">
        <v>80</v>
      </c>
      <c r="N994" s="1" t="s">
        <v>136</v>
      </c>
      <c r="O994" s="1" t="s">
        <v>74</v>
      </c>
      <c r="P994" s="1" t="s">
        <v>74</v>
      </c>
      <c r="Q994" s="1" t="s">
        <v>74</v>
      </c>
      <c r="R994" s="1" t="s">
        <v>74</v>
      </c>
      <c r="S994" s="1" t="s">
        <v>74</v>
      </c>
      <c r="T994" s="1" t="s">
        <v>19704</v>
      </c>
      <c r="U994" s="1" t="s">
        <v>19705</v>
      </c>
      <c r="V994" s="1" t="s">
        <v>19706</v>
      </c>
      <c r="W994" s="1" t="s">
        <v>19707</v>
      </c>
      <c r="X994" s="1" t="s">
        <v>19708</v>
      </c>
      <c r="Y994" s="1" t="s">
        <v>19709</v>
      </c>
      <c r="Z994" s="1" t="s">
        <v>19710</v>
      </c>
      <c r="AA994" s="1" t="s">
        <v>19711</v>
      </c>
      <c r="AB994" s="1" t="s">
        <v>19712</v>
      </c>
      <c r="AC994" s="1" t="s">
        <v>19713</v>
      </c>
      <c r="AD994" s="1" t="s">
        <v>19714</v>
      </c>
      <c r="AE994" s="1" t="s">
        <v>19715</v>
      </c>
      <c r="AF994" s="1" t="s">
        <v>74</v>
      </c>
      <c r="AG994" s="1">
        <v>87.0</v>
      </c>
      <c r="AH994" s="1">
        <v>27.0</v>
      </c>
      <c r="AI994" s="1">
        <v>28.0</v>
      </c>
      <c r="AJ994" s="1">
        <v>40.0</v>
      </c>
      <c r="AK994" s="1">
        <v>114.0</v>
      </c>
      <c r="AL994" s="1" t="s">
        <v>3800</v>
      </c>
      <c r="AM994" s="1" t="s">
        <v>349</v>
      </c>
      <c r="AN994" s="1" t="s">
        <v>3801</v>
      </c>
      <c r="AO994" s="1" t="s">
        <v>19716</v>
      </c>
      <c r="AP994" s="1" t="s">
        <v>74</v>
      </c>
      <c r="AQ994" s="1" t="s">
        <v>74</v>
      </c>
      <c r="AR994" s="1" t="s">
        <v>19717</v>
      </c>
      <c r="AS994" s="1" t="s">
        <v>19718</v>
      </c>
      <c r="AT994" s="1" t="s">
        <v>870</v>
      </c>
      <c r="AU994" s="1">
        <v>2023.0</v>
      </c>
      <c r="AV994" s="1">
        <v>12.0</v>
      </c>
      <c r="AW994" s="1">
        <v>1.0</v>
      </c>
      <c r="AX994" s="1" t="s">
        <v>74</v>
      </c>
      <c r="AY994" s="1" t="s">
        <v>74</v>
      </c>
      <c r="AZ994" s="1" t="s">
        <v>74</v>
      </c>
      <c r="BA994" s="1" t="s">
        <v>74</v>
      </c>
      <c r="BB994" s="1">
        <v>171.0</v>
      </c>
      <c r="BC994" s="1">
        <v>197.0</v>
      </c>
      <c r="BD994" s="1" t="s">
        <v>74</v>
      </c>
      <c r="BE994" s="1" t="s">
        <v>19719</v>
      </c>
      <c r="BF994" s="2" t="str">
        <f>HYPERLINK("http://dx.doi.org/10.7821/naer.2023.1.1240","http://dx.doi.org/10.7821/naer.2023.1.1240")</f>
        <v>http://dx.doi.org/10.7821/naer.2023.1.1240</v>
      </c>
      <c r="BG994" s="1" t="s">
        <v>74</v>
      </c>
      <c r="BH994" s="1" t="s">
        <v>74</v>
      </c>
      <c r="BI994" s="1">
        <v>27.0</v>
      </c>
      <c r="BJ994" s="1" t="s">
        <v>171</v>
      </c>
      <c r="BK994" s="1" t="s">
        <v>172</v>
      </c>
      <c r="BL994" s="1" t="s">
        <v>171</v>
      </c>
      <c r="BM994" s="1" t="s">
        <v>19720</v>
      </c>
      <c r="BN994" s="1" t="s">
        <v>74</v>
      </c>
      <c r="BO994" s="1" t="s">
        <v>174</v>
      </c>
      <c r="BP994" s="1" t="s">
        <v>74</v>
      </c>
      <c r="BQ994" s="1" t="s">
        <v>74</v>
      </c>
      <c r="BR994" s="1" t="s">
        <v>102</v>
      </c>
      <c r="BS994" s="1" t="s">
        <v>19721</v>
      </c>
      <c r="BT994" s="1" t="str">
        <f>HYPERLINK("https%3A%2F%2Fwww.webofscience.com%2Fwos%2Fwoscc%2Ffull-record%2FWOS:000917980700010","View Full Record in Web of Science")</f>
        <v>View Full Record in Web of Science</v>
      </c>
    </row>
    <row r="995" ht="12.75" customHeight="1">
      <c r="A995" s="1" t="s">
        <v>132</v>
      </c>
      <c r="B995" s="1" t="s">
        <v>19722</v>
      </c>
      <c r="C995" s="1" t="s">
        <v>74</v>
      </c>
      <c r="D995" s="1" t="s">
        <v>74</v>
      </c>
      <c r="E995" s="1" t="s">
        <v>74</v>
      </c>
      <c r="F995" s="1" t="s">
        <v>19723</v>
      </c>
      <c r="G995" s="1" t="s">
        <v>74</v>
      </c>
      <c r="H995" s="1" t="s">
        <v>74</v>
      </c>
      <c r="I995" s="1" t="s">
        <v>19724</v>
      </c>
      <c r="J995" s="1" t="s">
        <v>4294</v>
      </c>
      <c r="K995" s="1" t="s">
        <v>74</v>
      </c>
      <c r="L995" s="1" t="s">
        <v>74</v>
      </c>
      <c r="M995" s="1" t="s">
        <v>80</v>
      </c>
      <c r="N995" s="1" t="s">
        <v>136</v>
      </c>
      <c r="O995" s="1" t="s">
        <v>74</v>
      </c>
      <c r="P995" s="1" t="s">
        <v>74</v>
      </c>
      <c r="Q995" s="1" t="s">
        <v>74</v>
      </c>
      <c r="R995" s="1" t="s">
        <v>74</v>
      </c>
      <c r="S995" s="1" t="s">
        <v>74</v>
      </c>
      <c r="T995" s="1" t="s">
        <v>19725</v>
      </c>
      <c r="U995" s="1" t="s">
        <v>19726</v>
      </c>
      <c r="V995" s="1" t="s">
        <v>19727</v>
      </c>
      <c r="W995" s="1" t="s">
        <v>19728</v>
      </c>
      <c r="X995" s="1" t="s">
        <v>19729</v>
      </c>
      <c r="Y995" s="1" t="s">
        <v>19730</v>
      </c>
      <c r="Z995" s="1" t="s">
        <v>19731</v>
      </c>
      <c r="AA995" s="1" t="s">
        <v>74</v>
      </c>
      <c r="AB995" s="1" t="s">
        <v>74</v>
      </c>
      <c r="AC995" s="1" t="s">
        <v>19732</v>
      </c>
      <c r="AD995" s="1" t="s">
        <v>19733</v>
      </c>
      <c r="AE995" s="1" t="s">
        <v>19734</v>
      </c>
      <c r="AF995" s="1" t="s">
        <v>74</v>
      </c>
      <c r="AG995" s="1">
        <v>54.0</v>
      </c>
      <c r="AH995" s="1">
        <v>25.0</v>
      </c>
      <c r="AI995" s="1">
        <v>25.0</v>
      </c>
      <c r="AJ995" s="1">
        <v>4.0</v>
      </c>
      <c r="AK995" s="1">
        <v>28.0</v>
      </c>
      <c r="AL995" s="1" t="s">
        <v>192</v>
      </c>
      <c r="AM995" s="1" t="s">
        <v>193</v>
      </c>
      <c r="AN995" s="1" t="s">
        <v>194</v>
      </c>
      <c r="AO995" s="1" t="s">
        <v>4302</v>
      </c>
      <c r="AP995" s="1" t="s">
        <v>4303</v>
      </c>
      <c r="AQ995" s="1" t="s">
        <v>74</v>
      </c>
      <c r="AR995" s="1" t="s">
        <v>4304</v>
      </c>
      <c r="AS995" s="1" t="s">
        <v>4305</v>
      </c>
      <c r="AT995" s="1" t="s">
        <v>2469</v>
      </c>
      <c r="AU995" s="1">
        <v>2019.0</v>
      </c>
      <c r="AV995" s="1">
        <v>49.0</v>
      </c>
      <c r="AW995" s="1">
        <v>11.0</v>
      </c>
      <c r="AX995" s="1" t="s">
        <v>74</v>
      </c>
      <c r="AY995" s="1" t="s">
        <v>74</v>
      </c>
      <c r="AZ995" s="1" t="s">
        <v>474</v>
      </c>
      <c r="BA995" s="1" t="s">
        <v>74</v>
      </c>
      <c r="BB995" s="1">
        <v>1384.0</v>
      </c>
      <c r="BC995" s="1">
        <v>1390.0</v>
      </c>
      <c r="BD995" s="1" t="s">
        <v>74</v>
      </c>
      <c r="BE995" s="1" t="s">
        <v>19735</v>
      </c>
      <c r="BF995" s="2" t="str">
        <f>HYPERLINK("http://dx.doi.org/10.1007/s00247-019-04360-1","http://dx.doi.org/10.1007/s00247-019-04360-1")</f>
        <v>http://dx.doi.org/10.1007/s00247-019-04360-1</v>
      </c>
      <c r="BG995" s="1" t="s">
        <v>74</v>
      </c>
      <c r="BH995" s="1" t="s">
        <v>74</v>
      </c>
      <c r="BI995" s="1">
        <v>7.0</v>
      </c>
      <c r="BJ995" s="1" t="s">
        <v>4308</v>
      </c>
      <c r="BK995" s="1" t="s">
        <v>149</v>
      </c>
      <c r="BL995" s="1" t="s">
        <v>4308</v>
      </c>
      <c r="BM995" s="1" t="s">
        <v>19736</v>
      </c>
      <c r="BN995" s="1">
        <v>3.162084E7</v>
      </c>
      <c r="BO995" s="1" t="s">
        <v>4126</v>
      </c>
      <c r="BP995" s="1" t="s">
        <v>74</v>
      </c>
      <c r="BQ995" s="1" t="s">
        <v>74</v>
      </c>
      <c r="BR995" s="1" t="s">
        <v>102</v>
      </c>
      <c r="BS995" s="1" t="s">
        <v>19737</v>
      </c>
      <c r="BT995" s="1" t="str">
        <f>HYPERLINK("https%3A%2F%2Fwww.webofscience.com%2Fwos%2Fwoscc%2Ffull-record%2FWOS:000490619100003","View Full Record in Web of Science")</f>
        <v>View Full Record in Web of Science</v>
      </c>
    </row>
    <row r="996" ht="12.75" customHeight="1">
      <c r="A996" s="1" t="s">
        <v>72</v>
      </c>
      <c r="B996" s="1" t="s">
        <v>19738</v>
      </c>
      <c r="C996" s="1" t="s">
        <v>74</v>
      </c>
      <c r="D996" s="1" t="s">
        <v>74</v>
      </c>
      <c r="E996" s="1" t="s">
        <v>236</v>
      </c>
      <c r="F996" s="1" t="s">
        <v>19739</v>
      </c>
      <c r="G996" s="1" t="s">
        <v>74</v>
      </c>
      <c r="H996" s="1" t="s">
        <v>74</v>
      </c>
      <c r="I996" s="1" t="s">
        <v>19740</v>
      </c>
      <c r="J996" s="1" t="s">
        <v>19741</v>
      </c>
      <c r="K996" s="1" t="s">
        <v>74</v>
      </c>
      <c r="L996" s="1" t="s">
        <v>74</v>
      </c>
      <c r="M996" s="1" t="s">
        <v>80</v>
      </c>
      <c r="N996" s="1" t="s">
        <v>81</v>
      </c>
      <c r="O996" s="1" t="s">
        <v>19742</v>
      </c>
      <c r="P996" s="1" t="s">
        <v>19743</v>
      </c>
      <c r="Q996" s="1" t="s">
        <v>19744</v>
      </c>
      <c r="R996" s="1" t="s">
        <v>74</v>
      </c>
      <c r="S996" s="1" t="s">
        <v>74</v>
      </c>
      <c r="T996" s="1" t="s">
        <v>19745</v>
      </c>
      <c r="U996" s="1" t="s">
        <v>74</v>
      </c>
      <c r="V996" s="1" t="s">
        <v>19746</v>
      </c>
      <c r="W996" s="1" t="s">
        <v>19747</v>
      </c>
      <c r="X996" s="1" t="s">
        <v>1649</v>
      </c>
      <c r="Y996" s="1" t="s">
        <v>19748</v>
      </c>
      <c r="Z996" s="1" t="s">
        <v>19749</v>
      </c>
      <c r="AA996" s="1" t="s">
        <v>19750</v>
      </c>
      <c r="AB996" s="1" t="s">
        <v>19751</v>
      </c>
      <c r="AC996" s="1" t="s">
        <v>74</v>
      </c>
      <c r="AD996" s="1" t="s">
        <v>74</v>
      </c>
      <c r="AE996" s="1" t="s">
        <v>74</v>
      </c>
      <c r="AF996" s="1" t="s">
        <v>74</v>
      </c>
      <c r="AG996" s="1">
        <v>17.0</v>
      </c>
      <c r="AH996" s="1">
        <v>2.0</v>
      </c>
      <c r="AI996" s="1">
        <v>2.0</v>
      </c>
      <c r="AJ996" s="1">
        <v>0.0</v>
      </c>
      <c r="AK996" s="1">
        <v>1.0</v>
      </c>
      <c r="AL996" s="1" t="s">
        <v>236</v>
      </c>
      <c r="AM996" s="1" t="s">
        <v>193</v>
      </c>
      <c r="AN996" s="1" t="s">
        <v>252</v>
      </c>
      <c r="AO996" s="1" t="s">
        <v>74</v>
      </c>
      <c r="AP996" s="1" t="s">
        <v>74</v>
      </c>
      <c r="AQ996" s="1" t="s">
        <v>19752</v>
      </c>
      <c r="AR996" s="1" t="s">
        <v>74</v>
      </c>
      <c r="AS996" s="1" t="s">
        <v>74</v>
      </c>
      <c r="AT996" s="1" t="s">
        <v>74</v>
      </c>
      <c r="AU996" s="1">
        <v>2015.0</v>
      </c>
      <c r="AV996" s="1" t="s">
        <v>74</v>
      </c>
      <c r="AW996" s="1" t="s">
        <v>74</v>
      </c>
      <c r="AX996" s="1" t="s">
        <v>74</v>
      </c>
      <c r="AY996" s="1" t="s">
        <v>74</v>
      </c>
      <c r="AZ996" s="1" t="s">
        <v>74</v>
      </c>
      <c r="BA996" s="1" t="s">
        <v>74</v>
      </c>
      <c r="BB996" s="1" t="s">
        <v>74</v>
      </c>
      <c r="BC996" s="1" t="s">
        <v>74</v>
      </c>
      <c r="BD996" s="1" t="s">
        <v>74</v>
      </c>
      <c r="BE996" s="1" t="s">
        <v>74</v>
      </c>
      <c r="BF996" s="1" t="s">
        <v>74</v>
      </c>
      <c r="BG996" s="1" t="s">
        <v>74</v>
      </c>
      <c r="BH996" s="1" t="s">
        <v>74</v>
      </c>
      <c r="BI996" s="1">
        <v>5.0</v>
      </c>
      <c r="BJ996" s="1" t="s">
        <v>1618</v>
      </c>
      <c r="BK996" s="1" t="s">
        <v>128</v>
      </c>
      <c r="BL996" s="1" t="s">
        <v>1619</v>
      </c>
      <c r="BM996" s="1" t="s">
        <v>19753</v>
      </c>
      <c r="BN996" s="1" t="s">
        <v>74</v>
      </c>
      <c r="BO996" s="1" t="s">
        <v>74</v>
      </c>
      <c r="BP996" s="1" t="s">
        <v>74</v>
      </c>
      <c r="BQ996" s="1" t="s">
        <v>74</v>
      </c>
      <c r="BR996" s="1" t="s">
        <v>102</v>
      </c>
      <c r="BS996" s="1" t="s">
        <v>19754</v>
      </c>
      <c r="BT996" s="1" t="str">
        <f>HYPERLINK("https%3A%2F%2Fwww.webofscience.com%2Fwos%2Fwoscc%2Ffull-record%2FWOS:000380480900050","View Full Record in Web of Science")</f>
        <v>View Full Record in Web of Science</v>
      </c>
    </row>
    <row r="997" ht="12.75" customHeight="1">
      <c r="A997" s="1" t="s">
        <v>132</v>
      </c>
      <c r="B997" s="1" t="s">
        <v>19755</v>
      </c>
      <c r="C997" s="1" t="s">
        <v>74</v>
      </c>
      <c r="D997" s="1" t="s">
        <v>74</v>
      </c>
      <c r="E997" s="1" t="s">
        <v>74</v>
      </c>
      <c r="F997" s="1" t="s">
        <v>19756</v>
      </c>
      <c r="G997" s="1" t="s">
        <v>74</v>
      </c>
      <c r="H997" s="1" t="s">
        <v>74</v>
      </c>
      <c r="I997" s="1" t="s">
        <v>19757</v>
      </c>
      <c r="J997" s="1" t="s">
        <v>2893</v>
      </c>
      <c r="K997" s="1" t="s">
        <v>74</v>
      </c>
      <c r="L997" s="1" t="s">
        <v>74</v>
      </c>
      <c r="M997" s="1" t="s">
        <v>80</v>
      </c>
      <c r="N997" s="1" t="s">
        <v>136</v>
      </c>
      <c r="O997" s="1" t="s">
        <v>74</v>
      </c>
      <c r="P997" s="1" t="s">
        <v>74</v>
      </c>
      <c r="Q997" s="1" t="s">
        <v>74</v>
      </c>
      <c r="R997" s="1" t="s">
        <v>74</v>
      </c>
      <c r="S997" s="1" t="s">
        <v>74</v>
      </c>
      <c r="T997" s="1" t="s">
        <v>19758</v>
      </c>
      <c r="U997" s="1" t="s">
        <v>19759</v>
      </c>
      <c r="V997" s="1" t="s">
        <v>19760</v>
      </c>
      <c r="W997" s="1" t="s">
        <v>19761</v>
      </c>
      <c r="X997" s="1" t="s">
        <v>19762</v>
      </c>
      <c r="Y997" s="1" t="s">
        <v>19763</v>
      </c>
      <c r="Z997" s="1" t="s">
        <v>19764</v>
      </c>
      <c r="AA997" s="1" t="s">
        <v>19765</v>
      </c>
      <c r="AB997" s="1" t="s">
        <v>19766</v>
      </c>
      <c r="AC997" s="1" t="s">
        <v>74</v>
      </c>
      <c r="AD997" s="1" t="s">
        <v>74</v>
      </c>
      <c r="AE997" s="1" t="s">
        <v>74</v>
      </c>
      <c r="AF997" s="1" t="s">
        <v>74</v>
      </c>
      <c r="AG997" s="1">
        <v>119.0</v>
      </c>
      <c r="AH997" s="1">
        <v>13.0</v>
      </c>
      <c r="AI997" s="1">
        <v>13.0</v>
      </c>
      <c r="AJ997" s="1">
        <v>88.0</v>
      </c>
      <c r="AK997" s="1">
        <v>169.0</v>
      </c>
      <c r="AL997" s="1" t="s">
        <v>2745</v>
      </c>
      <c r="AM997" s="1" t="s">
        <v>2746</v>
      </c>
      <c r="AN997" s="1" t="s">
        <v>2747</v>
      </c>
      <c r="AO997" s="1" t="s">
        <v>2904</v>
      </c>
      <c r="AP997" s="1" t="s">
        <v>2905</v>
      </c>
      <c r="AQ997" s="1" t="s">
        <v>74</v>
      </c>
      <c r="AR997" s="1" t="s">
        <v>2906</v>
      </c>
      <c r="AS997" s="1" t="s">
        <v>2907</v>
      </c>
      <c r="AT997" s="1" t="s">
        <v>1027</v>
      </c>
      <c r="AU997" s="1">
        <v>2024.0</v>
      </c>
      <c r="AV997" s="1">
        <v>76.0</v>
      </c>
      <c r="AW997" s="1" t="s">
        <v>74</v>
      </c>
      <c r="AX997" s="1" t="s">
        <v>74</v>
      </c>
      <c r="AY997" s="1" t="s">
        <v>74</v>
      </c>
      <c r="AZ997" s="1" t="s">
        <v>74</v>
      </c>
      <c r="BA997" s="1" t="s">
        <v>74</v>
      </c>
      <c r="BB997" s="1" t="s">
        <v>74</v>
      </c>
      <c r="BC997" s="1" t="s">
        <v>74</v>
      </c>
      <c r="BD997" s="1">
        <v>102440.0</v>
      </c>
      <c r="BE997" s="1" t="s">
        <v>19767</v>
      </c>
      <c r="BF997" s="2" t="str">
        <f>HYPERLINK("http://dx.doi.org/10.1016/j.techsoc.2023.102440","http://dx.doi.org/10.1016/j.techsoc.2023.102440")</f>
        <v>http://dx.doi.org/10.1016/j.techsoc.2023.102440</v>
      </c>
      <c r="BG997" s="1" t="s">
        <v>74</v>
      </c>
      <c r="BH997" s="1" t="s">
        <v>5056</v>
      </c>
      <c r="BI997" s="1">
        <v>9.0</v>
      </c>
      <c r="BJ997" s="1" t="s">
        <v>2909</v>
      </c>
      <c r="BK997" s="1" t="s">
        <v>203</v>
      </c>
      <c r="BL997" s="1" t="s">
        <v>2910</v>
      </c>
      <c r="BM997" s="1" t="s">
        <v>19768</v>
      </c>
      <c r="BN997" s="1" t="s">
        <v>74</v>
      </c>
      <c r="BO997" s="1" t="s">
        <v>74</v>
      </c>
      <c r="BP997" s="1" t="s">
        <v>74</v>
      </c>
      <c r="BQ997" s="1" t="s">
        <v>74</v>
      </c>
      <c r="BR997" s="1" t="s">
        <v>102</v>
      </c>
      <c r="BS997" s="1" t="s">
        <v>19769</v>
      </c>
      <c r="BT997" s="1" t="str">
        <f>HYPERLINK("https%3A%2F%2Fwww.webofscience.com%2Fwos%2Fwoscc%2Ffull-record%2FWOS:001134922700001","View Full Record in Web of Science")</f>
        <v>View Full Record in Web of Science</v>
      </c>
    </row>
    <row r="998" ht="12.75" customHeight="1">
      <c r="A998" s="1" t="s">
        <v>132</v>
      </c>
      <c r="B998" s="1" t="s">
        <v>19770</v>
      </c>
      <c r="C998" s="1" t="s">
        <v>74</v>
      </c>
      <c r="D998" s="1" t="s">
        <v>74</v>
      </c>
      <c r="E998" s="1" t="s">
        <v>74</v>
      </c>
      <c r="F998" s="1" t="s">
        <v>19771</v>
      </c>
      <c r="G998" s="1" t="s">
        <v>74</v>
      </c>
      <c r="H998" s="1" t="s">
        <v>74</v>
      </c>
      <c r="I998" s="1" t="s">
        <v>19772</v>
      </c>
      <c r="J998" s="1" t="s">
        <v>13198</v>
      </c>
      <c r="K998" s="1" t="s">
        <v>74</v>
      </c>
      <c r="L998" s="1" t="s">
        <v>74</v>
      </c>
      <c r="M998" s="1" t="s">
        <v>80</v>
      </c>
      <c r="N998" s="1" t="s">
        <v>1010</v>
      </c>
      <c r="O998" s="1" t="s">
        <v>74</v>
      </c>
      <c r="P998" s="1" t="s">
        <v>74</v>
      </c>
      <c r="Q998" s="1" t="s">
        <v>74</v>
      </c>
      <c r="R998" s="1" t="s">
        <v>74</v>
      </c>
      <c r="S998" s="1" t="s">
        <v>74</v>
      </c>
      <c r="T998" s="1" t="s">
        <v>19773</v>
      </c>
      <c r="U998" s="1" t="s">
        <v>19774</v>
      </c>
      <c r="V998" s="1" t="s">
        <v>19775</v>
      </c>
      <c r="W998" s="1" t="s">
        <v>19776</v>
      </c>
      <c r="X998" s="1" t="s">
        <v>19777</v>
      </c>
      <c r="Y998" s="1" t="s">
        <v>19778</v>
      </c>
      <c r="Z998" s="1" t="s">
        <v>19779</v>
      </c>
      <c r="AA998" s="1" t="s">
        <v>74</v>
      </c>
      <c r="AB998" s="1" t="s">
        <v>74</v>
      </c>
      <c r="AC998" s="1" t="s">
        <v>74</v>
      </c>
      <c r="AD998" s="1" t="s">
        <v>74</v>
      </c>
      <c r="AE998" s="1" t="s">
        <v>74</v>
      </c>
      <c r="AF998" s="1" t="s">
        <v>74</v>
      </c>
      <c r="AG998" s="1">
        <v>119.0</v>
      </c>
      <c r="AH998" s="1">
        <v>0.0</v>
      </c>
      <c r="AI998" s="1">
        <v>0.0</v>
      </c>
      <c r="AJ998" s="1">
        <v>0.0</v>
      </c>
      <c r="AK998" s="1">
        <v>0.0</v>
      </c>
      <c r="AL998" s="1" t="s">
        <v>275</v>
      </c>
      <c r="AM998" s="1" t="s">
        <v>276</v>
      </c>
      <c r="AN998" s="1" t="s">
        <v>277</v>
      </c>
      <c r="AO998" s="1" t="s">
        <v>74</v>
      </c>
      <c r="AP998" s="1" t="s">
        <v>13208</v>
      </c>
      <c r="AQ998" s="1" t="s">
        <v>74</v>
      </c>
      <c r="AR998" s="1" t="s">
        <v>13209</v>
      </c>
      <c r="AS998" s="1" t="s">
        <v>13210</v>
      </c>
      <c r="AT998" s="1" t="s">
        <v>17226</v>
      </c>
      <c r="AU998" s="1">
        <v>2025.0</v>
      </c>
      <c r="AV998" s="1">
        <v>11.0</v>
      </c>
      <c r="AW998" s="1" t="s">
        <v>74</v>
      </c>
      <c r="AX998" s="1" t="s">
        <v>74</v>
      </c>
      <c r="AY998" s="1" t="s">
        <v>74</v>
      </c>
      <c r="AZ998" s="1" t="s">
        <v>74</v>
      </c>
      <c r="BA998" s="1" t="s">
        <v>74</v>
      </c>
      <c r="BB998" s="1" t="s">
        <v>74</v>
      </c>
      <c r="BC998" s="1" t="s">
        <v>74</v>
      </c>
      <c r="BD998" s="1">
        <v>1525604.0</v>
      </c>
      <c r="BE998" s="1" t="s">
        <v>19780</v>
      </c>
      <c r="BF998" s="2" t="str">
        <f>HYPERLINK("http://dx.doi.org/10.3389/fmed.2024.1525604","http://dx.doi.org/10.3389/fmed.2024.1525604")</f>
        <v>http://dx.doi.org/10.3389/fmed.2024.1525604</v>
      </c>
      <c r="BG998" s="1" t="s">
        <v>74</v>
      </c>
      <c r="BH998" s="1" t="s">
        <v>74</v>
      </c>
      <c r="BI998" s="1">
        <v>9.0</v>
      </c>
      <c r="BJ998" s="1" t="s">
        <v>1158</v>
      </c>
      <c r="BK998" s="1" t="s">
        <v>149</v>
      </c>
      <c r="BL998" s="1" t="s">
        <v>1159</v>
      </c>
      <c r="BM998" s="1" t="s">
        <v>19781</v>
      </c>
      <c r="BN998" s="1">
        <v>3.9867924E7</v>
      </c>
      <c r="BO998" s="1" t="s">
        <v>174</v>
      </c>
      <c r="BP998" s="1" t="s">
        <v>74</v>
      </c>
      <c r="BQ998" s="1" t="s">
        <v>74</v>
      </c>
      <c r="BR998" s="1" t="s">
        <v>102</v>
      </c>
      <c r="BS998" s="1" t="s">
        <v>19782</v>
      </c>
      <c r="BT998" s="1" t="str">
        <f>HYPERLINK("https%3A%2F%2Fwww.webofscience.com%2Fwos%2Fwoscc%2Ffull-record%2FWOS:001403614700001","View Full Record in Web of Science")</f>
        <v>View Full Record in Web of Science</v>
      </c>
    </row>
    <row r="999" ht="12.75" customHeight="1">
      <c r="A999" s="1" t="s">
        <v>132</v>
      </c>
      <c r="B999" s="1" t="s">
        <v>19783</v>
      </c>
      <c r="C999" s="1" t="s">
        <v>74</v>
      </c>
      <c r="D999" s="1" t="s">
        <v>74</v>
      </c>
      <c r="E999" s="1" t="s">
        <v>74</v>
      </c>
      <c r="F999" s="1" t="s">
        <v>19784</v>
      </c>
      <c r="G999" s="1" t="s">
        <v>74</v>
      </c>
      <c r="H999" s="1" t="s">
        <v>74</v>
      </c>
      <c r="I999" s="1" t="s">
        <v>19785</v>
      </c>
      <c r="J999" s="1" t="s">
        <v>18488</v>
      </c>
      <c r="K999" s="1" t="s">
        <v>74</v>
      </c>
      <c r="L999" s="1" t="s">
        <v>74</v>
      </c>
      <c r="M999" s="1" t="s">
        <v>80</v>
      </c>
      <c r="N999" s="1" t="s">
        <v>136</v>
      </c>
      <c r="O999" s="1" t="s">
        <v>74</v>
      </c>
      <c r="P999" s="1" t="s">
        <v>74</v>
      </c>
      <c r="Q999" s="1" t="s">
        <v>74</v>
      </c>
      <c r="R999" s="1" t="s">
        <v>74</v>
      </c>
      <c r="S999" s="1" t="s">
        <v>74</v>
      </c>
      <c r="T999" s="1" t="s">
        <v>19786</v>
      </c>
      <c r="U999" s="1" t="s">
        <v>74</v>
      </c>
      <c r="V999" s="1" t="s">
        <v>19787</v>
      </c>
      <c r="W999" s="1" t="s">
        <v>19788</v>
      </c>
      <c r="X999" s="1" t="s">
        <v>19789</v>
      </c>
      <c r="Y999" s="1" t="s">
        <v>19790</v>
      </c>
      <c r="Z999" s="1" t="s">
        <v>19791</v>
      </c>
      <c r="AA999" s="1" t="s">
        <v>19792</v>
      </c>
      <c r="AB999" s="1" t="s">
        <v>19793</v>
      </c>
      <c r="AC999" s="1" t="s">
        <v>74</v>
      </c>
      <c r="AD999" s="1" t="s">
        <v>74</v>
      </c>
      <c r="AE999" s="1" t="s">
        <v>74</v>
      </c>
      <c r="AF999" s="1" t="s">
        <v>74</v>
      </c>
      <c r="AG999" s="1">
        <v>45.0</v>
      </c>
      <c r="AH999" s="1">
        <v>0.0</v>
      </c>
      <c r="AI999" s="1">
        <v>0.0</v>
      </c>
      <c r="AJ999" s="1">
        <v>9.0</v>
      </c>
      <c r="AK999" s="1">
        <v>11.0</v>
      </c>
      <c r="AL999" s="1" t="s">
        <v>18498</v>
      </c>
      <c r="AM999" s="1" t="s">
        <v>18499</v>
      </c>
      <c r="AN999" s="1" t="s">
        <v>18500</v>
      </c>
      <c r="AO999" s="1" t="s">
        <v>18501</v>
      </c>
      <c r="AP999" s="1" t="s">
        <v>74</v>
      </c>
      <c r="AQ999" s="1" t="s">
        <v>74</v>
      </c>
      <c r="AR999" s="1" t="s">
        <v>18502</v>
      </c>
      <c r="AS999" s="1" t="s">
        <v>18503</v>
      </c>
      <c r="AT999" s="1" t="s">
        <v>74</v>
      </c>
      <c r="AU999" s="1">
        <v>2024.0</v>
      </c>
      <c r="AV999" s="1">
        <v>115.0</v>
      </c>
      <c r="AW999" s="1">
        <v>2.0</v>
      </c>
      <c r="AX999" s="1" t="s">
        <v>74</v>
      </c>
      <c r="AY999" s="1" t="s">
        <v>74</v>
      </c>
      <c r="AZ999" s="1" t="s">
        <v>74</v>
      </c>
      <c r="BA999" s="1" t="s">
        <v>74</v>
      </c>
      <c r="BB999" s="1" t="s">
        <v>74</v>
      </c>
      <c r="BC999" s="1" t="s">
        <v>74</v>
      </c>
      <c r="BD999" s="1" t="s">
        <v>19794</v>
      </c>
      <c r="BE999" s="1" t="s">
        <v>19795</v>
      </c>
      <c r="BF999" s="2" t="str">
        <f>HYPERLINK("http://dx.doi.org/10.23749/mdl.v115i2.15881","http://dx.doi.org/10.23749/mdl.v115i2.15881")</f>
        <v>http://dx.doi.org/10.23749/mdl.v115i2.15881</v>
      </c>
      <c r="BG999" s="1" t="s">
        <v>74</v>
      </c>
      <c r="BH999" s="1" t="s">
        <v>74</v>
      </c>
      <c r="BI999" s="1">
        <v>8.0</v>
      </c>
      <c r="BJ999" s="1" t="s">
        <v>1837</v>
      </c>
      <c r="BK999" s="1" t="s">
        <v>149</v>
      </c>
      <c r="BL999" s="1" t="s">
        <v>1837</v>
      </c>
      <c r="BM999" s="1" t="s">
        <v>18506</v>
      </c>
      <c r="BN999" s="1">
        <v>3.8686573E7</v>
      </c>
      <c r="BO999" s="1" t="s">
        <v>74</v>
      </c>
      <c r="BP999" s="1" t="s">
        <v>74</v>
      </c>
      <c r="BQ999" s="1" t="s">
        <v>74</v>
      </c>
      <c r="BR999" s="1" t="s">
        <v>102</v>
      </c>
      <c r="BS999" s="1" t="s">
        <v>19796</v>
      </c>
      <c r="BT999" s="1" t="str">
        <f>HYPERLINK("https%3A%2F%2Fwww.webofscience.com%2Fwos%2Fwoscc%2Ffull-record%2FWOS:001223327200002","View Full Record in Web of Science")</f>
        <v>View Full Record in Web of Science</v>
      </c>
    </row>
    <row r="1000" ht="12.75" customHeight="1">
      <c r="A1000" s="1" t="s">
        <v>132</v>
      </c>
      <c r="B1000" s="1" t="s">
        <v>19797</v>
      </c>
      <c r="C1000" s="1" t="s">
        <v>74</v>
      </c>
      <c r="D1000" s="1" t="s">
        <v>74</v>
      </c>
      <c r="E1000" s="1" t="s">
        <v>74</v>
      </c>
      <c r="F1000" s="1" t="s">
        <v>19798</v>
      </c>
      <c r="G1000" s="1" t="s">
        <v>74</v>
      </c>
      <c r="H1000" s="1" t="s">
        <v>74</v>
      </c>
      <c r="I1000" s="1" t="s">
        <v>19799</v>
      </c>
      <c r="J1000" s="1" t="s">
        <v>5766</v>
      </c>
      <c r="K1000" s="1" t="s">
        <v>74</v>
      </c>
      <c r="L1000" s="1" t="s">
        <v>74</v>
      </c>
      <c r="M1000" s="1" t="s">
        <v>80</v>
      </c>
      <c r="N1000" s="1" t="s">
        <v>136</v>
      </c>
      <c r="O1000" s="1" t="s">
        <v>74</v>
      </c>
      <c r="P1000" s="1" t="s">
        <v>74</v>
      </c>
      <c r="Q1000" s="1" t="s">
        <v>74</v>
      </c>
      <c r="R1000" s="1" t="s">
        <v>74</v>
      </c>
      <c r="S1000" s="1" t="s">
        <v>74</v>
      </c>
      <c r="T1000" s="1" t="s">
        <v>19800</v>
      </c>
      <c r="U1000" s="1" t="s">
        <v>19801</v>
      </c>
      <c r="V1000" s="1" t="s">
        <v>19802</v>
      </c>
      <c r="W1000" s="1" t="s">
        <v>19803</v>
      </c>
      <c r="X1000" s="1" t="s">
        <v>19804</v>
      </c>
      <c r="Y1000" s="1" t="s">
        <v>19805</v>
      </c>
      <c r="Z1000" s="1" t="s">
        <v>19806</v>
      </c>
      <c r="AA1000" s="1" t="s">
        <v>19807</v>
      </c>
      <c r="AB1000" s="1" t="s">
        <v>19808</v>
      </c>
      <c r="AC1000" s="1" t="s">
        <v>74</v>
      </c>
      <c r="AD1000" s="1" t="s">
        <v>74</v>
      </c>
      <c r="AE1000" s="1" t="s">
        <v>74</v>
      </c>
      <c r="AF1000" s="1" t="s">
        <v>74</v>
      </c>
      <c r="AG1000" s="1">
        <v>34.0</v>
      </c>
      <c r="AH1000" s="1">
        <v>0.0</v>
      </c>
      <c r="AI1000" s="1">
        <v>0.0</v>
      </c>
      <c r="AJ1000" s="1">
        <v>3.0</v>
      </c>
      <c r="AK1000" s="1">
        <v>3.0</v>
      </c>
      <c r="AL1000" s="1" t="s">
        <v>1970</v>
      </c>
      <c r="AM1000" s="1" t="s">
        <v>1658</v>
      </c>
      <c r="AN1000" s="1" t="s">
        <v>1971</v>
      </c>
      <c r="AO1000" s="1" t="s">
        <v>74</v>
      </c>
      <c r="AP1000" s="1" t="s">
        <v>5778</v>
      </c>
      <c r="AQ1000" s="1" t="s">
        <v>74</v>
      </c>
      <c r="AR1000" s="1" t="s">
        <v>5779</v>
      </c>
      <c r="AS1000" s="1" t="s">
        <v>5780</v>
      </c>
      <c r="AT1000" s="1" t="s">
        <v>199</v>
      </c>
      <c r="AU1000" s="1">
        <v>2024.0</v>
      </c>
      <c r="AV1000" s="1">
        <v>12.0</v>
      </c>
      <c r="AW1000" s="1">
        <v>21.0</v>
      </c>
      <c r="AX1000" s="1" t="s">
        <v>74</v>
      </c>
      <c r="AY1000" s="1" t="s">
        <v>74</v>
      </c>
      <c r="AZ1000" s="1" t="s">
        <v>74</v>
      </c>
      <c r="BA1000" s="1" t="s">
        <v>74</v>
      </c>
      <c r="BB1000" s="1" t="s">
        <v>74</v>
      </c>
      <c r="BC1000" s="1" t="s">
        <v>74</v>
      </c>
      <c r="BD1000" s="1">
        <v>2161.0</v>
      </c>
      <c r="BE1000" s="1" t="s">
        <v>19809</v>
      </c>
      <c r="BF1000" s="2" t="str">
        <f>HYPERLINK("http://dx.doi.org/10.3390/healthcare12212161","http://dx.doi.org/10.3390/healthcare12212161")</f>
        <v>http://dx.doi.org/10.3390/healthcare12212161</v>
      </c>
      <c r="BG1000" s="1" t="s">
        <v>74</v>
      </c>
      <c r="BH1000" s="1" t="s">
        <v>74</v>
      </c>
      <c r="BI1000" s="1">
        <v>17.0</v>
      </c>
      <c r="BJ1000" s="1" t="s">
        <v>5782</v>
      </c>
      <c r="BK1000" s="1" t="s">
        <v>783</v>
      </c>
      <c r="BL1000" s="1" t="s">
        <v>5783</v>
      </c>
      <c r="BM1000" s="1" t="s">
        <v>19810</v>
      </c>
      <c r="BN1000" s="1">
        <v>3.9517373E7</v>
      </c>
      <c r="BO1000" s="1" t="s">
        <v>174</v>
      </c>
      <c r="BP1000" s="1" t="s">
        <v>74</v>
      </c>
      <c r="BQ1000" s="1" t="s">
        <v>74</v>
      </c>
      <c r="BR1000" s="1" t="s">
        <v>102</v>
      </c>
      <c r="BS1000" s="1" t="s">
        <v>19811</v>
      </c>
      <c r="BT1000" s="1" t="str">
        <f>HYPERLINK("https%3A%2F%2Fwww.webofscience.com%2Fwos%2Fwoscc%2Ffull-record%2FWOS:001351307000001","View Full Record in Web of Science")</f>
        <v>View Full Record in Web of Science</v>
      </c>
    </row>
    <row r="1001" ht="12.75" customHeight="1">
      <c r="A1001" s="1" t="s">
        <v>132</v>
      </c>
      <c r="B1001" s="1" t="s">
        <v>19812</v>
      </c>
      <c r="C1001" s="1" t="s">
        <v>74</v>
      </c>
      <c r="D1001" s="1" t="s">
        <v>74</v>
      </c>
      <c r="E1001" s="1" t="s">
        <v>74</v>
      </c>
      <c r="F1001" s="1" t="s">
        <v>19813</v>
      </c>
      <c r="G1001" s="1" t="s">
        <v>74</v>
      </c>
      <c r="H1001" s="1" t="s">
        <v>74</v>
      </c>
      <c r="I1001" s="1" t="s">
        <v>19814</v>
      </c>
      <c r="J1001" s="1" t="s">
        <v>19815</v>
      </c>
      <c r="K1001" s="1" t="s">
        <v>74</v>
      </c>
      <c r="L1001" s="1" t="s">
        <v>74</v>
      </c>
      <c r="M1001" s="1" t="s">
        <v>80</v>
      </c>
      <c r="N1001" s="1" t="s">
        <v>1010</v>
      </c>
      <c r="O1001" s="1" t="s">
        <v>74</v>
      </c>
      <c r="P1001" s="1" t="s">
        <v>74</v>
      </c>
      <c r="Q1001" s="1" t="s">
        <v>74</v>
      </c>
      <c r="R1001" s="1" t="s">
        <v>74</v>
      </c>
      <c r="S1001" s="1" t="s">
        <v>74</v>
      </c>
      <c r="T1001" s="1" t="s">
        <v>19816</v>
      </c>
      <c r="U1001" s="1" t="s">
        <v>19817</v>
      </c>
      <c r="V1001" s="1" t="s">
        <v>19818</v>
      </c>
      <c r="W1001" s="1" t="s">
        <v>19819</v>
      </c>
      <c r="X1001" s="1" t="s">
        <v>19820</v>
      </c>
      <c r="Y1001" s="1" t="s">
        <v>19821</v>
      </c>
      <c r="Z1001" s="1" t="s">
        <v>19822</v>
      </c>
      <c r="AA1001" s="1" t="s">
        <v>74</v>
      </c>
      <c r="AB1001" s="1" t="s">
        <v>74</v>
      </c>
      <c r="AC1001" s="1" t="s">
        <v>19823</v>
      </c>
      <c r="AD1001" s="1" t="s">
        <v>8224</v>
      </c>
      <c r="AE1001" s="1" t="s">
        <v>19824</v>
      </c>
      <c r="AF1001" s="1" t="s">
        <v>74</v>
      </c>
      <c r="AG1001" s="1">
        <v>126.0</v>
      </c>
      <c r="AH1001" s="1">
        <v>4.0</v>
      </c>
      <c r="AI1001" s="1">
        <v>4.0</v>
      </c>
      <c r="AJ1001" s="1">
        <v>17.0</v>
      </c>
      <c r="AK1001" s="1">
        <v>17.0</v>
      </c>
      <c r="AL1001" s="1" t="s">
        <v>1357</v>
      </c>
      <c r="AM1001" s="1" t="s">
        <v>1358</v>
      </c>
      <c r="AN1001" s="1" t="s">
        <v>1359</v>
      </c>
      <c r="AO1001" s="1" t="s">
        <v>19825</v>
      </c>
      <c r="AP1001" s="1" t="s">
        <v>19826</v>
      </c>
      <c r="AQ1001" s="1" t="s">
        <v>74</v>
      </c>
      <c r="AR1001" s="1" t="s">
        <v>19827</v>
      </c>
      <c r="AS1001" s="1" t="s">
        <v>19828</v>
      </c>
      <c r="AT1001" s="1" t="s">
        <v>1279</v>
      </c>
      <c r="AU1001" s="1">
        <v>2024.0</v>
      </c>
      <c r="AV1001" s="1">
        <v>2.0</v>
      </c>
      <c r="AW1001" s="1">
        <v>3.0</v>
      </c>
      <c r="AX1001" s="1" t="s">
        <v>74</v>
      </c>
      <c r="AY1001" s="1" t="s">
        <v>74</v>
      </c>
      <c r="AZ1001" s="1" t="s">
        <v>74</v>
      </c>
      <c r="BA1001" s="1" t="s">
        <v>74</v>
      </c>
      <c r="BB1001" s="1" t="s">
        <v>74</v>
      </c>
      <c r="BC1001" s="1" t="s">
        <v>74</v>
      </c>
      <c r="BD1001" s="1" t="s">
        <v>19829</v>
      </c>
      <c r="BE1001" s="1" t="s">
        <v>19830</v>
      </c>
      <c r="BF1001" s="2" t="str">
        <f>HYPERLINK("http://dx.doi.org/10.1002/INMD.20230056","http://dx.doi.org/10.1002/INMD.20230056")</f>
        <v>http://dx.doi.org/10.1002/INMD.20230056</v>
      </c>
      <c r="BG1001" s="1" t="s">
        <v>74</v>
      </c>
      <c r="BH1001" s="1" t="s">
        <v>5364</v>
      </c>
      <c r="BI1001" s="1">
        <v>13.0</v>
      </c>
      <c r="BJ1001" s="1" t="s">
        <v>11962</v>
      </c>
      <c r="BK1001" s="1" t="s">
        <v>172</v>
      </c>
      <c r="BL1001" s="1" t="s">
        <v>11963</v>
      </c>
      <c r="BM1001" s="1" t="s">
        <v>19831</v>
      </c>
      <c r="BN1001" s="1" t="s">
        <v>74</v>
      </c>
      <c r="BO1001" s="1" t="s">
        <v>174</v>
      </c>
      <c r="BP1001" s="1" t="s">
        <v>74</v>
      </c>
      <c r="BQ1001" s="1" t="s">
        <v>74</v>
      </c>
      <c r="BR1001" s="1" t="s">
        <v>102</v>
      </c>
      <c r="BS1001" s="1" t="s">
        <v>19832</v>
      </c>
      <c r="BT1001" s="1" t="str">
        <f>HYPERLINK("https%3A%2F%2Fwww.webofscience.com%2Fwos%2Fwoscc%2Ffull-record%2FWOS:001328267700001","View Full Record in Web of Science")</f>
        <v>View Full Record in Web of Science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